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Jey\OneDrive\문서\업무_개발\Calibration Tool Project\MCT V2\Templates\"/>
    </mc:Choice>
  </mc:AlternateContent>
  <bookViews>
    <workbookView xWindow="0" yWindow="90" windowWidth="15225" windowHeight="8550" tabRatio="757"/>
  </bookViews>
  <sheets>
    <sheet name="기본정보" sheetId="13" r:id="rId1"/>
    <sheet name="교정결과" sheetId="11" r:id="rId2"/>
    <sheet name="교정결과-E" sheetId="24" r:id="rId3"/>
    <sheet name="교정결과-HY" sheetId="31" r:id="rId4"/>
    <sheet name="판정결과" sheetId="30" r:id="rId5"/>
    <sheet name="부록" sheetId="25" r:id="rId6"/>
    <sheet name="RAWDATA" sheetId="3" r:id="rId7"/>
    <sheet name="측정불확도추정보고서" sheetId="23" r:id="rId8"/>
    <sheet name="Calcu" sheetId="21" r:id="rId9"/>
    <sheet name="STD_Data" sheetId="29" r:id="rId10"/>
    <sheet name="Length_5" sheetId="14" r:id="rId11"/>
  </sheets>
  <definedNames>
    <definedName name="_xlnm._FilterDatabase" localSheetId="0" hidden="1">기본정보!#REF!</definedName>
    <definedName name="B_Tag" localSheetId="2">'교정결과-E'!$F$31:$I$31</definedName>
    <definedName name="B_Tag" localSheetId="3">'교정결과-HY'!$B$29:$Q$29</definedName>
    <definedName name="B_Tag">교정결과!$F$30:$H$30</definedName>
    <definedName name="B_Tag_2" localSheetId="4">판정결과!$D$19:$I$19</definedName>
    <definedName name="B_Tag_3" localSheetId="5">부록!$B$11:$K$11</definedName>
    <definedName name="Length_5_CMC">Length_5!$C$4:$E$13</definedName>
    <definedName name="Length_5_Condition">Length_5!$A$4:$B$13</definedName>
    <definedName name="Length_5_Resolution">Length_5!$F$4:$I$13</definedName>
    <definedName name="Length_5_Result">Length_5!$N$4:$R$13</definedName>
    <definedName name="Length_5_Result2">Length_5!$J$4:$J$5</definedName>
    <definedName name="Length_5_Spec">Length_5!$K$4:$M$13</definedName>
    <definedName name="Length_5_STD1">Length_5!$A$17</definedName>
    <definedName name="_xlnm.Print_Area" localSheetId="0">기본정보!$A$1:$J$38</definedName>
    <definedName name="_xlnm.Print_Titles" localSheetId="1">교정결과!$1:$5</definedName>
    <definedName name="_xlnm.Print_Titles" localSheetId="2">'교정결과-E'!$1:$5</definedName>
    <definedName name="_xlnm.Print_Titles" localSheetId="3">'교정결과-HY'!$1:$5</definedName>
    <definedName name="_xlnm.Print_Titles" localSheetId="5">부록!$1:$5</definedName>
    <definedName name="_xlnm.Print_Titles" localSheetId="4">판정결과!$1:$5</definedName>
  </definedNames>
  <calcPr calcId="162913"/>
</workbook>
</file>

<file path=xl/calcChain.xml><?xml version="1.0" encoding="utf-8"?>
<calcChain xmlns="http://schemas.openxmlformats.org/spreadsheetml/2006/main">
  <c r="M3" i="21" l="1"/>
  <c r="F13" i="11" s="1"/>
  <c r="F13" i="31" l="1"/>
  <c r="F13" i="24"/>
  <c r="J32" i="21"/>
  <c r="T30" i="21"/>
  <c r="T23" i="21"/>
  <c r="T31" i="21"/>
  <c r="O38" i="21" l="1"/>
  <c r="M38" i="21" s="1"/>
  <c r="K38" i="21" l="1"/>
  <c r="G28" i="31"/>
  <c r="F9" i="31"/>
  <c r="F8" i="31"/>
  <c r="F7" i="31"/>
  <c r="F6" i="31"/>
  <c r="A4" i="31"/>
  <c r="V27" i="21" l="1"/>
  <c r="V28" i="21"/>
  <c r="V29" i="21"/>
  <c r="V30" i="21"/>
  <c r="V31" i="21"/>
  <c r="V32" i="21"/>
  <c r="G29" i="21" l="1"/>
  <c r="J29" i="21" s="1"/>
  <c r="G27" i="21"/>
  <c r="J27" i="21" s="1"/>
  <c r="U23" i="21"/>
  <c r="V189" i="23" l="1"/>
  <c r="R194" i="23" s="1"/>
  <c r="Y194" i="23" s="1"/>
  <c r="AB176" i="23"/>
  <c r="R181" i="23" s="1"/>
  <c r="Y181" i="23" s="1"/>
  <c r="V163" i="23"/>
  <c r="V132" i="23"/>
  <c r="G30" i="21" l="1"/>
  <c r="J30" i="21" s="1"/>
  <c r="G28" i="21"/>
  <c r="J28" i="21" s="1"/>
  <c r="N189" i="23" l="1"/>
  <c r="S189" i="23" s="1"/>
  <c r="O194" i="23" s="1"/>
  <c r="V194" i="23" s="1"/>
  <c r="N163" i="23"/>
  <c r="N132" i="23"/>
  <c r="C129" i="23" s="1"/>
  <c r="R72" i="23"/>
  <c r="AN54" i="23"/>
  <c r="N54" i="23"/>
  <c r="AN53" i="23"/>
  <c r="AB53" i="23"/>
  <c r="W53" i="23"/>
  <c r="I191" i="23" s="1"/>
  <c r="T53" i="23"/>
  <c r="N53" i="23"/>
  <c r="I53" i="23"/>
  <c r="AQ52" i="23"/>
  <c r="AN209" i="23" s="1"/>
  <c r="AN52" i="23"/>
  <c r="AB52" i="23"/>
  <c r="W52" i="23"/>
  <c r="I178" i="23" s="1"/>
  <c r="T52" i="23"/>
  <c r="N52" i="23"/>
  <c r="I52" i="23"/>
  <c r="H174" i="23" s="1"/>
  <c r="AQ51" i="23"/>
  <c r="AI209" i="23" s="1"/>
  <c r="AN51" i="23"/>
  <c r="AF51" i="23"/>
  <c r="W51" i="23"/>
  <c r="I165" i="23" s="1"/>
  <c r="T51" i="23"/>
  <c r="N51" i="23"/>
  <c r="AN50" i="23"/>
  <c r="AF50" i="23"/>
  <c r="W50" i="23"/>
  <c r="I148" i="23" s="1"/>
  <c r="T50" i="23"/>
  <c r="N50" i="23"/>
  <c r="AN49" i="23"/>
  <c r="AF49" i="23"/>
  <c r="W49" i="23"/>
  <c r="I134" i="23" s="1"/>
  <c r="T49" i="23"/>
  <c r="N49" i="23"/>
  <c r="AN48" i="23"/>
  <c r="AF48" i="23"/>
  <c r="W48" i="23"/>
  <c r="I117" i="23" s="1"/>
  <c r="T48" i="23"/>
  <c r="N48" i="23"/>
  <c r="AN47" i="23"/>
  <c r="AB47" i="23"/>
  <c r="M102" i="23" s="1"/>
  <c r="L104" i="23" s="1"/>
  <c r="T47" i="23"/>
  <c r="N47" i="23"/>
  <c r="N94" i="23" s="1"/>
  <c r="AQ46" i="23"/>
  <c r="Q66" i="23" s="1"/>
  <c r="AB46" i="23"/>
  <c r="O85" i="23" s="1"/>
  <c r="L87" i="23" s="1"/>
  <c r="W46" i="23"/>
  <c r="I84" i="23" s="1"/>
  <c r="U46" i="23"/>
  <c r="AO46" i="23" s="1"/>
  <c r="AQ45" i="23"/>
  <c r="M66" i="23" s="1"/>
  <c r="AB45" i="23"/>
  <c r="W45" i="23"/>
  <c r="I73" i="23" s="1"/>
  <c r="U45" i="23"/>
  <c r="AO45" i="23" s="1"/>
  <c r="AQ44" i="23"/>
  <c r="J209" i="23" s="1"/>
  <c r="AN44" i="23"/>
  <c r="AB44" i="23"/>
  <c r="O74" i="23" s="1"/>
  <c r="L76" i="23" s="1"/>
  <c r="W44" i="23"/>
  <c r="I60" i="23" s="1"/>
  <c r="T44" i="23"/>
  <c r="N44" i="23"/>
  <c r="N45" i="23" s="1"/>
  <c r="AA99" i="23"/>
  <c r="U99" i="23"/>
  <c r="AA96" i="23"/>
  <c r="R104" i="23" s="1"/>
  <c r="Y104" i="23" s="1"/>
  <c r="U96" i="23"/>
  <c r="X82" i="23"/>
  <c r="R87" i="23" s="1"/>
  <c r="Y87" i="23" s="1"/>
  <c r="AA71" i="23"/>
  <c r="R76" i="23" s="1"/>
  <c r="Y76" i="23" s="1"/>
  <c r="R63" i="23"/>
  <c r="Y63" i="23" s="1"/>
  <c r="G6" i="23"/>
  <c r="L6" i="23" s="1"/>
  <c r="Q6" i="23" s="1"/>
  <c r="V6" i="23" s="1"/>
  <c r="AA6" i="23" s="1"/>
  <c r="S163" i="23" l="1"/>
  <c r="S168" i="23" s="1"/>
  <c r="C160" i="23"/>
  <c r="V64" i="23"/>
  <c r="S132" i="23"/>
  <c r="S137" i="23" s="1"/>
  <c r="G25" i="21" l="1"/>
  <c r="G24" i="21"/>
  <c r="B18" i="21"/>
  <c r="B17" i="21"/>
  <c r="B16" i="21"/>
  <c r="B15" i="21"/>
  <c r="B14" i="21"/>
  <c r="B13" i="21"/>
  <c r="B12" i="21"/>
  <c r="B11" i="21"/>
  <c r="B10" i="21"/>
  <c r="B9" i="21"/>
  <c r="H3" i="21"/>
  <c r="G3" i="21"/>
  <c r="F3" i="21"/>
  <c r="C3" i="21"/>
  <c r="B3" i="21" s="1"/>
  <c r="F37" i="21"/>
  <c r="S32" i="21"/>
  <c r="P51" i="23"/>
  <c r="P50" i="23"/>
  <c r="S28" i="21"/>
  <c r="AQ49" i="23" s="1"/>
  <c r="Y209" i="23" s="1"/>
  <c r="P49" i="23"/>
  <c r="P18" i="21"/>
  <c r="S16" i="21"/>
  <c r="K15" i="21"/>
  <c r="S14" i="21"/>
  <c r="K14" i="21"/>
  <c r="AE9" i="21" l="1"/>
  <c r="V9" i="21"/>
  <c r="W9" i="21"/>
  <c r="W17" i="21"/>
  <c r="AE17" i="21"/>
  <c r="V17" i="21"/>
  <c r="A18" i="31"/>
  <c r="AE10" i="21"/>
  <c r="V10" i="21"/>
  <c r="W10" i="21"/>
  <c r="A22" i="31"/>
  <c r="AE14" i="21"/>
  <c r="V14" i="21"/>
  <c r="W14" i="21"/>
  <c r="AE18" i="21"/>
  <c r="V18" i="21"/>
  <c r="W18" i="21"/>
  <c r="A19" i="31"/>
  <c r="AE11" i="21"/>
  <c r="V11" i="21"/>
  <c r="W11" i="21"/>
  <c r="AE15" i="21"/>
  <c r="V15" i="21"/>
  <c r="W15" i="21"/>
  <c r="A21" i="31"/>
  <c r="W13" i="21"/>
  <c r="AE13" i="21"/>
  <c r="V13" i="21"/>
  <c r="W12" i="21"/>
  <c r="AE12" i="21"/>
  <c r="V12" i="21"/>
  <c r="A24" i="31"/>
  <c r="W16" i="21"/>
  <c r="AE16" i="21"/>
  <c r="V16" i="21"/>
  <c r="AQ53" i="23"/>
  <c r="AS209" i="23" s="1"/>
  <c r="I9" i="21"/>
  <c r="A17" i="31"/>
  <c r="A25" i="31"/>
  <c r="A26" i="31"/>
  <c r="M15" i="21"/>
  <c r="A23" i="31"/>
  <c r="O12" i="21"/>
  <c r="A20" i="31"/>
  <c r="P48" i="23"/>
  <c r="I3" i="21"/>
  <c r="Z14" i="21" s="1"/>
  <c r="E8" i="21"/>
  <c r="F8" i="21" s="1"/>
  <c r="G8" i="21" s="1"/>
  <c r="H8" i="21" s="1"/>
  <c r="I8" i="21" s="1"/>
  <c r="J8" i="21" s="1"/>
  <c r="E15" i="21"/>
  <c r="T15" i="21"/>
  <c r="Q32" i="21"/>
  <c r="T32" i="21" s="1"/>
  <c r="P53" i="23"/>
  <c r="G15" i="21"/>
  <c r="P15" i="21"/>
  <c r="M55" i="21"/>
  <c r="N55" i="21" s="1"/>
  <c r="AP11" i="23"/>
  <c r="AF11" i="23"/>
  <c r="V11" i="23"/>
  <c r="L11" i="23"/>
  <c r="B11" i="23"/>
  <c r="AK11" i="23"/>
  <c r="AA11" i="23"/>
  <c r="Q11" i="23"/>
  <c r="G11" i="23"/>
  <c r="A21" i="24"/>
  <c r="AP15" i="23"/>
  <c r="AF15" i="23"/>
  <c r="V15" i="23"/>
  <c r="L15" i="23"/>
  <c r="B15" i="23"/>
  <c r="AK15" i="23"/>
  <c r="AA15" i="23"/>
  <c r="Q15" i="23"/>
  <c r="G15" i="23"/>
  <c r="A25" i="24"/>
  <c r="J24" i="21"/>
  <c r="R71" i="23"/>
  <c r="X71" i="23" s="1"/>
  <c r="O76" i="23" s="1"/>
  <c r="V76" i="23" s="1"/>
  <c r="Y59" i="23" s="1"/>
  <c r="K13" i="21"/>
  <c r="P17" i="21"/>
  <c r="G9" i="21"/>
  <c r="AK10" i="23"/>
  <c r="AA10" i="23"/>
  <c r="Q10" i="23"/>
  <c r="G10" i="23"/>
  <c r="AP10" i="23"/>
  <c r="V10" i="23"/>
  <c r="L10" i="23"/>
  <c r="AF10" i="23"/>
  <c r="B10" i="23"/>
  <c r="A20" i="24"/>
  <c r="Q12" i="23"/>
  <c r="AP12" i="23"/>
  <c r="AF12" i="23"/>
  <c r="V12" i="23"/>
  <c r="L12" i="23"/>
  <c r="B12" i="23"/>
  <c r="AK12" i="23"/>
  <c r="G12" i="23"/>
  <c r="AA12" i="23"/>
  <c r="A22" i="24"/>
  <c r="G17" i="21"/>
  <c r="O82" i="23"/>
  <c r="U82" i="23" s="1"/>
  <c r="O87" i="23" s="1"/>
  <c r="V87" i="23" s="1"/>
  <c r="AC59" i="23" s="1"/>
  <c r="Q65" i="23" s="1"/>
  <c r="J25" i="21"/>
  <c r="O11" i="21"/>
  <c r="AK9" i="23"/>
  <c r="AA9" i="23"/>
  <c r="Q9" i="23"/>
  <c r="G9" i="23"/>
  <c r="AP9" i="23"/>
  <c r="AF9" i="23"/>
  <c r="V9" i="23"/>
  <c r="L9" i="23"/>
  <c r="B9" i="23"/>
  <c r="A19" i="24"/>
  <c r="H12" i="21"/>
  <c r="AK13" i="23"/>
  <c r="AA13" i="23"/>
  <c r="Q13" i="23"/>
  <c r="G13" i="23"/>
  <c r="AP13" i="23"/>
  <c r="AF13" i="23"/>
  <c r="V13" i="23"/>
  <c r="L13" i="23"/>
  <c r="B13" i="23"/>
  <c r="A23" i="24"/>
  <c r="O15" i="21"/>
  <c r="I17" i="21"/>
  <c r="AK7" i="23"/>
  <c r="AA7" i="23"/>
  <c r="Q7" i="23"/>
  <c r="G7" i="23"/>
  <c r="AP7" i="23"/>
  <c r="AF7" i="23"/>
  <c r="V7" i="23"/>
  <c r="L7" i="23"/>
  <c r="B7" i="23"/>
  <c r="A17" i="24"/>
  <c r="S17" i="21"/>
  <c r="T17" i="21"/>
  <c r="L3" i="21"/>
  <c r="Z16" i="21"/>
  <c r="Y18" i="21"/>
  <c r="Y14" i="21"/>
  <c r="Z13" i="21"/>
  <c r="Z9" i="21"/>
  <c r="AK8" i="23"/>
  <c r="AP8" i="23"/>
  <c r="AF8" i="23"/>
  <c r="V8" i="23"/>
  <c r="L8" i="23"/>
  <c r="B8" i="23"/>
  <c r="AA8" i="23"/>
  <c r="Q8" i="23"/>
  <c r="G8" i="23"/>
  <c r="A18" i="24"/>
  <c r="O16" i="21"/>
  <c r="AF14" i="23"/>
  <c r="L14" i="23"/>
  <c r="AK14" i="23"/>
  <c r="AA14" i="23"/>
  <c r="Q14" i="23"/>
  <c r="G14" i="23"/>
  <c r="B14" i="23"/>
  <c r="AP14" i="23"/>
  <c r="V14" i="23"/>
  <c r="A24" i="24"/>
  <c r="T18" i="21"/>
  <c r="AA16" i="23"/>
  <c r="G16" i="23"/>
  <c r="AP16" i="23"/>
  <c r="AF16" i="23"/>
  <c r="V16" i="23"/>
  <c r="L16" i="23"/>
  <c r="B16" i="23"/>
  <c r="AK16" i="23"/>
  <c r="Q16" i="23"/>
  <c r="A26" i="24"/>
  <c r="L13" i="21"/>
  <c r="F18" i="3"/>
  <c r="C13" i="21"/>
  <c r="H18" i="3"/>
  <c r="G18" i="3"/>
  <c r="E18" i="3"/>
  <c r="A21" i="11"/>
  <c r="D18" i="3"/>
  <c r="D11" i="21"/>
  <c r="E13" i="21"/>
  <c r="S11" i="21"/>
  <c r="S13" i="21"/>
  <c r="K16" i="21"/>
  <c r="L9" i="21"/>
  <c r="A17" i="11"/>
  <c r="F14" i="3"/>
  <c r="D14" i="3"/>
  <c r="G14" i="3"/>
  <c r="E14" i="3"/>
  <c r="H14" i="3"/>
  <c r="C9" i="21"/>
  <c r="M9" i="21"/>
  <c r="E11" i="21"/>
  <c r="M11" i="21"/>
  <c r="M12" i="21"/>
  <c r="D17" i="3"/>
  <c r="G17" i="3"/>
  <c r="E17" i="3"/>
  <c r="A20" i="11"/>
  <c r="F17" i="3"/>
  <c r="H17" i="3"/>
  <c r="C12" i="21"/>
  <c r="G13" i="21"/>
  <c r="L15" i="21"/>
  <c r="E20" i="3"/>
  <c r="A23" i="11"/>
  <c r="H20" i="3"/>
  <c r="D20" i="3"/>
  <c r="C15" i="21"/>
  <c r="G20" i="3"/>
  <c r="F20" i="3"/>
  <c r="H15" i="21"/>
  <c r="H16" i="21"/>
  <c r="L17" i="21"/>
  <c r="G22" i="3"/>
  <c r="F22" i="3"/>
  <c r="C17" i="21"/>
  <c r="E22" i="3"/>
  <c r="A25" i="11"/>
  <c r="H22" i="3"/>
  <c r="D22" i="3"/>
  <c r="M17" i="21"/>
  <c r="T13" i="21"/>
  <c r="S15" i="21"/>
  <c r="P16" i="21"/>
  <c r="K17" i="21"/>
  <c r="E9" i="21"/>
  <c r="G11" i="21"/>
  <c r="D12" i="21"/>
  <c r="I13" i="21"/>
  <c r="I14" i="21"/>
  <c r="A22" i="11"/>
  <c r="F19" i="3"/>
  <c r="E19" i="3"/>
  <c r="H19" i="3"/>
  <c r="D19" i="3"/>
  <c r="C14" i="21"/>
  <c r="G19" i="3"/>
  <c r="D15" i="21"/>
  <c r="I15" i="21"/>
  <c r="E17" i="21"/>
  <c r="L11" i="21"/>
  <c r="A19" i="11"/>
  <c r="H16" i="3"/>
  <c r="D16" i="3"/>
  <c r="E16" i="3"/>
  <c r="G16" i="3"/>
  <c r="F16" i="3"/>
  <c r="C11" i="21"/>
  <c r="M13" i="21"/>
  <c r="M16" i="21"/>
  <c r="H21" i="3"/>
  <c r="D21" i="3"/>
  <c r="G21" i="3"/>
  <c r="C16" i="21"/>
  <c r="A24" i="11"/>
  <c r="F21" i="3"/>
  <c r="E21" i="3"/>
  <c r="H11" i="21"/>
  <c r="P13" i="21"/>
  <c r="I10" i="21"/>
  <c r="A18" i="11"/>
  <c r="E15" i="3"/>
  <c r="G15" i="3"/>
  <c r="H15" i="3"/>
  <c r="D15" i="3"/>
  <c r="C10" i="21"/>
  <c r="F15" i="3"/>
  <c r="I11" i="21"/>
  <c r="D16" i="21"/>
  <c r="I18" i="21"/>
  <c r="A26" i="11"/>
  <c r="F23" i="3"/>
  <c r="E23" i="3"/>
  <c r="H23" i="3"/>
  <c r="D23" i="3"/>
  <c r="C18" i="21"/>
  <c r="G23" i="3"/>
  <c r="F10" i="21"/>
  <c r="L10" i="21"/>
  <c r="F14" i="21"/>
  <c r="L14" i="21"/>
  <c r="F18" i="21"/>
  <c r="L18" i="21"/>
  <c r="T14" i="21"/>
  <c r="T16" i="21"/>
  <c r="S18" i="21"/>
  <c r="D9" i="21"/>
  <c r="H9" i="21"/>
  <c r="O9" i="21"/>
  <c r="G10" i="21"/>
  <c r="M10" i="21"/>
  <c r="F11" i="21"/>
  <c r="E12" i="21"/>
  <c r="I12" i="21"/>
  <c r="D13" i="21"/>
  <c r="H13" i="21"/>
  <c r="O13" i="21"/>
  <c r="G14" i="21"/>
  <c r="M14" i="21"/>
  <c r="F15" i="21"/>
  <c r="E16" i="21"/>
  <c r="I16" i="21"/>
  <c r="D17" i="21"/>
  <c r="H17" i="21"/>
  <c r="O17" i="21"/>
  <c r="G18" i="21"/>
  <c r="M18" i="21"/>
  <c r="D10" i="21"/>
  <c r="H10" i="21"/>
  <c r="O10" i="21"/>
  <c r="F12" i="21"/>
  <c r="L12" i="21"/>
  <c r="D14" i="21"/>
  <c r="H14" i="21"/>
  <c r="O14" i="21"/>
  <c r="F16" i="21"/>
  <c r="L16" i="21"/>
  <c r="D18" i="21"/>
  <c r="H18" i="21"/>
  <c r="O18" i="21"/>
  <c r="P14" i="21"/>
  <c r="K18" i="21"/>
  <c r="F9" i="21"/>
  <c r="E10" i="21"/>
  <c r="G12" i="21"/>
  <c r="F13" i="21"/>
  <c r="E14" i="21"/>
  <c r="G16" i="21"/>
  <c r="F17" i="21"/>
  <c r="E18" i="21"/>
  <c r="S10" i="21"/>
  <c r="S9" i="21"/>
  <c r="E30" i="21" s="1"/>
  <c r="M29" i="21" s="1"/>
  <c r="N3" i="21"/>
  <c r="R99" i="23" s="1"/>
  <c r="X99" i="23" s="1"/>
  <c r="T9" i="21"/>
  <c r="T10" i="21"/>
  <c r="AQ48" i="23"/>
  <c r="U9" i="21"/>
  <c r="Q9" i="21"/>
  <c r="E28" i="21" s="1"/>
  <c r="M27" i="21" s="1"/>
  <c r="U10" i="21"/>
  <c r="Q10" i="21"/>
  <c r="T11" i="21"/>
  <c r="N11" i="21"/>
  <c r="R11" i="21" s="1"/>
  <c r="U11" i="21" s="1"/>
  <c r="R12" i="21"/>
  <c r="N12" i="21"/>
  <c r="Q12" i="21"/>
  <c r="K12" i="21"/>
  <c r="P12" i="21"/>
  <c r="AQ50" i="23"/>
  <c r="Q11" i="21"/>
  <c r="J9" i="21"/>
  <c r="N9" i="21"/>
  <c r="P9" i="21" s="1"/>
  <c r="R9" i="21"/>
  <c r="J10" i="21"/>
  <c r="N10" i="21"/>
  <c r="P10" i="21" s="1"/>
  <c r="R10" i="21"/>
  <c r="T12" i="21"/>
  <c r="S12" i="21"/>
  <c r="P55" i="21"/>
  <c r="J11" i="21"/>
  <c r="K11" i="21"/>
  <c r="P11" i="21"/>
  <c r="O55" i="21"/>
  <c r="Q55" i="21" s="1"/>
  <c r="R55" i="21" s="1"/>
  <c r="A48" i="13" s="1"/>
  <c r="Q13" i="21"/>
  <c r="U13" i="21"/>
  <c r="Q14" i="21"/>
  <c r="U14" i="21"/>
  <c r="Q15" i="21"/>
  <c r="U15" i="21"/>
  <c r="Q16" i="21"/>
  <c r="U16" i="21"/>
  <c r="Q17" i="21"/>
  <c r="U17" i="21"/>
  <c r="Q18" i="21"/>
  <c r="U18" i="21"/>
  <c r="J13" i="21"/>
  <c r="N13" i="21"/>
  <c r="R13" i="21"/>
  <c r="J14" i="21"/>
  <c r="N14" i="21"/>
  <c r="R14" i="21"/>
  <c r="J15" i="21"/>
  <c r="N15" i="21"/>
  <c r="R15" i="21"/>
  <c r="J16" i="21"/>
  <c r="N16" i="21"/>
  <c r="R16" i="21"/>
  <c r="J17" i="21"/>
  <c r="N17" i="21"/>
  <c r="R17" i="21"/>
  <c r="J18" i="21"/>
  <c r="N18" i="21"/>
  <c r="R18" i="21"/>
  <c r="Z17" i="21" l="1"/>
  <c r="Y17" i="21"/>
  <c r="Y9" i="21"/>
  <c r="Y10" i="21"/>
  <c r="Z12" i="21"/>
  <c r="AI53" i="23"/>
  <c r="AS208" i="23" s="1"/>
  <c r="U32" i="21"/>
  <c r="Z11" i="21"/>
  <c r="Y15" i="21"/>
  <c r="Y16" i="21"/>
  <c r="Z10" i="21"/>
  <c r="Z18" i="21"/>
  <c r="Y13" i="21"/>
  <c r="Z15" i="21"/>
  <c r="Y12" i="21"/>
  <c r="Y11" i="21"/>
  <c r="J23" i="21"/>
  <c r="P44" i="23" s="1"/>
  <c r="AD209" i="23"/>
  <c r="Y155" i="23"/>
  <c r="T209" i="23"/>
  <c r="AB124" i="23"/>
  <c r="I51" i="23"/>
  <c r="H162" i="23" s="1"/>
  <c r="M65" i="23"/>
  <c r="AH59" i="23"/>
  <c r="P46" i="23"/>
  <c r="AI46" i="23" s="1"/>
  <c r="I49" i="23"/>
  <c r="H131" i="23" s="1"/>
  <c r="Q95" i="23"/>
  <c r="R96" i="23" s="1"/>
  <c r="X96" i="23" s="1"/>
  <c r="P45" i="23"/>
  <c r="AI45" i="23" s="1"/>
  <c r="E3" i="21"/>
  <c r="D3" i="21"/>
  <c r="J12" i="21"/>
  <c r="K10" i="21"/>
  <c r="K3" i="21"/>
  <c r="J3" i="21"/>
  <c r="K9" i="21"/>
  <c r="G31" i="21"/>
  <c r="J31" i="21" s="1"/>
  <c r="I37" i="21"/>
  <c r="L37" i="21" s="1"/>
  <c r="Q37" i="21" s="1"/>
  <c r="U12" i="21"/>
  <c r="L25" i="31" l="1"/>
  <c r="Q23" i="21"/>
  <c r="H18" i="30"/>
  <c r="L26" i="31"/>
  <c r="H17" i="30"/>
  <c r="H14" i="30"/>
  <c r="L22" i="31"/>
  <c r="H13" i="30"/>
  <c r="L21" i="31"/>
  <c r="H16" i="30"/>
  <c r="L24" i="31"/>
  <c r="V201" i="23"/>
  <c r="AI44" i="23"/>
  <c r="J208" i="23" s="1"/>
  <c r="V23" i="21"/>
  <c r="P118" i="23"/>
  <c r="N28" i="21"/>
  <c r="X135" i="23" s="1"/>
  <c r="N29" i="21"/>
  <c r="U149" i="23" s="1"/>
  <c r="N30" i="21"/>
  <c r="X166" i="23" s="1"/>
  <c r="N27" i="21"/>
  <c r="T118" i="23" s="1"/>
  <c r="Q149" i="23"/>
  <c r="T176" i="23"/>
  <c r="M64" i="23"/>
  <c r="O63" i="23"/>
  <c r="V63" i="23" s="1"/>
  <c r="Q3" i="21"/>
  <c r="F38" i="21" s="1"/>
  <c r="O3" i="21"/>
  <c r="C38" i="21" s="1"/>
  <c r="P3" i="21"/>
  <c r="D38" i="21" s="1"/>
  <c r="S26" i="21"/>
  <c r="I26" i="21"/>
  <c r="H26" i="21"/>
  <c r="L26" i="21"/>
  <c r="G26" i="21"/>
  <c r="E29" i="21"/>
  <c r="M30" i="21" s="1"/>
  <c r="E27" i="21"/>
  <c r="M28" i="21" s="1"/>
  <c r="E26" i="21"/>
  <c r="I47" i="23" s="1"/>
  <c r="E38" i="21"/>
  <c r="E23" i="21"/>
  <c r="I44" i="23" s="1"/>
  <c r="J26" i="21" l="1"/>
  <c r="AQ47" i="23"/>
  <c r="O209" i="23" s="1"/>
  <c r="T26" i="21"/>
  <c r="F200" i="23"/>
  <c r="H15" i="30"/>
  <c r="L23" i="31"/>
  <c r="W47" i="23"/>
  <c r="I101" i="23" s="1"/>
  <c r="V26" i="21"/>
  <c r="V33" i="21" s="1"/>
  <c r="AA149" i="23"/>
  <c r="L151" i="23" s="1"/>
  <c r="AA151" i="23" s="1"/>
  <c r="O29" i="21"/>
  <c r="Y176" i="23"/>
  <c r="O181" i="23" s="1"/>
  <c r="V181" i="23" s="1"/>
  <c r="P175" i="23"/>
  <c r="Z118" i="23"/>
  <c r="L120" i="23" s="1"/>
  <c r="AA120" i="23" s="1"/>
  <c r="Q31" i="21"/>
  <c r="P52" i="23"/>
  <c r="O27" i="21"/>
  <c r="I48" i="23"/>
  <c r="I50" i="23"/>
  <c r="E33" i="21"/>
  <c r="I54" i="23" s="1"/>
  <c r="G38" i="21"/>
  <c r="AI52" i="23" l="1"/>
  <c r="AN208" i="23" s="1"/>
  <c r="U31" i="21"/>
  <c r="F42" i="21"/>
  <c r="AB48" i="23"/>
  <c r="Q27" i="21"/>
  <c r="T27" i="21" s="1"/>
  <c r="T33" i="21" s="1"/>
  <c r="S33" i="21" s="1"/>
  <c r="Q26" i="21"/>
  <c r="U26" i="21" s="1"/>
  <c r="P47" i="23"/>
  <c r="AB50" i="23"/>
  <c r="Q29" i="21"/>
  <c r="T29" i="21" s="1"/>
  <c r="O30" i="21"/>
  <c r="P166" i="23"/>
  <c r="O28" i="21"/>
  <c r="P135" i="23"/>
  <c r="O201" i="23" l="1"/>
  <c r="AI50" i="23"/>
  <c r="AH200" i="23" s="1"/>
  <c r="U29" i="21"/>
  <c r="AI48" i="23"/>
  <c r="T208" i="23" s="1"/>
  <c r="U27" i="21"/>
  <c r="C49" i="21" s="1"/>
  <c r="Q33" i="21"/>
  <c r="AI54" i="23" s="1"/>
  <c r="AI47" i="23"/>
  <c r="AB49" i="23"/>
  <c r="Q28" i="21"/>
  <c r="T28" i="21" s="1"/>
  <c r="AB51" i="23"/>
  <c r="Q30" i="21"/>
  <c r="U33" i="21" l="1"/>
  <c r="E42" i="21" s="1"/>
  <c r="G42" i="21" s="1"/>
  <c r="T200" i="23"/>
  <c r="AD208" i="23"/>
  <c r="U28" i="21"/>
  <c r="C46" i="21"/>
  <c r="C43" i="21"/>
  <c r="E44" i="21" s="1"/>
  <c r="E46" i="21" s="1"/>
  <c r="C45" i="21"/>
  <c r="C50" i="21"/>
  <c r="C48" i="21"/>
  <c r="C47" i="21"/>
  <c r="C44" i="21"/>
  <c r="F44" i="21" s="1"/>
  <c r="F46" i="21" s="1"/>
  <c r="AI51" i="23"/>
  <c r="U30" i="21"/>
  <c r="O104" i="23"/>
  <c r="V104" i="23" s="1"/>
  <c r="M200" i="23"/>
  <c r="O208" i="23"/>
  <c r="AI49" i="23"/>
  <c r="AQ54" i="23"/>
  <c r="C8" i="3"/>
  <c r="E43" i="21" l="1"/>
  <c r="G43" i="21" s="1"/>
  <c r="E47" i="21" s="1"/>
  <c r="E48" i="21" s="1"/>
  <c r="G46" i="21"/>
  <c r="A10" i="30"/>
  <c r="A14" i="30"/>
  <c r="A18" i="30"/>
  <c r="A9" i="30"/>
  <c r="A13" i="30"/>
  <c r="A17" i="30"/>
  <c r="A12" i="30"/>
  <c r="A16" i="30"/>
  <c r="A11" i="30"/>
  <c r="A15" i="30"/>
  <c r="D8" i="3"/>
  <c r="C16" i="3"/>
  <c r="C18" i="3"/>
  <c r="C20" i="3"/>
  <c r="C22" i="3"/>
  <c r="C15" i="3"/>
  <c r="C17" i="3"/>
  <c r="C19" i="3"/>
  <c r="C21" i="3"/>
  <c r="C23" i="3"/>
  <c r="G29" i="24" l="1"/>
  <c r="F29" i="11"/>
  <c r="F30" i="24"/>
  <c r="AE8" i="21"/>
  <c r="S3" i="21" s="1"/>
  <c r="A50" i="13" s="1"/>
  <c r="B20" i="3"/>
  <c r="B23" i="3"/>
  <c r="B19" i="3"/>
  <c r="B15" i="3"/>
  <c r="C14" i="3"/>
  <c r="B8" i="3"/>
  <c r="B22" i="3"/>
  <c r="B18" i="3"/>
  <c r="B16" i="3"/>
  <c r="B21" i="3"/>
  <c r="B17" i="3"/>
  <c r="B14" i="3"/>
  <c r="H10" i="30" l="1"/>
  <c r="L18" i="31"/>
  <c r="H9" i="30"/>
  <c r="L17" i="31"/>
  <c r="H12" i="30"/>
  <c r="L20" i="31"/>
  <c r="H11" i="30"/>
  <c r="L19" i="31"/>
  <c r="I222" i="23"/>
  <c r="H28" i="31"/>
  <c r="H29" i="24"/>
  <c r="C37" i="21"/>
  <c r="G37" i="21" s="1"/>
  <c r="H37" i="21" s="1"/>
  <c r="R37" i="21" s="1"/>
  <c r="R3" i="21" s="1"/>
  <c r="G29" i="11"/>
  <c r="J37" i="21" l="1"/>
  <c r="C43" i="13"/>
  <c r="C9" i="25"/>
  <c r="C8" i="25"/>
  <c r="C7" i="25"/>
  <c r="C6" i="25"/>
  <c r="O37" i="21" l="1"/>
  <c r="K37" i="21"/>
  <c r="M37" i="21" s="1"/>
  <c r="F9" i="24"/>
  <c r="F8" i="24"/>
  <c r="F7" i="24"/>
  <c r="F6" i="24"/>
  <c r="A4" i="24"/>
  <c r="H4" i="3"/>
  <c r="E4" i="3"/>
  <c r="C4" i="3"/>
  <c r="H3" i="3"/>
  <c r="E3" i="3"/>
  <c r="C3" i="3"/>
  <c r="P37" i="21" l="1"/>
  <c r="F12" i="31"/>
  <c r="N37" i="21"/>
  <c r="F12" i="11"/>
  <c r="F12" i="24"/>
  <c r="F9" i="11"/>
  <c r="F8" i="11"/>
  <c r="F7" i="11"/>
  <c r="F6" i="11"/>
  <c r="AB11" i="21" l="1"/>
  <c r="F11" i="30" s="1"/>
  <c r="AB14" i="21"/>
  <c r="F14" i="30" s="1"/>
  <c r="AA14" i="21"/>
  <c r="F22" i="31" s="1"/>
  <c r="AC13" i="21"/>
  <c r="K21" i="31" s="1"/>
  <c r="AD10" i="21"/>
  <c r="G10" i="30" s="1"/>
  <c r="AB16" i="21"/>
  <c r="F16" i="30" s="1"/>
  <c r="AA13" i="21"/>
  <c r="F21" i="31" s="1"/>
  <c r="AC14" i="21"/>
  <c r="K22" i="31" s="1"/>
  <c r="AD14" i="21"/>
  <c r="G14" i="30" s="1"/>
  <c r="AD17" i="21"/>
  <c r="G17" i="30" s="1"/>
  <c r="AA18" i="21"/>
  <c r="F26" i="31" s="1"/>
  <c r="AC16" i="21"/>
  <c r="K24" i="31" s="1"/>
  <c r="AC12" i="21"/>
  <c r="K20" i="31" s="1"/>
  <c r="AB12" i="21"/>
  <c r="F12" i="30" s="1"/>
  <c r="AD18" i="21"/>
  <c r="H26" i="31" s="1"/>
  <c r="AB10" i="21"/>
  <c r="F10" i="30" s="1"/>
  <c r="AD11" i="21"/>
  <c r="G11" i="30" s="1"/>
  <c r="AC17" i="21"/>
  <c r="K25" i="31" s="1"/>
  <c r="AC15" i="21"/>
  <c r="K23" i="31" s="1"/>
  <c r="AB17" i="21"/>
  <c r="J25" i="31" s="1"/>
  <c r="AA15" i="21"/>
  <c r="F23" i="31" s="1"/>
  <c r="AA10" i="21"/>
  <c r="F18" i="31" s="1"/>
  <c r="AA16" i="21"/>
  <c r="F24" i="31" s="1"/>
  <c r="AA17" i="21"/>
  <c r="F25" i="31" s="1"/>
  <c r="AA11" i="21"/>
  <c r="F19" i="31" s="1"/>
  <c r="AB18" i="21"/>
  <c r="F18" i="30" s="1"/>
  <c r="AA12" i="21"/>
  <c r="F20" i="31" s="1"/>
  <c r="AD12" i="21"/>
  <c r="G12" i="30" s="1"/>
  <c r="AD16" i="21"/>
  <c r="G16" i="30" s="1"/>
  <c r="AC9" i="21"/>
  <c r="K17" i="31" s="1"/>
  <c r="AD13" i="21"/>
  <c r="H21" i="31" s="1"/>
  <c r="AC18" i="21"/>
  <c r="K26" i="31" s="1"/>
  <c r="AA9" i="21"/>
  <c r="F17" i="31" s="1"/>
  <c r="AB9" i="21"/>
  <c r="F9" i="30" s="1"/>
  <c r="AB13" i="21"/>
  <c r="J21" i="31" s="1"/>
  <c r="AC10" i="21"/>
  <c r="K18" i="31" s="1"/>
  <c r="AD15" i="21"/>
  <c r="G15" i="30" s="1"/>
  <c r="AC11" i="21"/>
  <c r="K19" i="31" s="1"/>
  <c r="AD9" i="21"/>
  <c r="G9" i="30" s="1"/>
  <c r="AB15" i="21"/>
  <c r="J23" i="31" s="1"/>
  <c r="S37" i="21"/>
  <c r="A4" i="11"/>
  <c r="AF9" i="21" l="1"/>
  <c r="Q17" i="31" s="1"/>
  <c r="AF10" i="21"/>
  <c r="Q18" i="31" s="1"/>
  <c r="AF12" i="21"/>
  <c r="Q20" i="31" s="1"/>
  <c r="AF16" i="21"/>
  <c r="Q24" i="31" s="1"/>
  <c r="AF13" i="21"/>
  <c r="Q21" i="31" s="1"/>
  <c r="AF17" i="21"/>
  <c r="Q25" i="31" s="1"/>
  <c r="AF14" i="21"/>
  <c r="Q22" i="31" s="1"/>
  <c r="AF18" i="21"/>
  <c r="Q26" i="31" s="1"/>
  <c r="AF11" i="21"/>
  <c r="Q19" i="31" s="1"/>
  <c r="AF15" i="21"/>
  <c r="Q23" i="31" s="1"/>
  <c r="T37" i="21"/>
  <c r="F28" i="24" s="1"/>
  <c r="G21" i="11"/>
  <c r="G22" i="24"/>
  <c r="H18" i="31"/>
  <c r="J19" i="31"/>
  <c r="G22" i="11"/>
  <c r="E18" i="30"/>
  <c r="G21" i="24"/>
  <c r="F26" i="24"/>
  <c r="J22" i="31"/>
  <c r="F22" i="24"/>
  <c r="J24" i="31"/>
  <c r="G24" i="11"/>
  <c r="F17" i="24"/>
  <c r="G24" i="24"/>
  <c r="F22" i="11"/>
  <c r="H22" i="31"/>
  <c r="E14" i="30"/>
  <c r="G18" i="30"/>
  <c r="G25" i="24"/>
  <c r="G20" i="24"/>
  <c r="F25" i="24"/>
  <c r="H19" i="31"/>
  <c r="F26" i="11"/>
  <c r="G20" i="11"/>
  <c r="H17" i="31"/>
  <c r="E13" i="30"/>
  <c r="F21" i="24"/>
  <c r="G26" i="24"/>
  <c r="J18" i="31"/>
  <c r="H25" i="31"/>
  <c r="J20" i="31"/>
  <c r="F21" i="11"/>
  <c r="H23" i="31"/>
  <c r="J17" i="31"/>
  <c r="G17" i="24"/>
  <c r="G23" i="11"/>
  <c r="J26" i="31"/>
  <c r="G19" i="24"/>
  <c r="F24" i="11"/>
  <c r="F17" i="30"/>
  <c r="G13" i="30"/>
  <c r="E16" i="30"/>
  <c r="F20" i="24"/>
  <c r="F13" i="30"/>
  <c r="F20" i="11"/>
  <c r="G17" i="11"/>
  <c r="F24" i="24"/>
  <c r="G25" i="11"/>
  <c r="G19" i="11"/>
  <c r="E12" i="30"/>
  <c r="E11" i="30"/>
  <c r="G23" i="24"/>
  <c r="F15" i="30"/>
  <c r="H20" i="31"/>
  <c r="F23" i="11"/>
  <c r="G18" i="11"/>
  <c r="F18" i="11"/>
  <c r="F19" i="24"/>
  <c r="H24" i="31"/>
  <c r="G26" i="11"/>
  <c r="F25" i="11"/>
  <c r="E10" i="30"/>
  <c r="F17" i="11"/>
  <c r="E15" i="30"/>
  <c r="G18" i="24"/>
  <c r="E17" i="30"/>
  <c r="F18" i="24"/>
  <c r="E9" i="30"/>
  <c r="F19" i="11"/>
  <c r="F23" i="24"/>
  <c r="H109" i="23"/>
  <c r="F28" i="11" l="1"/>
  <c r="H58" i="23"/>
  <c r="I45" i="23"/>
  <c r="I70" i="23" s="1"/>
  <c r="H143" i="23"/>
  <c r="AD135" i="23"/>
  <c r="L137" i="23" s="1"/>
  <c r="Y137" i="23" s="1"/>
  <c r="I94" i="23"/>
  <c r="AD166" i="23" l="1"/>
  <c r="L168" i="23" s="1"/>
  <c r="Y168" i="23" s="1"/>
  <c r="AI208" i="23" l="1"/>
  <c r="H201" i="23"/>
  <c r="F202" i="23" l="1"/>
  <c r="F204" i="23" s="1"/>
  <c r="J207" i="23"/>
  <c r="AX207" i="23" l="1"/>
  <c r="Y208" i="23"/>
  <c r="AA200" i="23"/>
  <c r="M222" i="23"/>
  <c r="R222" i="23" s="1"/>
</calcChain>
</file>

<file path=xl/sharedStrings.xml><?xml version="1.0" encoding="utf-8"?>
<sst xmlns="http://schemas.openxmlformats.org/spreadsheetml/2006/main" count="808" uniqueCount="536">
  <si>
    <r>
      <t xml:space="preserve">CALIBRATION </t>
    </r>
    <r>
      <rPr>
        <b/>
        <sz val="20"/>
        <rFont val="돋움"/>
        <family val="3"/>
        <charset val="129"/>
      </rPr>
      <t>기본정보</t>
    </r>
    <phoneticPr fontId="4" type="noConversion"/>
  </si>
  <si>
    <r>
      <t xml:space="preserve">[1] </t>
    </r>
    <r>
      <rPr>
        <b/>
        <sz val="8"/>
        <rFont val="맑은 고딕"/>
        <family val="3"/>
        <charset val="129"/>
      </rPr>
      <t>교정정보</t>
    </r>
    <r>
      <rPr>
        <b/>
        <sz val="8"/>
        <rFont val="Tahoma"/>
        <family val="2"/>
      </rPr>
      <t/>
    </r>
    <phoneticPr fontId="4" type="noConversion"/>
  </si>
  <si>
    <t>등록번호</t>
    <phoneticPr fontId="4" type="noConversion"/>
  </si>
  <si>
    <r>
      <rPr>
        <sz val="8"/>
        <rFont val="맑은 고딕"/>
        <family val="3"/>
        <charset val="129"/>
      </rPr>
      <t>접수번호</t>
    </r>
    <phoneticPr fontId="4" type="noConversion"/>
  </si>
  <si>
    <r>
      <rPr>
        <sz val="8"/>
        <rFont val="맑은 고딕"/>
        <family val="3"/>
        <charset val="129"/>
      </rPr>
      <t>의뢰기관</t>
    </r>
    <phoneticPr fontId="4" type="noConversion"/>
  </si>
  <si>
    <r>
      <rPr>
        <sz val="8"/>
        <rFont val="맑은 고딕"/>
        <family val="3"/>
        <charset val="129"/>
      </rPr>
      <t>교정일자</t>
    </r>
    <phoneticPr fontId="4" type="noConversion"/>
  </si>
  <si>
    <r>
      <rPr>
        <sz val="8"/>
        <rFont val="맑은 고딕"/>
        <family val="3"/>
        <charset val="129"/>
      </rPr>
      <t>기기명</t>
    </r>
    <phoneticPr fontId="4" type="noConversion"/>
  </si>
  <si>
    <t>교정절차서1</t>
    <phoneticPr fontId="4" type="noConversion"/>
  </si>
  <si>
    <r>
      <rPr>
        <sz val="8"/>
        <rFont val="맑은 고딕"/>
        <family val="3"/>
        <charset val="129"/>
      </rPr>
      <t>제작회사</t>
    </r>
    <phoneticPr fontId="4" type="noConversion"/>
  </si>
  <si>
    <t>교정절차서2</t>
    <phoneticPr fontId="4" type="noConversion"/>
  </si>
  <si>
    <r>
      <rPr>
        <sz val="8"/>
        <rFont val="맑은 고딕"/>
        <family val="3"/>
        <charset val="129"/>
      </rPr>
      <t>형식</t>
    </r>
    <phoneticPr fontId="4" type="noConversion"/>
  </si>
  <si>
    <t>접수확인자</t>
    <phoneticPr fontId="4" type="noConversion"/>
  </si>
  <si>
    <r>
      <rPr>
        <sz val="8"/>
        <rFont val="맑은 고딕"/>
        <family val="3"/>
        <charset val="129"/>
      </rPr>
      <t>기기번호</t>
    </r>
    <phoneticPr fontId="4" type="noConversion"/>
  </si>
  <si>
    <t>인증교정자</t>
    <phoneticPr fontId="4" type="noConversion"/>
  </si>
  <si>
    <t>기술책임자</t>
    <phoneticPr fontId="4" type="noConversion"/>
  </si>
  <si>
    <r>
      <rPr>
        <sz val="8"/>
        <rFont val="맑은 고딕"/>
        <family val="3"/>
        <charset val="129"/>
      </rPr>
      <t>교정주기</t>
    </r>
    <phoneticPr fontId="4" type="noConversion"/>
  </si>
  <si>
    <r>
      <t>KOLAS</t>
    </r>
    <r>
      <rPr>
        <sz val="8"/>
        <rFont val="맑은 고딕"/>
        <family val="3"/>
        <charset val="129"/>
      </rPr>
      <t>유무</t>
    </r>
    <phoneticPr fontId="4" type="noConversion"/>
  </si>
  <si>
    <t>1: KOLAS 성적서
0: 비공인성적서</t>
    <phoneticPr fontId="4" type="noConversion"/>
  </si>
  <si>
    <r>
      <t xml:space="preserve">[2] </t>
    </r>
    <r>
      <rPr>
        <b/>
        <sz val="8"/>
        <rFont val="맑은 고딕"/>
        <family val="3"/>
        <charset val="129"/>
      </rPr>
      <t>교정환경</t>
    </r>
    <r>
      <rPr>
        <b/>
        <sz val="8"/>
        <rFont val="Tahoma"/>
        <family val="2"/>
      </rPr>
      <t/>
    </r>
    <phoneticPr fontId="4" type="noConversion"/>
  </si>
  <si>
    <r>
      <rPr>
        <sz val="8"/>
        <rFont val="맑은 고딕"/>
        <family val="3"/>
        <charset val="129"/>
      </rPr>
      <t>최저온도</t>
    </r>
    <phoneticPr fontId="4" type="noConversion"/>
  </si>
  <si>
    <t>최저습도</t>
    <phoneticPr fontId="4" type="noConversion"/>
  </si>
  <si>
    <t>최저기압</t>
    <phoneticPr fontId="4" type="noConversion"/>
  </si>
  <si>
    <t>교정장소</t>
    <phoneticPr fontId="4" type="noConversion"/>
  </si>
  <si>
    <t>0: KC00-011 고정표준실
1: 현장교정
4: KC10-244 고정표준실</t>
    <phoneticPr fontId="4" type="noConversion"/>
  </si>
  <si>
    <r>
      <rPr>
        <sz val="8"/>
        <rFont val="맑은 고딕"/>
        <family val="3"/>
        <charset val="129"/>
      </rPr>
      <t>최고온도</t>
    </r>
    <phoneticPr fontId="4" type="noConversion"/>
  </si>
  <si>
    <r>
      <rPr>
        <sz val="8"/>
        <rFont val="맑은 고딕"/>
        <family val="3"/>
        <charset val="129"/>
      </rPr>
      <t>최고습도</t>
    </r>
    <phoneticPr fontId="4" type="noConversion"/>
  </si>
  <si>
    <t>최고기압</t>
    <phoneticPr fontId="4" type="noConversion"/>
  </si>
  <si>
    <r>
      <t xml:space="preserve">[3] </t>
    </r>
    <r>
      <rPr>
        <b/>
        <sz val="8"/>
        <rFont val="맑은 고딕"/>
        <family val="3"/>
        <charset val="129"/>
      </rPr>
      <t>교정방법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소급성서술</t>
    </r>
    <r>
      <rPr>
        <b/>
        <sz val="8"/>
        <rFont val="Tahoma"/>
        <family val="2"/>
      </rPr>
      <t/>
    </r>
    <phoneticPr fontId="4" type="noConversion"/>
  </si>
  <si>
    <r>
      <t xml:space="preserve">[4] </t>
    </r>
    <r>
      <rPr>
        <b/>
        <sz val="8"/>
        <rFont val="맑은 고딕"/>
        <family val="3"/>
        <charset val="129"/>
      </rPr>
      <t>교정에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사용한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표준장비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명세</t>
    </r>
    <r>
      <rPr>
        <b/>
        <sz val="8"/>
        <rFont val="Tahoma"/>
        <family val="2"/>
      </rPr>
      <t/>
    </r>
    <phoneticPr fontId="4" type="noConversion"/>
  </si>
  <si>
    <r>
      <rPr>
        <sz val="8"/>
        <rFont val="맑은 고딕"/>
        <family val="3"/>
        <charset val="129"/>
      </rPr>
      <t>등록번호</t>
    </r>
    <phoneticPr fontId="4" type="noConversion"/>
  </si>
  <si>
    <t>기기명</t>
    <phoneticPr fontId="4" type="noConversion"/>
  </si>
  <si>
    <t>제작회사</t>
    <phoneticPr fontId="4" type="noConversion"/>
  </si>
  <si>
    <t>기기번호</t>
    <phoneticPr fontId="4" type="noConversion"/>
  </si>
  <si>
    <t>차기교정예정일자</t>
    <phoneticPr fontId="4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</si>
  <si>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4" type="noConversion"/>
  </si>
  <si>
    <t>세부분류코드</t>
    <phoneticPr fontId="4" type="noConversion"/>
  </si>
  <si>
    <r>
      <t xml:space="preserve">[5] </t>
    </r>
    <r>
      <rPr>
        <b/>
        <sz val="8"/>
        <rFont val="돋움"/>
        <family val="3"/>
        <charset val="129"/>
      </rPr>
      <t>교정결과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검토</t>
    </r>
    <phoneticPr fontId="4" type="noConversion"/>
  </si>
  <si>
    <t>전체</t>
    <phoneticPr fontId="4" type="noConversion"/>
  </si>
  <si>
    <t>특이사항</t>
    <phoneticPr fontId="4" type="noConversion"/>
  </si>
  <si>
    <t>PASS</t>
    <phoneticPr fontId="4" type="noConversion"/>
  </si>
  <si>
    <t>FIAL</t>
    <phoneticPr fontId="4" type="noConversion"/>
  </si>
  <si>
    <t>교정자 확인</t>
    <phoneticPr fontId="4" type="noConversion"/>
  </si>
  <si>
    <t>확인전</t>
  </si>
  <si>
    <t>CONDITION</t>
    <phoneticPr fontId="4" type="noConversion"/>
  </si>
  <si>
    <t>SPEC</t>
    <phoneticPr fontId="4" type="noConversion"/>
  </si>
  <si>
    <t>MEASURED VALUE</t>
    <phoneticPr fontId="4" type="noConversion"/>
  </si>
  <si>
    <t>Display</t>
    <phoneticPr fontId="4" type="noConversion"/>
  </si>
  <si>
    <t>분해능단위</t>
    <phoneticPr fontId="4" type="noConversion"/>
  </si>
  <si>
    <t>MIN</t>
    <phoneticPr fontId="4" type="noConversion"/>
  </si>
  <si>
    <t>MAX</t>
    <phoneticPr fontId="4" type="noConversion"/>
  </si>
  <si>
    <t>UNIT</t>
    <phoneticPr fontId="4" type="noConversion"/>
  </si>
  <si>
    <t>CMC_UNIT</t>
    <phoneticPr fontId="4" type="noConversion"/>
  </si>
  <si>
    <t>CMC 검토</t>
    <phoneticPr fontId="4" type="noConversion"/>
  </si>
  <si>
    <t>자유도</t>
  </si>
  <si>
    <t>∞</t>
  </si>
  <si>
    <t>CMC_1</t>
    <phoneticPr fontId="4" type="noConversion"/>
  </si>
  <si>
    <t>CMC_2</t>
  </si>
  <si>
    <t xml:space="preserve"> 성적서발급번호(Certificate No) :</t>
    <phoneticPr fontId="4" type="noConversion"/>
  </si>
  <si>
    <t>CALIBRATION Result</t>
    <phoneticPr fontId="4" type="noConversion"/>
  </si>
  <si>
    <t>부록</t>
    <phoneticPr fontId="4" type="noConversion"/>
  </si>
  <si>
    <t>단위</t>
    <phoneticPr fontId="4" type="noConversion"/>
  </si>
  <si>
    <r>
      <rPr>
        <b/>
        <sz val="20"/>
        <rFont val="돋움"/>
        <family val="3"/>
        <charset val="129"/>
      </rPr>
      <t>◆</t>
    </r>
    <r>
      <rPr>
        <b/>
        <sz val="20"/>
        <rFont val="Tahoma"/>
        <family val="2"/>
      </rPr>
      <t xml:space="preserve"> RAWDATA </t>
    </r>
    <r>
      <rPr>
        <b/>
        <sz val="20"/>
        <rFont val="돋움"/>
        <family val="3"/>
        <charset val="129"/>
      </rPr>
      <t>◆</t>
    </r>
    <phoneticPr fontId="4" type="noConversion"/>
  </si>
  <si>
    <t>최소눈금</t>
    <phoneticPr fontId="4" type="noConversion"/>
  </si>
  <si>
    <t>CMC</t>
    <phoneticPr fontId="4" type="noConversion"/>
  </si>
  <si>
    <t>1st</t>
    <phoneticPr fontId="4" type="noConversion"/>
  </si>
  <si>
    <t>2nd</t>
    <phoneticPr fontId="4" type="noConversion"/>
  </si>
  <si>
    <t>등록번호</t>
    <phoneticPr fontId="77" type="noConversion"/>
  </si>
  <si>
    <t>기기명(종류)</t>
    <phoneticPr fontId="77" type="noConversion"/>
  </si>
  <si>
    <t>측정값</t>
    <phoneticPr fontId="77" type="noConversion"/>
  </si>
  <si>
    <t>단위</t>
    <phoneticPr fontId="77" type="noConversion"/>
  </si>
  <si>
    <t>보정값</t>
    <phoneticPr fontId="77" type="noConversion"/>
  </si>
  <si>
    <t>불확도 단위</t>
    <phoneticPr fontId="77" type="noConversion"/>
  </si>
  <si>
    <t>포함인자</t>
    <phoneticPr fontId="77" type="noConversion"/>
  </si>
  <si>
    <t>판정결과</t>
    <phoneticPr fontId="4" type="noConversion"/>
  </si>
  <si>
    <t>Resolution</t>
    <phoneticPr fontId="4" type="noConversion"/>
  </si>
  <si>
    <t>분해능</t>
    <phoneticPr fontId="4" type="noConversion"/>
  </si>
  <si>
    <t>2회</t>
  </si>
  <si>
    <t>3회</t>
  </si>
  <si>
    <t>◆ 측정불확도 추정보고서 ◆</t>
    <phoneticPr fontId="4" type="noConversion"/>
  </si>
  <si>
    <t>환산계수</t>
    <phoneticPr fontId="4" type="noConversion"/>
  </si>
  <si>
    <t>표준편차</t>
    <phoneticPr fontId="4" type="noConversion"/>
  </si>
  <si>
    <t>C</t>
    <phoneticPr fontId="4" type="noConversion"/>
  </si>
  <si>
    <t>D</t>
    <phoneticPr fontId="4" type="noConversion"/>
  </si>
  <si>
    <t>|</t>
    <phoneticPr fontId="4" type="noConversion"/>
  </si>
  <si>
    <t>×</t>
    <phoneticPr fontId="4" type="noConversion"/>
  </si>
  <si>
    <t>U</t>
    <phoneticPr fontId="4" type="noConversion"/>
  </si>
  <si>
    <t>k</t>
    <phoneticPr fontId="4" type="noConversion"/>
  </si>
  <si>
    <t>B4. 감도계수 :</t>
    <phoneticPr fontId="4" type="noConversion"/>
  </si>
  <si>
    <t>B6. 자유도 :</t>
    <phoneticPr fontId="4" type="noConversion"/>
  </si>
  <si>
    <t>∞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</si>
  <si>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0%로 추정</t>
    </r>
    <phoneticPr fontId="4" type="noConversion"/>
  </si>
  <si>
    <t>C3. 확률분포 :</t>
    <phoneticPr fontId="4" type="noConversion"/>
  </si>
  <si>
    <t>직사각형</t>
    <phoneticPr fontId="4" type="noConversion"/>
  </si>
  <si>
    <t>C4. 감도계수 :</t>
    <phoneticPr fontId="4" type="noConversion"/>
  </si>
  <si>
    <t>C6. 자유도 :</t>
    <phoneticPr fontId="4" type="noConversion"/>
  </si>
  <si>
    <t>D1. 추정값 :</t>
    <phoneticPr fontId="4" type="noConversion"/>
  </si>
  <si>
    <t>D4. 감도계수 :</t>
    <phoneticPr fontId="4" type="noConversion"/>
  </si>
  <si>
    <t>D6. 자유도 :</t>
    <phoneticPr fontId="4" type="noConversion"/>
  </si>
  <si>
    <t>+</t>
    <phoneticPr fontId="4" type="noConversion"/>
  </si>
  <si>
    <t>1회</t>
    <phoneticPr fontId="4" type="noConversion"/>
  </si>
  <si>
    <t>● Calibration Result</t>
    <phoneticPr fontId="4" type="noConversion"/>
  </si>
  <si>
    <t xml:space="preserve"> 성적서발급번호(Certificate No) :</t>
    <phoneticPr fontId="4" type="noConversion"/>
  </si>
  <si>
    <t>● 교정결과</t>
    <phoneticPr fontId="4" type="noConversion"/>
  </si>
  <si>
    <t>교정번호</t>
    <phoneticPr fontId="4" type="noConversion"/>
  </si>
  <si>
    <t>교정일자</t>
    <phoneticPr fontId="4" type="noConversion"/>
  </si>
  <si>
    <t>● Range 1</t>
    <phoneticPr fontId="4" type="noConversion"/>
  </si>
  <si>
    <t>○ 측정데이터</t>
    <phoneticPr fontId="4" type="noConversion"/>
  </si>
  <si>
    <t>교정자</t>
    <phoneticPr fontId="4" type="noConversion"/>
  </si>
  <si>
    <t>Spec</t>
    <phoneticPr fontId="4" type="noConversion"/>
  </si>
  <si>
    <t>교정값</t>
    <phoneticPr fontId="4" type="noConversion"/>
  </si>
  <si>
    <t>Decision</t>
    <phoneticPr fontId="4" type="noConversion"/>
  </si>
  <si>
    <t>[Length Calibration]</t>
    <phoneticPr fontId="4" type="noConversion"/>
  </si>
  <si>
    <t>명목값</t>
    <phoneticPr fontId="4" type="noConversion"/>
  </si>
  <si>
    <t>3rd</t>
    <phoneticPr fontId="4" type="noConversion"/>
  </si>
  <si>
    <t>4th</t>
    <phoneticPr fontId="4" type="noConversion"/>
  </si>
  <si>
    <t>5th</t>
    <phoneticPr fontId="4" type="noConversion"/>
  </si>
  <si>
    <t>기준기 교정데이터</t>
    <phoneticPr fontId="4" type="noConversion"/>
  </si>
  <si>
    <t>번호</t>
    <phoneticPr fontId="77" type="noConversion"/>
  </si>
  <si>
    <t>측정위치</t>
    <phoneticPr fontId="77" type="noConversion"/>
  </si>
  <si>
    <t>명목값</t>
    <phoneticPr fontId="77" type="noConversion"/>
  </si>
  <si>
    <t>기준값</t>
    <phoneticPr fontId="77" type="noConversion"/>
  </si>
  <si>
    <t>비고</t>
    <phoneticPr fontId="4" type="noConversion"/>
  </si>
  <si>
    <t>교정일자</t>
    <phoneticPr fontId="77" type="noConversion"/>
  </si>
  <si>
    <t>최대범위</t>
    <phoneticPr fontId="4" type="noConversion"/>
  </si>
  <si>
    <t>CMC2</t>
    <phoneticPr fontId="4" type="noConversion"/>
  </si>
  <si>
    <r>
      <t>3회</t>
    </r>
    <r>
      <rPr>
        <b/>
        <sz val="9"/>
        <color indexed="9"/>
        <rFont val="굴림"/>
        <family val="3"/>
        <charset val="129"/>
      </rPr>
      <t/>
    </r>
  </si>
  <si>
    <r>
      <t>4회</t>
    </r>
    <r>
      <rPr>
        <b/>
        <sz val="9"/>
        <color indexed="9"/>
        <rFont val="굴림"/>
        <family val="3"/>
        <charset val="129"/>
      </rPr>
      <t/>
    </r>
  </si>
  <si>
    <r>
      <t>5회</t>
    </r>
    <r>
      <rPr>
        <b/>
        <sz val="9"/>
        <color indexed="9"/>
        <rFont val="굴림"/>
        <family val="3"/>
        <charset val="129"/>
      </rPr>
      <t/>
    </r>
  </si>
  <si>
    <t>α_avr</t>
  </si>
  <si>
    <t>열팽창계수차</t>
    <phoneticPr fontId="4" type="noConversion"/>
  </si>
  <si>
    <t>Δα</t>
  </si>
  <si>
    <t>Δt</t>
  </si>
  <si>
    <t>t_avr-20</t>
  </si>
  <si>
    <t>δt</t>
  </si>
  <si>
    <t>최소범위</t>
    <phoneticPr fontId="4" type="noConversion"/>
  </si>
  <si>
    <t>Res. (mm)</t>
    <phoneticPr fontId="4" type="noConversion"/>
  </si>
  <si>
    <t>μm</t>
    <phoneticPr fontId="4" type="noConversion"/>
  </si>
  <si>
    <t>평균열팽창계수</t>
    <phoneticPr fontId="4" type="noConversion"/>
  </si>
  <si>
    <t>/℃</t>
    <phoneticPr fontId="4" type="noConversion"/>
  </si>
  <si>
    <t>℃·μm</t>
    <phoneticPr fontId="4" type="noConversion"/>
  </si>
  <si>
    <t>CMC단위</t>
    <phoneticPr fontId="4" type="noConversion"/>
  </si>
  <si>
    <t>2. 교정결과</t>
    <phoneticPr fontId="4" type="noConversion"/>
  </si>
  <si>
    <t>지시값</t>
    <phoneticPr fontId="4" type="noConversion"/>
  </si>
  <si>
    <t>온도차</t>
    <phoneticPr fontId="4" type="noConversion"/>
  </si>
  <si>
    <t>2회</t>
    <phoneticPr fontId="4" type="noConversion"/>
  </si>
  <si>
    <r>
      <t>α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</si>
  <si>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t>Δt</t>
    <phoneticPr fontId="4" type="noConversion"/>
  </si>
  <si>
    <t>Δα</t>
    <phoneticPr fontId="4" type="noConversion"/>
  </si>
  <si>
    <t>δt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</si>
  <si>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0</t>
    </r>
    <phoneticPr fontId="4" type="noConversion"/>
  </si>
  <si>
    <t>℃</t>
    <phoneticPr fontId="4" type="noConversion"/>
  </si>
  <si>
    <t>1. 교정조건</t>
    <phoneticPr fontId="4" type="noConversion"/>
  </si>
  <si>
    <r>
      <t>t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</si>
  <si>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t>Div. (mm)</t>
    <phoneticPr fontId="4" type="noConversion"/>
  </si>
  <si>
    <t>CMC1</t>
    <phoneticPr fontId="4" type="noConversion"/>
  </si>
  <si>
    <r>
      <t>CMC</t>
    </r>
    <r>
      <rPr>
        <b/>
        <sz val="9"/>
        <color indexed="9"/>
        <rFont val="돋움"/>
        <family val="3"/>
        <charset val="129"/>
      </rPr>
      <t>초과</t>
    </r>
    <r>
      <rPr>
        <b/>
        <sz val="9"/>
        <color indexed="9"/>
        <rFont val="Tahoma"/>
        <family val="2"/>
      </rPr>
      <t>?</t>
    </r>
  </si>
  <si>
    <t>FAIL?</t>
  </si>
  <si>
    <t>보정값</t>
    <phoneticPr fontId="4" type="noConversion"/>
  </si>
  <si>
    <t>자리수 맞춤</t>
    <phoneticPr fontId="4" type="noConversion"/>
  </si>
  <si>
    <t>Pass/Fail</t>
    <phoneticPr fontId="4" type="noConversion"/>
  </si>
  <si>
    <t>평균</t>
    <phoneticPr fontId="4" type="noConversion"/>
  </si>
  <si>
    <t>Min</t>
    <phoneticPr fontId="4" type="noConversion"/>
  </si>
  <si>
    <t>Max</t>
    <phoneticPr fontId="4" type="noConversion"/>
  </si>
  <si>
    <t>3. 불확도 계산</t>
    <phoneticPr fontId="4" type="noConversion"/>
  </si>
  <si>
    <t>4. 성적서용</t>
    <phoneticPr fontId="4" type="noConversion"/>
  </si>
  <si>
    <t>요인</t>
    <phoneticPr fontId="4" type="noConversion"/>
  </si>
  <si>
    <t>입력량</t>
    <phoneticPr fontId="4" type="noConversion"/>
  </si>
  <si>
    <t>추정값</t>
    <phoneticPr fontId="4" type="noConversion"/>
  </si>
  <si>
    <t>요인(값)</t>
    <phoneticPr fontId="4" type="noConversion"/>
  </si>
  <si>
    <t>표준불확도</t>
    <phoneticPr fontId="4" type="noConversion"/>
  </si>
  <si>
    <t>확률분포</t>
    <phoneticPr fontId="4" type="noConversion"/>
  </si>
  <si>
    <t>감도계수</t>
    <phoneticPr fontId="4" type="noConversion"/>
  </si>
  <si>
    <t>불확도기여량</t>
    <phoneticPr fontId="4" type="noConversion"/>
  </si>
  <si>
    <t>자유도</t>
    <phoneticPr fontId="4" type="noConversion"/>
  </si>
  <si>
    <t>눈금값</t>
    <phoneticPr fontId="4" type="noConversion"/>
  </si>
  <si>
    <t>A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</si>
  <si>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x</t>
    </r>
    <phoneticPr fontId="4" type="noConversion"/>
  </si>
  <si>
    <t>mm</t>
    <phoneticPr fontId="4" type="noConversion"/>
  </si>
  <si>
    <t>B</t>
    <phoneticPr fontId="4" type="noConversion"/>
  </si>
  <si>
    <t>기준기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</si>
  <si>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s</t>
    </r>
    <phoneticPr fontId="4" type="noConversion"/>
  </si>
  <si>
    <t>정규</t>
    <phoneticPr fontId="4" type="noConversion"/>
  </si>
  <si>
    <t>E</t>
    <phoneticPr fontId="4" type="noConversion"/>
  </si>
  <si>
    <t>/℃·μm</t>
    <phoneticPr fontId="4" type="noConversion"/>
  </si>
  <si>
    <t>F</t>
    <phoneticPr fontId="4" type="noConversion"/>
  </si>
  <si>
    <t>G</t>
    <phoneticPr fontId="4" type="noConversion"/>
  </si>
  <si>
    <t>H</t>
    <phoneticPr fontId="4" type="noConversion"/>
  </si>
  <si>
    <t>평행도</t>
    <phoneticPr fontId="4" type="noConversion"/>
  </si>
  <si>
    <r>
      <t>δl</t>
    </r>
    <r>
      <rPr>
        <vertAlign val="subscript"/>
        <sz val="9"/>
        <rFont val="맑은 고딕"/>
        <family val="3"/>
        <charset val="129"/>
        <scheme val="major"/>
      </rPr>
      <t>M</t>
    </r>
    <phoneticPr fontId="4" type="noConversion"/>
  </si>
  <si>
    <t>I</t>
    <phoneticPr fontId="4" type="noConversion"/>
  </si>
  <si>
    <t>합성표준</t>
    <phoneticPr fontId="4" type="noConversion"/>
  </si>
  <si>
    <t>※ 직사각형 확률분포가 합성표준불확도에 미치는 영향</t>
    <phoneticPr fontId="4" type="noConversion"/>
  </si>
  <si>
    <t>직사각형
분포 성분</t>
    <phoneticPr fontId="4" type="noConversion"/>
  </si>
  <si>
    <t>측정불확도</t>
    <phoneticPr fontId="4" type="noConversion"/>
  </si>
  <si>
    <t>선택</t>
    <phoneticPr fontId="4" type="noConversion"/>
  </si>
  <si>
    <t>소수점 자리수</t>
    <phoneticPr fontId="4" type="noConversion"/>
  </si>
  <si>
    <t>신뢰수준(%)</t>
    <phoneticPr fontId="4" type="noConversion"/>
  </si>
  <si>
    <t>계산(mm)</t>
    <phoneticPr fontId="4" type="noConversion"/>
  </si>
  <si>
    <t>Rawdata</t>
    <phoneticPr fontId="4" type="noConversion"/>
  </si>
  <si>
    <t>Number</t>
    <phoneticPr fontId="4" type="noConversion"/>
  </si>
  <si>
    <t>소수점</t>
    <phoneticPr fontId="4" type="noConversion"/>
  </si>
  <si>
    <t>Format</t>
    <phoneticPr fontId="4" type="noConversion"/>
  </si>
  <si>
    <t>자리수</t>
    <phoneticPr fontId="4" type="noConversion"/>
  </si>
  <si>
    <t>0</t>
    <phoneticPr fontId="4" type="noConversion"/>
  </si>
  <si>
    <t>0.0</t>
    <phoneticPr fontId="4" type="noConversion"/>
  </si>
  <si>
    <t>0.00</t>
    <phoneticPr fontId="4" type="noConversion"/>
  </si>
  <si>
    <t>0.000</t>
    <phoneticPr fontId="4" type="noConversion"/>
  </si>
  <si>
    <t>0.000 0</t>
    <phoneticPr fontId="4" type="noConversion"/>
  </si>
  <si>
    <t>0.000 00</t>
    <phoneticPr fontId="4" type="noConversion"/>
  </si>
  <si>
    <t>0.000 000</t>
    <phoneticPr fontId="4" type="noConversion"/>
  </si>
  <si>
    <t>0.000 000 0</t>
    <phoneticPr fontId="4" type="noConversion"/>
  </si>
  <si>
    <t>0.000 000 00</t>
    <phoneticPr fontId="4" type="noConversion"/>
  </si>
  <si>
    <t>0.000 000 000</t>
    <phoneticPr fontId="4" type="noConversion"/>
  </si>
  <si>
    <t>최소범위 (mm)</t>
    <phoneticPr fontId="4" type="noConversion"/>
  </si>
  <si>
    <t>최대범위 (mm)</t>
    <phoneticPr fontId="4" type="noConversion"/>
  </si>
  <si>
    <r>
      <t xml:space="preserve">1. </t>
    </r>
    <r>
      <rPr>
        <b/>
        <sz val="9"/>
        <rFont val="돋움"/>
        <family val="3"/>
        <charset val="129"/>
      </rPr>
      <t>반복측정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결과</t>
    </r>
    <phoneticPr fontId="4" type="noConversion"/>
  </si>
  <si>
    <t>4회</t>
  </si>
  <si>
    <t>5회</t>
  </si>
  <si>
    <t>눈금값</t>
    <phoneticPr fontId="4" type="noConversion"/>
  </si>
  <si>
    <t>보정값</t>
    <phoneticPr fontId="4" type="noConversion"/>
  </si>
  <si>
    <t>(mm)</t>
    <phoneticPr fontId="4" type="noConversion"/>
  </si>
  <si>
    <t>Nominal</t>
    <phoneticPr fontId="4" type="noConversion"/>
  </si>
  <si>
    <t>Correction</t>
    <phoneticPr fontId="4" type="noConversion"/>
  </si>
  <si>
    <t>1. 교정결과</t>
    <phoneticPr fontId="4" type="noConversion"/>
  </si>
  <si>
    <t>(mm)</t>
    <phoneticPr fontId="4" type="noConversion"/>
  </si>
  <si>
    <t>■ 반복 측정 결과</t>
    <phoneticPr fontId="4" type="noConversion"/>
  </si>
  <si>
    <t>평균값</t>
    <phoneticPr fontId="4" type="noConversion"/>
  </si>
  <si>
    <t>3회</t>
    <phoneticPr fontId="4" type="noConversion"/>
  </si>
  <si>
    <t>4회</t>
    <phoneticPr fontId="4" type="noConversion"/>
  </si>
  <si>
    <t>5회</t>
    <phoneticPr fontId="4" type="noConversion"/>
  </si>
  <si>
    <t>■ 수학적 모델</t>
    <phoneticPr fontId="4" type="noConversion"/>
  </si>
  <si>
    <t>: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</si>
  <si>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x</t>
    </r>
    <phoneticPr fontId="4" type="noConversion"/>
  </si>
  <si>
    <r>
      <t>l</t>
    </r>
    <r>
      <rPr>
        <i/>
        <vertAlign val="subscript"/>
        <sz val="10"/>
        <rFont val="Times New Roman"/>
        <family val="1"/>
      </rPr>
      <t>s</t>
    </r>
    <phoneticPr fontId="4" type="noConversion"/>
  </si>
  <si>
    <r>
      <t>l</t>
    </r>
    <r>
      <rPr>
        <vertAlign val="subscript"/>
        <sz val="10"/>
        <rFont val="Times New Roman"/>
        <family val="1"/>
      </rPr>
      <t>0</t>
    </r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</si>
  <si>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M</t>
    </r>
    <phoneticPr fontId="4" type="noConversion"/>
  </si>
  <si>
    <t>■ 합성표준불확도 관계식</t>
    <phoneticPr fontId="4" type="noConversion"/>
  </si>
  <si>
    <t>※ 감도계수</t>
    <phoneticPr fontId="4" type="noConversion"/>
  </si>
  <si>
    <t>■ 불확도 총괄표</t>
    <phoneticPr fontId="4" type="noConversion"/>
  </si>
  <si>
    <t>불확도 기여량</t>
    <phoneticPr fontId="4" type="noConversion"/>
  </si>
  <si>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</si>
  <si>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t>■ 표준불확도 성분의 계산</t>
    <phoneticPr fontId="4" type="noConversion"/>
  </si>
  <si>
    <t>※ 표준불확도 성분은 우연효과로 인한 불확도로써 A형 평가를 통하여 구한다.</t>
    <phoneticPr fontId="4" type="noConversion"/>
  </si>
  <si>
    <r>
      <t>반복측정한</t>
    </r>
    <r>
      <rPr>
        <sz val="10"/>
        <rFont val="맑은 고딕"/>
        <family val="1"/>
        <scheme val="major"/>
      </rPr>
      <t xml:space="preserve"> 결과의 </t>
    </r>
    <r>
      <rPr>
        <sz val="10"/>
        <rFont val="맑은 고딕"/>
        <family val="3"/>
        <charset val="129"/>
        <scheme val="major"/>
      </rPr>
      <t>표준편차(</t>
    </r>
    <r>
      <rPr>
        <i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ajor"/>
      </rPr>
      <t>)를 구하고 이 값을 측정횟수의 제곱근으로 나누어 구한다.</t>
    </r>
    <phoneticPr fontId="4" type="noConversion"/>
  </si>
  <si>
    <t>A2. 표준불확도 :</t>
    <phoneticPr fontId="4" type="noConversion"/>
  </si>
  <si>
    <r>
      <rPr>
        <sz val="10"/>
        <rFont val="맑은 고딕"/>
        <family val="3"/>
        <charset val="129"/>
      </rPr>
      <t>※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</rPr>
      <t>표준편차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s</t>
    </r>
    <r>
      <rPr>
        <sz val="10"/>
        <rFont val="Times New Roman"/>
        <family val="1"/>
      </rPr>
      <t>) :</t>
    </r>
    <phoneticPr fontId="4" type="noConversion"/>
  </si>
  <si>
    <t>s</t>
    <phoneticPr fontId="4" type="noConversion"/>
  </si>
  <si>
    <t>=</t>
    <phoneticPr fontId="4" type="noConversion"/>
  </si>
  <si>
    <t>A4. 감도계수 :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</si>
  <si>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 xml:space="preserve">) = </t>
    </r>
    <r>
      <rPr>
        <i/>
        <sz val="10"/>
        <rFont val="Times New Roman"/>
        <family val="1"/>
      </rPr>
      <t>n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  <scheme val="minor"/>
      </rPr>
      <t>- 1 = 5 - 1 = 4</t>
    </r>
    <phoneticPr fontId="4" type="noConversion"/>
  </si>
  <si>
    <t>※ 교정성적서에 주어진 기준기의 측정불확도를 포함인자로 나누어 구한다.</t>
    <phoneticPr fontId="4" type="noConversion"/>
  </si>
  <si>
    <t>B1. 추정값 :</t>
    <phoneticPr fontId="4" type="noConversion"/>
  </si>
  <si>
    <t>B5. 불확도 기여도 :</t>
    <phoneticPr fontId="4" type="noConversion"/>
  </si>
  <si>
    <t>C1. 추정값 :</t>
    <phoneticPr fontId="4" type="noConversion"/>
  </si>
  <si>
    <r>
      <t>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</si>
  <si>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C2. 표준불확도 :</t>
    <phoneticPr fontId="4" type="noConversion"/>
  </si>
  <si>
    <t>※ 불확도 전파법칙에 의한 수식 :</t>
    <phoneticPr fontId="4" type="noConversion"/>
  </si>
  <si>
    <r>
      <t xml:space="preserve">※ 열팽창계수의 불확도 값 :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>=u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>=</t>
    </r>
    <phoneticPr fontId="4" type="noConversion"/>
  </si>
  <si>
    <r>
      <t>1.0×10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</si>
  <si>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r>
      <t>0.58×10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</si>
  <si>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불확도 전파법칙에 의한 수식에 열팽창계수의 불확도 값을 대입하여 계산하면</t>
    <phoneticPr fontId="4" type="noConversion"/>
  </si>
  <si>
    <r>
      <t>0.41×10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</si>
  <si>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℃×</t>
    <phoneticPr fontId="4" type="noConversion"/>
  </si>
  <si>
    <t>｜</t>
    <phoneticPr fontId="4" type="noConversion"/>
  </si>
  <si>
    <r>
      <t>℃·μm × 0.41 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</si>
  <si>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D2. 표준불확도 :</t>
    <phoneticPr fontId="4" type="noConversion"/>
  </si>
  <si>
    <r>
      <t xml:space="preserve">※ 불확도 전파법칙에 의한 수식 : </t>
    </r>
    <r>
      <rPr>
        <i/>
        <sz val="10"/>
        <rFont val="Times New Roman"/>
        <family val="1"/>
      </rPr>
      <t>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Δα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 xml:space="preserve"> = 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 xml:space="preserve"> + 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phoneticPr fontId="4" type="noConversion"/>
  </si>
  <si>
    <r>
      <t xml:space="preserve">※ 열팽창계수의 불확도 값 :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 xml:space="preserve">) =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r>
      <rPr>
        <sz val="10"/>
        <rFont val="맑은 고딕"/>
        <family val="3"/>
        <charset val="129"/>
        <scheme val="major"/>
      </rPr>
      <t xml:space="preserve"> = 0.58×10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</si>
  <si>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D3. 확률분포 :</t>
    <phoneticPr fontId="4" type="noConversion"/>
  </si>
  <si>
    <r>
      <t>℃·μm × 0.82 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</si>
  <si>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E1. 추정값 :</t>
    <phoneticPr fontId="4" type="noConversion"/>
  </si>
  <si>
    <t>E2. 표준불확도 :</t>
    <phoneticPr fontId="4" type="noConversion"/>
  </si>
  <si>
    <t>E3. 확률분포 :</t>
    <phoneticPr fontId="4" type="noConversion"/>
  </si>
  <si>
    <t>E4. 감도계수 :</t>
    <phoneticPr fontId="4" type="noConversion"/>
  </si>
  <si>
    <t>E5. 불확도 기여량 :</t>
    <phoneticPr fontId="4" type="noConversion"/>
  </si>
  <si>
    <t>E6. 자유도 :</t>
    <phoneticPr fontId="4" type="noConversion"/>
  </si>
  <si>
    <t>F1. 추정값 :</t>
    <phoneticPr fontId="4" type="noConversion"/>
  </si>
  <si>
    <t>F2. 표준불확도 :</t>
    <phoneticPr fontId="4" type="noConversion"/>
  </si>
  <si>
    <t>F3. 확률분포 :</t>
    <phoneticPr fontId="4" type="noConversion"/>
  </si>
  <si>
    <t>F4. 감도계수 :</t>
    <phoneticPr fontId="4" type="noConversion"/>
  </si>
  <si>
    <t>F5. 불확도 기여량 :</t>
    <phoneticPr fontId="4" type="noConversion"/>
  </si>
  <si>
    <t>F6. 자유도 :</t>
    <phoneticPr fontId="4" type="noConversion"/>
  </si>
  <si>
    <t>G1. 추정값 :</t>
    <phoneticPr fontId="4" type="noConversion"/>
  </si>
  <si>
    <t>G2. 표준불확도 :</t>
    <phoneticPr fontId="4" type="noConversion"/>
  </si>
  <si>
    <t>G3. 확률분포 :</t>
    <phoneticPr fontId="4" type="noConversion"/>
  </si>
  <si>
    <t>G4. 감도계수 :</t>
    <phoneticPr fontId="4" type="noConversion"/>
  </si>
  <si>
    <t>G5. 불확도 기여량 :</t>
    <phoneticPr fontId="4" type="noConversion"/>
  </si>
  <si>
    <t>G6. 자유도 :</t>
    <phoneticPr fontId="4" type="noConversion"/>
  </si>
  <si>
    <t>H1. 추정값 :</t>
    <phoneticPr fontId="4" type="noConversion"/>
  </si>
  <si>
    <t>H2. 표준불확도 :</t>
    <phoneticPr fontId="4" type="noConversion"/>
  </si>
  <si>
    <t>H3. 확률분포 :</t>
    <phoneticPr fontId="4" type="noConversion"/>
  </si>
  <si>
    <t>H4. 감도계수 :</t>
    <phoneticPr fontId="4" type="noConversion"/>
  </si>
  <si>
    <t>H5. 불확도 기여량 :</t>
    <phoneticPr fontId="4" type="noConversion"/>
  </si>
  <si>
    <t>H6. 자유도 :</t>
    <phoneticPr fontId="4" type="noConversion"/>
  </si>
  <si>
    <t>■ 합성표준불확도 계산</t>
    <phoneticPr fontId="4" type="noConversion"/>
  </si>
  <si>
    <t>■ 유효자유도</t>
    <phoneticPr fontId="4" type="noConversion"/>
  </si>
  <si>
    <t>※ 합성표준불확도를 구성하는 입력변수 중에서 직사각형 확률분포를 가지는 한 개 또는 두 개의 표준불확도 성분이</t>
    <phoneticPr fontId="4" type="noConversion"/>
  </si>
  <si>
    <t>전체의 대부분을 차지하는 경우가 아닌 경우, 유효자유도 계산 결과 값을 이용하여 t 분포표에서 신뢰수준 약 95%에</t>
    <phoneticPr fontId="4" type="noConversion"/>
  </si>
  <si>
    <r>
      <t xml:space="preserve">해당하는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값을 찾아서 계산한다.</t>
    </r>
    <phoneticPr fontId="4" type="noConversion"/>
  </si>
  <si>
    <r>
      <t xml:space="preserve">이 때 유효자유도가 10 이상으로 충분히 큰 경우 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=2를 적용한다.</t>
    </r>
    <phoneticPr fontId="4" type="noConversion"/>
  </si>
  <si>
    <r>
      <t>U</t>
    </r>
    <r>
      <rPr>
        <sz val="10"/>
        <rFont val="Times New Roman"/>
        <family val="1"/>
      </rPr>
      <t xml:space="preserve"> = </t>
    </r>
    <r>
      <rPr>
        <i/>
        <sz val="10"/>
        <rFont val="Times New Roman"/>
        <family val="1"/>
      </rPr>
      <t>k</t>
    </r>
    <r>
      <rPr>
        <sz val="10"/>
        <rFont val="Times New Roman"/>
        <family val="1"/>
      </rPr>
      <t xml:space="preserve"> × </t>
    </r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 xml:space="preserve"> = </t>
    </r>
    <phoneticPr fontId="4" type="noConversion"/>
  </si>
  <si>
    <t>×</t>
  </si>
  <si>
    <t>≒</t>
    <phoneticPr fontId="4" type="noConversion"/>
  </si>
  <si>
    <t>전체의 대부분을 차지하는 경우, 주된 성분에 대한 잔여 성분의 크기가 0.3보다 작은지 점검한다.</t>
    <phoneticPr fontId="4" type="noConversion"/>
  </si>
  <si>
    <t>● 교정료 계산</t>
    <phoneticPr fontId="4" type="noConversion"/>
  </si>
  <si>
    <t>조건 1</t>
    <phoneticPr fontId="4" type="noConversion"/>
  </si>
  <si>
    <t>조건 2</t>
    <phoneticPr fontId="4" type="noConversion"/>
  </si>
  <si>
    <t>기본수수료</t>
    <phoneticPr fontId="4" type="noConversion"/>
  </si>
  <si>
    <t>추가수수료</t>
    <phoneticPr fontId="4" type="noConversion"/>
  </si>
  <si>
    <t>인치?</t>
    <phoneticPr fontId="4" type="noConversion"/>
  </si>
  <si>
    <t>교정점추가</t>
    <phoneticPr fontId="4" type="noConversion"/>
  </si>
  <si>
    <t>소계</t>
    <phoneticPr fontId="4" type="noConversion"/>
  </si>
  <si>
    <t>합계</t>
    <phoneticPr fontId="4" type="noConversion"/>
  </si>
  <si>
    <t>※ 5회 측정한 표준편차가 0 일 때, 최소한 분해능 1눈금의 차이는 있을 수 있다고 추정하여 다음과 같이 계산한다. (이 내용은 KOLAS 평가시 제외)</t>
    <phoneticPr fontId="4" type="noConversion"/>
  </si>
  <si>
    <t>d</t>
    <phoneticPr fontId="4" type="noConversion"/>
  </si>
  <si>
    <r>
      <t>B</t>
    </r>
    <r>
      <rPr>
        <i/>
        <vertAlign val="subscript"/>
        <sz val="10"/>
        <rFont val="Times New Roman"/>
        <family val="1"/>
      </rPr>
      <t>x</t>
    </r>
    <phoneticPr fontId="4" type="noConversion"/>
  </si>
  <si>
    <t>A1. 추정값 :</t>
    <phoneticPr fontId="4" type="noConversion"/>
  </si>
  <si>
    <t>A3. 확률분포 :</t>
    <phoneticPr fontId="4" type="noConversion"/>
  </si>
  <si>
    <t>A6. 자유도 :</t>
    <phoneticPr fontId="4" type="noConversion"/>
  </si>
  <si>
    <t>B2. 표준불확도 :</t>
    <phoneticPr fontId="4" type="noConversion"/>
  </si>
  <si>
    <t>B3. 확률분포 :</t>
    <phoneticPr fontId="4" type="noConversion"/>
  </si>
  <si>
    <r>
      <t>B</t>
    </r>
    <r>
      <rPr>
        <vertAlign val="subscript"/>
        <sz val="9"/>
        <rFont val="맑은 고딕"/>
        <family val="3"/>
        <charset val="129"/>
        <scheme val="major"/>
      </rPr>
      <t>x</t>
    </r>
    <phoneticPr fontId="4" type="noConversion"/>
  </si>
  <si>
    <r>
      <t>t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</si>
  <si>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t>비율이 0.3보다 작으면 직사각형 확률분포를 적용하여 반너비의 비율을 구하고 사다리꼴 분포에 해당하는</t>
    <phoneticPr fontId="4" type="noConversion"/>
  </si>
  <si>
    <t>■ 측정불확도</t>
    <phoneticPr fontId="4" type="noConversion"/>
  </si>
  <si>
    <t>사용중지?</t>
  </si>
  <si>
    <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</si>
  <si>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</si>
  <si>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t>(</t>
    </r>
    <r>
      <rPr>
        <i/>
        <sz val="10"/>
        <rFont val="Times New Roman"/>
        <family val="1"/>
      </rPr>
      <t>c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</si>
  <si>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|u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y</t>
    </r>
    <r>
      <rPr>
        <sz val="10"/>
        <rFont val="Times New Roman"/>
        <family val="1"/>
      </rPr>
      <t>)|</t>
    </r>
    <phoneticPr fontId="4" type="noConversion"/>
  </si>
  <si>
    <t>추가자리수</t>
    <phoneticPr fontId="4" type="noConversion"/>
  </si>
  <si>
    <t>위치</t>
    <phoneticPr fontId="4" type="noConversion"/>
  </si>
  <si>
    <t>교정값</t>
    <phoneticPr fontId="4" type="noConversion"/>
  </si>
  <si>
    <t>단위</t>
    <phoneticPr fontId="4" type="noConversion"/>
  </si>
  <si>
    <t>측정불확도</t>
    <phoneticPr fontId="4" type="noConversion"/>
  </si>
  <si>
    <t>불확도단위</t>
    <phoneticPr fontId="4" type="noConversion"/>
  </si>
  <si>
    <t>원통도</t>
    <phoneticPr fontId="4" type="noConversion"/>
  </si>
  <si>
    <t>불확도</t>
    <phoneticPr fontId="77" type="noConversion"/>
  </si>
  <si>
    <t>기기번호</t>
    <phoneticPr fontId="77" type="noConversion"/>
  </si>
  <si>
    <t>원통도</t>
    <phoneticPr fontId="4" type="noConversion"/>
  </si>
  <si>
    <t>※ 인치의 경우 기본수수료에서 80% 추가함.</t>
    <phoneticPr fontId="4" type="noConversion"/>
  </si>
  <si>
    <t>열팽창계수</t>
    <phoneticPr fontId="4" type="noConversion"/>
  </si>
  <si>
    <t>기준기(교정)</t>
    <phoneticPr fontId="4" type="noConversion"/>
  </si>
  <si>
    <r>
      <t>l</t>
    </r>
    <r>
      <rPr>
        <vertAlign val="subscript"/>
        <sz val="9"/>
        <color theme="0" tint="-0.499984740745262"/>
        <rFont val="맑은 고딕"/>
        <family val="3"/>
        <charset val="129"/>
        <scheme val="major"/>
      </rPr>
      <t>s(길이)</t>
    </r>
    <phoneticPr fontId="4" type="noConversion"/>
  </si>
  <si>
    <t>-</t>
    <phoneticPr fontId="4" type="noConversion"/>
  </si>
  <si>
    <t>-</t>
    <phoneticPr fontId="4" type="noConversion"/>
  </si>
  <si>
    <t>기준기(원통도)</t>
    <phoneticPr fontId="4" type="noConversion"/>
  </si>
  <si>
    <r>
      <t>l</t>
    </r>
    <r>
      <rPr>
        <vertAlign val="subscript"/>
        <sz val="9"/>
        <color theme="0" tint="-0.499984740745262"/>
        <rFont val="맑은 고딕"/>
        <family val="3"/>
        <charset val="129"/>
        <scheme val="major"/>
      </rPr>
      <t>s(결합)</t>
    </r>
    <phoneticPr fontId="4" type="noConversion"/>
  </si>
  <si>
    <t>직사각형</t>
    <phoneticPr fontId="4" type="noConversion"/>
  </si>
  <si>
    <t>J</t>
    <phoneticPr fontId="4" type="noConversion"/>
  </si>
  <si>
    <t>K</t>
    <phoneticPr fontId="4" type="noConversion"/>
  </si>
  <si>
    <t>5% rule</t>
    <phoneticPr fontId="4" type="noConversion"/>
  </si>
  <si>
    <t>열팽창계수</t>
    <phoneticPr fontId="4" type="noConversion"/>
  </si>
  <si>
    <t>명목값</t>
  </si>
  <si>
    <t>마이크로미터 지시값</t>
    <phoneticPr fontId="4" type="noConversion"/>
  </si>
  <si>
    <t>마이크로미터의 지시값</t>
    <phoneticPr fontId="4" type="noConversion"/>
  </si>
  <si>
    <t>기준 링 게이지 교정값</t>
    <phoneticPr fontId="4" type="noConversion"/>
  </si>
  <si>
    <t>mm</t>
    <phoneticPr fontId="4" type="noConversion"/>
  </si>
  <si>
    <t>표준온도에서 3점 마이크로미터의 보정값</t>
    <phoneticPr fontId="4" type="noConversion"/>
  </si>
  <si>
    <t>기준 링 게이지의 교정값</t>
    <phoneticPr fontId="4" type="noConversion"/>
  </si>
  <si>
    <t>3점 마이크로미터의 지시값</t>
    <phoneticPr fontId="4" type="noConversion"/>
  </si>
  <si>
    <t>기준 링 게이지의 명목값</t>
    <phoneticPr fontId="4" type="noConversion"/>
  </si>
  <si>
    <t>3점 마이크로미터와 기준 링 게이지의 평균열팽창계수</t>
    <phoneticPr fontId="4" type="noConversion"/>
  </si>
  <si>
    <t>3점 마이크로미터와 기준 링 게이지의 온도차이</t>
    <phoneticPr fontId="4" type="noConversion"/>
  </si>
  <si>
    <t>3점 마이크로미터와 기준 링 게이지의 열팽창계수 차이</t>
    <phoneticPr fontId="4" type="noConversion"/>
  </si>
  <si>
    <t>3점 마이크로미터와 기준 링 게이지의 평균 온도값과 기준온도와의 차</t>
    <phoneticPr fontId="4" type="noConversion"/>
  </si>
  <si>
    <t>3점 마이크로미터의 분해능 한계에 대한 보정값 (기대값=0)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</si>
  <si>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s</t>
    </r>
    <r>
      <rPr>
        <vertAlign val="subscript"/>
        <sz val="10"/>
        <rFont val="맑"/>
        <family val="3"/>
        <charset val="129"/>
      </rPr>
      <t>교정</t>
    </r>
    <phoneticPr fontId="4" type="noConversion"/>
  </si>
  <si>
    <r>
      <t>l</t>
    </r>
    <r>
      <rPr>
        <i/>
        <vertAlign val="subscript"/>
        <sz val="10"/>
        <rFont val="Times New Roman"/>
        <family val="1"/>
      </rPr>
      <t>s</t>
    </r>
    <r>
      <rPr>
        <vertAlign val="subscript"/>
        <sz val="10"/>
        <rFont val="맑은 고딕"/>
        <family val="3"/>
        <charset val="129"/>
        <scheme val="major"/>
      </rPr>
      <t>원통도</t>
    </r>
    <phoneticPr fontId="4" type="noConversion"/>
  </si>
  <si>
    <t>-</t>
    <phoneticPr fontId="4" type="noConversion"/>
  </si>
  <si>
    <r>
      <rPr>
        <b/>
        <sz val="10"/>
        <rFont val="맑은 고딕"/>
        <family val="1"/>
        <scheme val="major"/>
      </rPr>
      <t>1</t>
    </r>
    <r>
      <rPr>
        <b/>
        <sz val="10"/>
        <rFont val="맑은 고딕"/>
        <family val="3"/>
        <charset val="129"/>
        <scheme val="major"/>
      </rPr>
      <t xml:space="preserve">. 기준 링 게이지의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s</t>
    </r>
    <r>
      <rPr>
        <b/>
        <sz val="10"/>
        <rFont val="Times New Roman"/>
        <family val="1"/>
      </rPr>
      <t>)</t>
    </r>
    <phoneticPr fontId="4" type="noConversion"/>
  </si>
  <si>
    <t>=</t>
    <phoneticPr fontId="4" type="noConversion"/>
  </si>
  <si>
    <t>μm</t>
  </si>
  <si>
    <t>A5. 불확도 기여량 :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</si>
  <si>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 =</t>
    </r>
    <phoneticPr fontId="4" type="noConversion"/>
  </si>
  <si>
    <t>=</t>
  </si>
  <si>
    <t>+</t>
  </si>
  <si>
    <r>
      <rPr>
        <b/>
        <sz val="10"/>
        <rFont val="맑은 고딕"/>
        <family val="1"/>
        <scheme val="major"/>
      </rPr>
      <t>1)</t>
    </r>
    <r>
      <rPr>
        <b/>
        <sz val="10"/>
        <rFont val="맑은 고딕"/>
        <family val="3"/>
        <charset val="129"/>
        <scheme val="major"/>
      </rPr>
      <t xml:space="preserve"> 링 게이지의 교정값에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s</t>
    </r>
    <r>
      <rPr>
        <b/>
        <vertAlign val="subscript"/>
        <sz val="10"/>
        <rFont val="맑은 고딕"/>
        <family val="3"/>
        <charset val="129"/>
      </rPr>
      <t>교정</t>
    </r>
    <r>
      <rPr>
        <b/>
        <sz val="10"/>
        <rFont val="Times New Roman"/>
        <family val="1"/>
      </rPr>
      <t>)</t>
    </r>
    <phoneticPr fontId="4" type="noConversion"/>
  </si>
  <si>
    <r>
      <t>2</t>
    </r>
    <r>
      <rPr>
        <b/>
        <sz val="10"/>
        <rFont val="맑은 고딕"/>
        <family val="1"/>
        <scheme val="major"/>
      </rPr>
      <t>)</t>
    </r>
    <r>
      <rPr>
        <b/>
        <sz val="10"/>
        <rFont val="맑은 고딕"/>
        <family val="3"/>
        <charset val="129"/>
        <scheme val="major"/>
      </rPr>
      <t xml:space="preserve"> 링 게이지의 원통도에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s</t>
    </r>
    <r>
      <rPr>
        <b/>
        <vertAlign val="subscript"/>
        <sz val="10"/>
        <rFont val="맑은 고딕"/>
        <family val="3"/>
        <charset val="129"/>
      </rPr>
      <t>원통도</t>
    </r>
    <r>
      <rPr>
        <b/>
        <sz val="10"/>
        <rFont val="Times New Roman"/>
        <family val="1"/>
      </rPr>
      <t>)</t>
    </r>
    <phoneticPr fontId="4" type="noConversion"/>
  </si>
  <si>
    <t>C5. 불확도 기여도 :</t>
    <phoneticPr fontId="4" type="noConversion"/>
  </si>
  <si>
    <r>
      <rPr>
        <b/>
        <sz val="10"/>
        <rFont val="맑은 고딕"/>
        <family val="1"/>
        <scheme val="major"/>
      </rPr>
      <t>2</t>
    </r>
    <r>
      <rPr>
        <b/>
        <sz val="10"/>
        <rFont val="맑은 고딕"/>
        <family val="3"/>
        <charset val="129"/>
        <scheme val="major"/>
      </rPr>
      <t xml:space="preserve">. 3점 마이크로미터 지시값의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x</t>
    </r>
    <r>
      <rPr>
        <b/>
        <sz val="10"/>
        <rFont val="Times New Roman"/>
        <family val="1"/>
      </rPr>
      <t>)</t>
    </r>
    <phoneticPr fontId="4" type="noConversion"/>
  </si>
  <si>
    <t>D5. 불확도 기여도 :</t>
    <phoneticPr fontId="4" type="noConversion"/>
  </si>
  <si>
    <t>※ 3점 마이크로미터와 기준기의 평균 열팽창계수 :</t>
    <phoneticPr fontId="4" type="noConversion"/>
  </si>
  <si>
    <r>
      <t>※ 각 열팽창계수에 대한 상대불확도(</t>
    </r>
    <r>
      <rPr>
        <i/>
        <sz val="10"/>
        <rFont val="맑은 고딕"/>
        <family val="3"/>
        <charset val="129"/>
        <scheme val="major"/>
      </rPr>
      <t>R</t>
    </r>
    <r>
      <rPr>
        <sz val="10"/>
        <rFont val="맑은 고딕"/>
        <family val="3"/>
        <charset val="129"/>
        <scheme val="major"/>
      </rPr>
      <t>)를 10 %로 추정하여 자유도를 계산하면</t>
    </r>
  </si>
  <si>
    <t>일치한다고 추정하여 계산하면</t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</si>
  <si>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10%로 추정</t>
    </r>
    <phoneticPr fontId="4" type="noConversion"/>
  </si>
  <si>
    <r>
      <t>※ 3점 마이크로미터와 기준 링 게이지의 열팽창계수 차이 :</t>
    </r>
    <r>
      <rPr>
        <sz val="10"/>
        <rFont val="맑은 고딕"/>
        <family val="3"/>
        <charset val="129"/>
      </rPr>
      <t xml:space="preserve"> </t>
    </r>
    <r>
      <rPr>
        <i/>
        <sz val="10"/>
        <rFont val="Times New Roman"/>
        <family val="1"/>
      </rPr>
      <t>Δα</t>
    </r>
    <r>
      <rPr>
        <i/>
        <sz val="10"/>
        <rFont val="맑은 고딕"/>
        <family val="3"/>
        <charset val="129"/>
      </rPr>
      <t xml:space="preserve"> </t>
    </r>
    <r>
      <rPr>
        <sz val="10"/>
        <rFont val="Times New Roman"/>
        <family val="1"/>
      </rPr>
      <t>= 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 xml:space="preserve">x </t>
    </r>
    <r>
      <rPr>
        <sz val="10"/>
        <rFont val="Times New Roman"/>
        <family val="1"/>
      </rPr>
      <t xml:space="preserve">- 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</si>
  <si>
    <t>I1. 추정값 :</t>
    <phoneticPr fontId="4" type="noConversion"/>
  </si>
  <si>
    <t>I2. 표준불확도 :</t>
    <phoneticPr fontId="4" type="noConversion"/>
  </si>
  <si>
    <t>I3. 확률분포 :</t>
    <phoneticPr fontId="4" type="noConversion"/>
  </si>
  <si>
    <t>I4. 감도계수 :</t>
    <phoneticPr fontId="4" type="noConversion"/>
  </si>
  <si>
    <t>I5. 불확도 기여량 :</t>
    <phoneticPr fontId="4" type="noConversion"/>
  </si>
  <si>
    <t>I6. 자유도 :</t>
    <phoneticPr fontId="4" type="noConversion"/>
  </si>
  <si>
    <t>J1. 추정값 :</t>
    <phoneticPr fontId="4" type="noConversion"/>
  </si>
  <si>
    <t>J2. 표준불확도 :</t>
    <phoneticPr fontId="4" type="noConversion"/>
  </si>
  <si>
    <t>※ 3개의 측정자의 평행도에 의해 유발되는 불확도가 대략 1 μm 이내에서 존재한다고 추정하고</t>
    <phoneticPr fontId="4" type="noConversion"/>
  </si>
  <si>
    <t>이 값에 직사각형 확률분포를 적용하면</t>
  </si>
  <si>
    <t>J3. 확률분포 :</t>
    <phoneticPr fontId="4" type="noConversion"/>
  </si>
  <si>
    <t>J4. 감도계수 :</t>
    <phoneticPr fontId="4" type="noConversion"/>
  </si>
  <si>
    <t>J5. 불확도 기여량 :</t>
    <phoneticPr fontId="4" type="noConversion"/>
  </si>
  <si>
    <t>J6. 자유도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</si>
  <si>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20%로 추정</t>
    </r>
    <phoneticPr fontId="4" type="noConversion"/>
  </si>
  <si>
    <t>COID</t>
    <phoneticPr fontId="4" type="noConversion"/>
  </si>
  <si>
    <r>
      <t>U+</t>
    </r>
    <r>
      <rPr>
        <sz val="9"/>
        <rFont val="돋움"/>
        <family val="3"/>
        <charset val="129"/>
      </rPr>
      <t>α</t>
    </r>
    <phoneticPr fontId="4" type="noConversion"/>
  </si>
  <si>
    <r>
      <t xml:space="preserve">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를 구하여 계산한다.</t>
    </r>
    <phoneticPr fontId="4" type="noConversion"/>
  </si>
  <si>
    <t>fees</t>
    <phoneticPr fontId="4" type="noConversion"/>
  </si>
  <si>
    <t>P/F</t>
    <phoneticPr fontId="4" type="noConversion"/>
  </si>
  <si>
    <r>
      <t xml:space="preserve">3. 3점 마이크로미터와 기준 링 게이지의 평균 열팽창계수에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맑은 고딕"/>
        <family val="3"/>
        <charset val="129"/>
        <scheme val="major"/>
      </rPr>
      <t>(    )</t>
    </r>
    <phoneticPr fontId="4" type="noConversion"/>
  </si>
  <si>
    <r>
      <rPr>
        <b/>
        <sz val="10"/>
        <rFont val="맑은 고딕"/>
        <family val="1"/>
        <scheme val="major"/>
      </rPr>
      <t>4</t>
    </r>
    <r>
      <rPr>
        <b/>
        <sz val="10"/>
        <rFont val="맑은 고딕"/>
        <family val="3"/>
        <charset val="129"/>
        <scheme val="major"/>
      </rPr>
      <t xml:space="preserve">. 3점 마이크로미터와 기준 링 게이지의 온도 차에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맑은 고딕"/>
        <family val="3"/>
        <charset val="129"/>
        <scheme val="major"/>
      </rPr>
      <t>(</t>
    </r>
    <r>
      <rPr>
        <b/>
        <i/>
        <sz val="10"/>
        <rFont val="Times New Roman"/>
        <family val="1"/>
      </rPr>
      <t>Δt</t>
    </r>
    <r>
      <rPr>
        <b/>
        <sz val="10"/>
        <rFont val="맑은 고딕"/>
        <family val="3"/>
        <charset val="129"/>
        <scheme val="major"/>
      </rPr>
      <t>)</t>
    </r>
    <phoneticPr fontId="4" type="noConversion"/>
  </si>
  <si>
    <r>
      <rPr>
        <b/>
        <sz val="10"/>
        <rFont val="맑은 고딕"/>
        <family val="1"/>
        <scheme val="major"/>
      </rPr>
      <t>5</t>
    </r>
    <r>
      <rPr>
        <b/>
        <sz val="10"/>
        <rFont val="맑은 고딕"/>
        <family val="3"/>
        <charset val="129"/>
        <scheme val="major"/>
      </rPr>
      <t xml:space="preserve">. 3점 마이크로미터와 기준 링 게이지의 열팽창계수 차에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Δα</t>
    </r>
    <r>
      <rPr>
        <b/>
        <sz val="10"/>
        <rFont val="Times New Roman"/>
        <family val="1"/>
      </rPr>
      <t>)</t>
    </r>
    <phoneticPr fontId="4" type="noConversion"/>
  </si>
  <si>
    <r>
      <rPr>
        <b/>
        <sz val="10"/>
        <rFont val="맑은 고딕"/>
        <family val="1"/>
        <scheme val="major"/>
      </rPr>
      <t>6</t>
    </r>
    <r>
      <rPr>
        <b/>
        <sz val="10"/>
        <rFont val="맑은 고딕"/>
        <family val="3"/>
        <charset val="129"/>
        <scheme val="major"/>
      </rPr>
      <t xml:space="preserve">. 3점 마이크로미터와 기준 링 게이지의 평균온도와 기준 온도와의 차이에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</t>
    </r>
    <r>
      <rPr>
        <b/>
        <i/>
        <sz val="10"/>
        <rFont val="Times New Roman"/>
        <family val="1"/>
      </rPr>
      <t>t</t>
    </r>
    <r>
      <rPr>
        <b/>
        <sz val="10"/>
        <rFont val="Times New Roman"/>
        <family val="1"/>
      </rPr>
      <t>)</t>
    </r>
    <phoneticPr fontId="4" type="noConversion"/>
  </si>
  <si>
    <t>삼각형</t>
    <phoneticPr fontId="4" type="noConversion"/>
  </si>
  <si>
    <t>삼각형</t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</si>
  <si>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vertAlign val="subscript"/>
        <sz val="10"/>
        <rFont val="바탕"/>
        <family val="1"/>
        <charset val="129"/>
      </rPr>
      <t>교정</t>
    </r>
    <r>
      <rPr>
        <sz val="10"/>
        <rFont val="Times New Roman"/>
        <family val="1"/>
      </rPr>
      <t>)</t>
    </r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</si>
  <si>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vertAlign val="subscript"/>
        <sz val="10"/>
        <rFont val="바탕"/>
        <family val="1"/>
        <charset val="129"/>
      </rPr>
      <t>원통도</t>
    </r>
    <r>
      <rPr>
        <sz val="10"/>
        <rFont val="Times New Roman"/>
        <family val="1"/>
      </rPr>
      <t>)</t>
    </r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</si>
  <si>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</si>
  <si>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Δt</t>
    </r>
    <r>
      <rPr>
        <sz val="10"/>
        <rFont val="Times New Roman"/>
        <family val="1"/>
      </rPr>
      <t xml:space="preserve">) </t>
    </r>
    <phoneticPr fontId="4" type="noConversion"/>
  </si>
  <si>
    <t>℃</t>
    <phoneticPr fontId="4" type="noConversion"/>
  </si>
  <si>
    <t>여기에 직사각형 확률분포를 적용하여 계산하면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</si>
  <si>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δt</t>
    </r>
    <r>
      <rPr>
        <sz val="10"/>
        <rFont val="Times New Roman"/>
        <family val="1"/>
      </rPr>
      <t xml:space="preserve">) </t>
    </r>
    <phoneticPr fontId="4" type="noConversion"/>
  </si>
  <si>
    <t>℃</t>
    <phoneticPr fontId="4" type="noConversion"/>
  </si>
  <si>
    <t>※ 3점 마이크로미터 분해능의 반범위에 직사각형 확률분포를 적용하여 계산한다.</t>
    <phoneticPr fontId="4" type="noConversion"/>
  </si>
  <si>
    <r>
      <t>※ 분해능 (</t>
    </r>
    <r>
      <rPr>
        <i/>
        <sz val="10"/>
        <rFont val="Times New Roman"/>
        <family val="1"/>
      </rPr>
      <t>d</t>
    </r>
    <r>
      <rPr>
        <sz val="10"/>
        <rFont val="맑은 고딕"/>
        <family val="3"/>
        <charset val="129"/>
        <scheme val="major"/>
      </rPr>
      <t>)=</t>
    </r>
    <phoneticPr fontId="4" type="noConversion"/>
  </si>
  <si>
    <t>mm</t>
    <phoneticPr fontId="4" type="noConversion"/>
  </si>
  <si>
    <t>d</t>
    <phoneticPr fontId="4" type="noConversion"/>
  </si>
  <si>
    <t>μm</t>
    <phoneticPr fontId="4" type="noConversion"/>
  </si>
  <si>
    <t>|</t>
    <phoneticPr fontId="4" type="noConversion"/>
  </si>
  <si>
    <t>μm</t>
    <phoneticPr fontId="4" type="noConversion"/>
  </si>
  <si>
    <t>×</t>
    <phoneticPr fontId="4" type="noConversion"/>
  </si>
  <si>
    <t>사용?</t>
    <phoneticPr fontId="4" type="noConversion"/>
  </si>
  <si>
    <t>명목값</t>
    <phoneticPr fontId="4" type="noConversion"/>
  </si>
  <si>
    <t>단위</t>
    <phoneticPr fontId="4" type="noConversion"/>
  </si>
  <si>
    <t>마이크로미터 지시값</t>
    <phoneticPr fontId="4" type="noConversion"/>
  </si>
  <si>
    <t>표준편차</t>
    <phoneticPr fontId="4" type="noConversion"/>
  </si>
  <si>
    <t>기준값</t>
    <phoneticPr fontId="4" type="noConversion"/>
  </si>
  <si>
    <t>지시값</t>
    <phoneticPr fontId="4" type="noConversion"/>
  </si>
  <si>
    <t>온도차</t>
    <phoneticPr fontId="4" type="noConversion"/>
  </si>
  <si>
    <t>t_avr-20</t>
    <phoneticPr fontId="4" type="noConversion"/>
  </si>
  <si>
    <t>명목값</t>
    <phoneticPr fontId="4" type="noConversion"/>
  </si>
  <si>
    <t>보정값</t>
    <phoneticPr fontId="4" type="noConversion"/>
  </si>
  <si>
    <t>표기용</t>
    <phoneticPr fontId="4" type="noConversion"/>
  </si>
  <si>
    <t>Spec</t>
    <phoneticPr fontId="4" type="noConversion"/>
  </si>
  <si>
    <t>1회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</si>
  <si>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</si>
  <si>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</si>
  <si>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r>
      <t>α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</si>
  <si>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t>α_avr</t>
    <phoneticPr fontId="4" type="noConversion"/>
  </si>
  <si>
    <t>Δt</t>
    <phoneticPr fontId="4" type="noConversion"/>
  </si>
  <si>
    <t>Δα</t>
    <phoneticPr fontId="4" type="noConversion"/>
  </si>
  <si>
    <t>δt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</si>
  <si>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0</t>
    </r>
    <phoneticPr fontId="4" type="noConversion"/>
  </si>
  <si>
    <r>
      <t>B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</si>
  <si>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t>보정값</t>
    <phoneticPr fontId="4" type="noConversion"/>
  </si>
  <si>
    <t>교정값</t>
    <phoneticPr fontId="4" type="noConversion"/>
  </si>
  <si>
    <t>교정값</t>
    <phoneticPr fontId="4" type="noConversion"/>
  </si>
  <si>
    <t>mm</t>
    <phoneticPr fontId="4" type="noConversion"/>
  </si>
  <si>
    <t>/℃</t>
    <phoneticPr fontId="4" type="noConversion"/>
  </si>
  <si>
    <t>/℃</t>
    <phoneticPr fontId="4" type="noConversion"/>
  </si>
  <si>
    <t>℃</t>
    <phoneticPr fontId="4" type="noConversion"/>
  </si>
  <si>
    <t>℃</t>
    <phoneticPr fontId="4" type="noConversion"/>
  </si>
  <si>
    <t>mm</t>
    <phoneticPr fontId="4" type="noConversion"/>
  </si>
  <si>
    <t>mm</t>
    <phoneticPr fontId="4" type="noConversion"/>
  </si>
  <si>
    <t>mm</t>
    <phoneticPr fontId="4" type="noConversion"/>
  </si>
  <si>
    <t>mm</t>
    <phoneticPr fontId="4" type="noConversion"/>
  </si>
  <si>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맑은 고딕"/>
        <family val="3"/>
        <charset val="129"/>
        <scheme val="major"/>
      </rPr>
      <t>(</t>
    </r>
    <r>
      <rPr>
        <i/>
        <sz val="10"/>
        <rFont val="Times New Roman"/>
        <family val="1"/>
      </rPr>
      <t>B</t>
    </r>
    <r>
      <rPr>
        <i/>
        <vertAlign val="subscript"/>
        <sz val="10"/>
        <rFont val="Times New Roman"/>
        <family val="1"/>
      </rPr>
      <t>x</t>
    </r>
    <r>
      <rPr>
        <sz val="10"/>
        <rFont val="맑은 고딕"/>
        <family val="3"/>
        <charset val="129"/>
        <scheme val="major"/>
      </rPr>
      <t>)</t>
    </r>
    <phoneticPr fontId="4" type="noConversion"/>
  </si>
  <si>
    <t>요인(값)</t>
    <phoneticPr fontId="4" type="noConversion"/>
  </si>
  <si>
    <t>나눔수</t>
    <phoneticPr fontId="4" type="noConversion"/>
  </si>
  <si>
    <t>분모</t>
    <phoneticPr fontId="4" type="noConversion"/>
  </si>
  <si>
    <t>잔여 기여량</t>
    <phoneticPr fontId="4" type="noConversion"/>
  </si>
  <si>
    <t>주 기여량</t>
    <phoneticPr fontId="4" type="noConversion"/>
  </si>
  <si>
    <t>불확도</t>
    <phoneticPr fontId="4" type="noConversion"/>
  </si>
  <si>
    <t>mm</t>
    <phoneticPr fontId="4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</si>
  <si>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4" type="noConversion"/>
  </si>
  <si>
    <t xml:space="preserve"> 성적서발급번호(Certificate No) :</t>
    <phoneticPr fontId="4" type="noConversion"/>
  </si>
  <si>
    <t>● 교정결과</t>
    <phoneticPr fontId="4" type="noConversion"/>
  </si>
  <si>
    <t>Unit</t>
    <phoneticPr fontId="4" type="noConversion"/>
  </si>
  <si>
    <t>Spec</t>
    <phoneticPr fontId="4" type="noConversion"/>
  </si>
  <si>
    <t>조정 전</t>
    <phoneticPr fontId="4" type="noConversion"/>
  </si>
  <si>
    <t>조정 후</t>
    <phoneticPr fontId="4" type="noConversion"/>
  </si>
  <si>
    <t>Measurement Uncertainty</t>
    <phoneticPr fontId="4" type="noConversion"/>
  </si>
  <si>
    <t>mm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</si>
  <si>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</si>
  <si>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</si>
  <si>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</si>
  <si>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</si>
  <si>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mm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</si>
  <si>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</si>
  <si>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</si>
  <si>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</si>
  <si>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-</t>
    <phoneticPr fontId="4" type="noConversion"/>
  </si>
  <si>
    <t>mm</t>
    <phoneticPr fontId="4" type="noConversion"/>
  </si>
  <si>
    <t>mm</t>
    <phoneticPr fontId="4" type="noConversion"/>
  </si>
  <si>
    <t>-</t>
    <phoneticPr fontId="4" type="noConversion"/>
  </si>
  <si>
    <t>Norminal Value</t>
    <phoneticPr fontId="4" type="noConversion"/>
  </si>
  <si>
    <t>Measured
Value</t>
    <phoneticPr fontId="4" type="noConversion"/>
  </si>
  <si>
    <t>Correction
Value</t>
    <phoneticPr fontId="4" type="noConversion"/>
  </si>
  <si>
    <t>Pass
/Fail</t>
    <phoneticPr fontId="4" type="noConversion"/>
  </si>
  <si>
    <t>U &amp; r</t>
  </si>
  <si>
    <t>U+α</t>
    <phoneticPr fontId="4" type="noConversion"/>
  </si>
  <si>
    <t>U&amp;r</t>
    <phoneticPr fontId="4" type="noConversion"/>
  </si>
  <si>
    <t>HCT</t>
    <phoneticPr fontId="4" type="noConversion"/>
  </si>
  <si>
    <r>
      <t>u</t>
    </r>
    <r>
      <rPr>
        <b/>
        <vertAlign val="superscript"/>
        <sz val="9"/>
        <color indexed="9"/>
        <rFont val="맑은 고딕"/>
        <family val="3"/>
        <charset val="129"/>
        <scheme val="major"/>
      </rPr>
      <t>4</t>
    </r>
    <r>
      <rPr>
        <b/>
        <sz val="9"/>
        <color indexed="9"/>
        <rFont val="맑은 고딕"/>
        <family val="3"/>
        <charset val="129"/>
        <scheme val="major"/>
      </rPr>
      <t>/ν</t>
    </r>
    <phoneticPr fontId="4" type="noConversion"/>
  </si>
  <si>
    <t>확률분포별 불확도기여량</t>
    <phoneticPr fontId="4" type="noConversion"/>
  </si>
  <si>
    <t>기타</t>
    <phoneticPr fontId="4" type="noConversion"/>
  </si>
  <si>
    <t>직사각형분포</t>
    <phoneticPr fontId="4" type="noConversion"/>
  </si>
  <si>
    <t>영향</t>
    <phoneticPr fontId="4" type="noConversion"/>
  </si>
  <si>
    <t>직사각형</t>
    <phoneticPr fontId="4" type="noConversion"/>
  </si>
  <si>
    <t>기타</t>
    <phoneticPr fontId="4" type="noConversion"/>
  </si>
  <si>
    <t>비율</t>
    <phoneticPr fontId="4" type="noConversion"/>
  </si>
  <si>
    <t>번호</t>
    <phoneticPr fontId="4" type="noConversion"/>
  </si>
  <si>
    <t>크기순</t>
    <phoneticPr fontId="4" type="noConversion"/>
  </si>
  <si>
    <r>
      <t>a</t>
    </r>
    <r>
      <rPr>
        <b/>
        <vertAlign val="subscript"/>
        <sz val="9"/>
        <color indexed="9"/>
        <rFont val="Times New Roman"/>
        <family val="1"/>
      </rPr>
      <t>1</t>
    </r>
    <phoneticPr fontId="4" type="noConversion"/>
  </si>
  <si>
    <r>
      <t>a</t>
    </r>
    <r>
      <rPr>
        <b/>
        <vertAlign val="subscript"/>
        <sz val="9"/>
        <color indexed="9"/>
        <rFont val="Times New Roman"/>
        <family val="1"/>
      </rPr>
      <t>2</t>
    </r>
    <phoneticPr fontId="4" type="noConversion"/>
  </si>
  <si>
    <t>β</t>
    <phoneticPr fontId="4" type="noConversion"/>
  </si>
  <si>
    <t>Number Format</t>
    <phoneticPr fontId="4" type="noConversion"/>
  </si>
  <si>
    <t>CMC초과?</t>
    <phoneticPr fontId="4" type="noConversion"/>
  </si>
  <si>
    <t>불확도</t>
    <phoneticPr fontId="4" type="noConversion"/>
  </si>
  <si>
    <t>성적서</t>
    <phoneticPr fontId="4" type="noConversion"/>
  </si>
  <si>
    <t>분해능</t>
    <phoneticPr fontId="4" type="noConversion"/>
  </si>
  <si>
    <t>선택</t>
    <phoneticPr fontId="4" type="noConversion"/>
  </si>
  <si>
    <t>불확도</t>
    <phoneticPr fontId="4" type="noConversion"/>
  </si>
  <si>
    <t>A</t>
    <phoneticPr fontId="4" type="noConversion"/>
  </si>
  <si>
    <t>B</t>
    <phoneticPr fontId="4" type="noConversion"/>
  </si>
  <si>
    <r>
      <t>δl</t>
    </r>
    <r>
      <rPr>
        <vertAlign val="subscript"/>
        <sz val="9"/>
        <rFont val="맑은 고딕"/>
        <family val="3"/>
        <charset val="129"/>
        <scheme val="major"/>
      </rPr>
      <t>r</t>
    </r>
    <phoneticPr fontId="4" type="noConversion"/>
  </si>
  <si>
    <t>3점 마이크로미터의 기계적 효과에 대한 보정값 (기대값=0)</t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</si>
  <si>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r</t>
    </r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</si>
  <si>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r</t>
    </r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</si>
  <si>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M</t>
    </r>
    <phoneticPr fontId="4" type="noConversion"/>
  </si>
  <si>
    <r>
      <rPr>
        <b/>
        <sz val="10"/>
        <rFont val="맑은 고딕"/>
        <family val="1"/>
        <scheme val="major"/>
      </rPr>
      <t>7</t>
    </r>
    <r>
      <rPr>
        <b/>
        <sz val="10"/>
        <rFont val="맑은 고딕"/>
        <family val="3"/>
        <charset val="129"/>
        <scheme val="major"/>
      </rPr>
      <t xml:space="preserve">. 3점 마이크로미터 분해능에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r</t>
    </r>
    <r>
      <rPr>
        <b/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</si>
  <si>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r</t>
    </r>
    <r>
      <rPr>
        <sz val="10"/>
        <rFont val="Times New Roman"/>
        <family val="1"/>
      </rPr>
      <t>)</t>
    </r>
    <phoneticPr fontId="4" type="noConversion"/>
  </si>
  <si>
    <r>
      <rPr>
        <b/>
        <sz val="10"/>
        <rFont val="맑은 고딕"/>
        <family val="1"/>
        <scheme val="major"/>
      </rPr>
      <t>8</t>
    </r>
    <r>
      <rPr>
        <b/>
        <sz val="10"/>
        <rFont val="맑은 고딕"/>
        <family val="3"/>
        <charset val="129"/>
        <scheme val="major"/>
      </rPr>
      <t xml:space="preserve">. 3점 마이크로미터의 기계적 효과(평행도)에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δl</t>
    </r>
    <r>
      <rPr>
        <b/>
        <i/>
        <vertAlign val="subscript"/>
        <sz val="10"/>
        <rFont val="Times New Roman"/>
        <family val="1"/>
      </rPr>
      <t>M</t>
    </r>
    <r>
      <rPr>
        <b/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</si>
  <si>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M</t>
    </r>
    <r>
      <rPr>
        <sz val="10"/>
        <rFont val="Times New Roman"/>
        <family val="1"/>
      </rPr>
      <t>)</t>
    </r>
    <phoneticPr fontId="4" type="noConversion"/>
  </si>
  <si>
    <t>불확도표기</t>
    <phoneticPr fontId="4" type="noConversion"/>
  </si>
  <si>
    <t>값</t>
    <phoneticPr fontId="4" type="noConversion"/>
  </si>
  <si>
    <t>단위포함</t>
    <phoneticPr fontId="4" type="noConversion"/>
  </si>
  <si>
    <t>최소눈금 표기용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</si>
</sst>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8">
    <numFmt numFmtId="41" formatCode="_-* #,##0_-;\-* #,##0_-;_-* &quot;-&quot;_-;_-@_-"/>
    <numFmt numFmtId="43" formatCode="_-* #,##0.00_-;\-* #,##0.00_-;_-* &quot;-&quot;??_-;_-@_-"/>
    <numFmt numFmtId="176" formatCode="_ &quot;₩&quot;* #,##0.00_ ;_ &quot;₩&quot;* &quot;₩&quot;&quot;₩&quot;&quot;₩&quot;&quot;₩&quot;&quot;₩&quot;&quot;₩&quot;&quot;₩&quot;\-#,##0.00_ ;_ &quot;₩&quot;* &quot;-&quot;??_ ;_ @_ "/>
    <numFmt numFmtId="177" formatCode="&quot;₩&quot;#,##0;&quot;₩&quot;&quot;₩&quot;&quot;₩&quot;&quot;₩&quot;&quot;₩&quot;&quot;₩&quot;&quot;₩&quot;&quot;₩&quot;&quot;₩&quot;\-#,##0"/>
    <numFmt numFmtId="178" formatCode="_ * #,##0.00_ ;_ * &quot;₩&quot;&quot;₩&quot;&quot;₩&quot;&quot;₩&quot;&quot;₩&quot;&quot;₩&quot;&quot;₩&quot;\-#,##0.00_ ;_ * &quot;-&quot;??_ ;_ @_ "/>
    <numFmt numFmtId="179" formatCode="&quot;₩&quot;#,##0;[Red]&quot;₩&quot;&quot;₩&quot;&quot;₩&quot;&quot;₩&quot;&quot;₩&quot;&quot;₩&quot;&quot;₩&quot;&quot;₩&quot;&quot;₩&quot;\-#,##0"/>
    <numFmt numFmtId="180" formatCode="_ * #,##0_ ;_ * \-#,##0_ ;_ * &quot;-&quot;_ ;_ @_ "/>
    <numFmt numFmtId="181" formatCode="_ * #,##0.00_ ;_ * \-#,##0.00_ ;_ * &quot;-&quot;??_ ;_ @_ "/>
    <numFmt numFmtId="182" formatCode="&quot;₩&quot;#,##0;&quot;₩&quot;&quot;₩&quot;&quot;₩&quot;&quot;₩&quot;&quot;₩&quot;&quot;₩&quot;&quot;₩&quot;&quot;₩&quot;\-#,##0"/>
    <numFmt numFmtId="183" formatCode="&quot;₩&quot;#,##0.00;&quot;₩&quot;&quot;₩&quot;&quot;₩&quot;&quot;₩&quot;&quot;₩&quot;&quot;₩&quot;&quot;₩&quot;&quot;₩&quot;\-#,##0.00"/>
    <numFmt numFmtId="184" formatCode="################################"/>
    <numFmt numFmtId="185" formatCode="0.0\ &quot;℃&quot;"/>
    <numFmt numFmtId="186" formatCode="0\ &quot;％ R.H.&quot;"/>
    <numFmt numFmtId="187" formatCode="0.0\ &quot;hPa&quot;"/>
    <numFmt numFmtId="188" formatCode="0.00_ "/>
    <numFmt numFmtId="189" formatCode="0.000_ "/>
    <numFmt numFmtId="190" formatCode="0.000000_ "/>
    <numFmt numFmtId="191" formatCode="0.00\ &quot;mg&quot;"/>
    <numFmt numFmtId="192" formatCode="0.000\ &quot;kg&quot;"/>
    <numFmt numFmtId="193" formatCode="0.0_ "/>
    <numFmt numFmtId="194" formatCode="0.0\ &quot;kg&quot;"/>
    <numFmt numFmtId="195" formatCode="#\ ##0.0\ &quot;mg&quot;"/>
    <numFmt numFmtId="196" formatCode="0.000"/>
    <numFmt numFmtId="197" formatCode="0.00000"/>
    <numFmt numFmtId="198" formatCode="####\-##\-##"/>
    <numFmt numFmtId="199" formatCode="0.000_);[Red]\(0.000\)"/>
    <numFmt numFmtId="200" formatCode="0.0000_);[Red]\(0.0000\)"/>
    <numFmt numFmtId="201" formatCode="0.0000_ "/>
    <numFmt numFmtId="202" formatCode="\√\(0\)"/>
    <numFmt numFmtId="203" formatCode="0.0"/>
    <numFmt numFmtId="204" formatCode="#0.0\ E+00"/>
    <numFmt numFmtId="205" formatCode="&quot;0&quot;.0#\ E+00"/>
    <numFmt numFmtId="206" formatCode="0.0_);[Red]\(0.0\)"/>
    <numFmt numFmtId="207" formatCode="\(0.00\ &quot;μm&quot;\)"/>
    <numFmt numFmtId="208" formatCode="0.00\ &quot;μm&quot;"/>
    <numFmt numFmtId="209" formatCode="0.00\ \℃"/>
    <numFmt numFmtId="210" formatCode="&quot;0.58 ℃×( -&quot;0.00"/>
    <numFmt numFmtId="211" formatCode="0.000\ &quot;mm&quot;"/>
    <numFmt numFmtId="212" formatCode="0.0###\ &quot;mm&quot;"/>
    <numFmt numFmtId="213" formatCode="0.000\ 00"/>
    <numFmt numFmtId="214" formatCode="#\ ###\ ###"/>
    <numFmt numFmtId="215" formatCode="0.0\ &quot;μm&quot;"/>
    <numFmt numFmtId="216" formatCode="0.000\ &quot;μm&quot;"/>
    <numFmt numFmtId="217" formatCode="_-* #,##0_-;\-* #,##0_-;_-* &quot;-&quot;??_-;_-@_-"/>
    <numFmt numFmtId="218" formatCode="0.0000\ 00"/>
    <numFmt numFmtId="219" formatCode="0\ &quot;mm&quot;"/>
    <numFmt numFmtId="220" formatCode="0_ "/>
    <numFmt numFmtId="221" formatCode="0.0E+00"/>
  </numFmts>
  <fonts count="109">
    <font>
      <sz val="11"/>
      <name val="돋움"/>
      <family val="3"/>
      <charset val="129"/>
    </font>
    <font>
      <sz val="9"/>
      <name val="Tahoma"/>
      <family val="2"/>
    </font>
    <font>
      <b/>
      <sz val="9"/>
      <name val="Tahoma"/>
      <family val="2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9"/>
      <color indexed="9"/>
      <name val="Tahoma"/>
      <family val="2"/>
    </font>
    <font>
      <sz val="10"/>
      <name val="Arial"/>
      <family val="2"/>
    </font>
    <font>
      <b/>
      <sz val="9"/>
      <color indexed="9"/>
      <name val="돋움"/>
      <family val="3"/>
      <charset val="129"/>
    </font>
    <font>
      <sz val="8"/>
      <name val="Tahoma"/>
      <family val="2"/>
    </font>
    <font>
      <sz val="11"/>
      <name val="Tahoma"/>
      <family val="2"/>
    </font>
    <font>
      <sz val="10"/>
      <name val="Tahoma"/>
      <family val="2"/>
    </font>
    <font>
      <b/>
      <sz val="8"/>
      <name val="Tahoma"/>
      <family val="2"/>
    </font>
    <font>
      <sz val="8"/>
      <color indexed="8"/>
      <name val="Tahoma"/>
      <family val="2"/>
    </font>
    <font>
      <sz val="12"/>
      <name val="바탕체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u/>
      <sz val="10"/>
      <color indexed="36"/>
      <name val="Arial"/>
      <family val="2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¹ÙÅÁÃ¼"/>
      <family val="1"/>
      <charset val="129"/>
    </font>
    <font>
      <sz val="14"/>
      <name val="¾©"/>
      <family val="3"/>
      <charset val="129"/>
    </font>
    <font>
      <sz val="10"/>
      <name val="±¼¸²Ã¼"/>
      <family val="3"/>
      <charset val="129"/>
    </font>
    <font>
      <sz val="8"/>
      <name val="Arial"/>
      <family val="2"/>
    </font>
    <font>
      <sz val="10"/>
      <name val="Helv"/>
      <family val="2"/>
    </font>
    <font>
      <sz val="12"/>
      <name val="¾©"/>
      <family val="3"/>
      <charset val="129"/>
    </font>
    <font>
      <b/>
      <sz val="20"/>
      <name val="Tahoma"/>
      <family val="2"/>
    </font>
    <font>
      <b/>
      <sz val="20"/>
      <name val="돋움"/>
      <family val="3"/>
      <charset val="129"/>
    </font>
    <font>
      <b/>
      <sz val="8"/>
      <name val="맑은 고딕"/>
      <family val="3"/>
      <charset val="129"/>
    </font>
    <font>
      <sz val="8"/>
      <name val="맑은 고딕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sz val="8"/>
      <color indexed="10"/>
      <name val="Tahoma"/>
      <family val="2"/>
    </font>
    <font>
      <sz val="8"/>
      <name val="맑은 고딕"/>
      <family val="3"/>
      <charset val="129"/>
    </font>
    <font>
      <sz val="8"/>
      <color indexed="8"/>
      <name val="Tahoma"/>
      <family val="2"/>
    </font>
    <font>
      <b/>
      <sz val="23"/>
      <name val="Arial Unicode MS"/>
      <family val="3"/>
      <charset val="129"/>
    </font>
    <font>
      <sz val="9"/>
      <name val="Arial Unicode MS"/>
      <family val="3"/>
      <charset val="129"/>
    </font>
    <font>
      <b/>
      <sz val="12"/>
      <name val="Arial Unicode MS"/>
      <family val="3"/>
      <charset val="129"/>
    </font>
    <font>
      <sz val="9"/>
      <color indexed="8"/>
      <name val="Arial Unicode MS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</font>
    <font>
      <b/>
      <sz val="22"/>
      <name val="맑은 고딕"/>
      <family val="3"/>
      <charset val="129"/>
      <scheme val="minor"/>
    </font>
    <font>
      <sz val="9"/>
      <color indexed="8"/>
      <name val="맑은 고딕"/>
      <family val="3"/>
      <charset val="129"/>
    </font>
    <font>
      <sz val="12"/>
      <color indexed="8"/>
      <name val="굴림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name val="Arial Unicode MS"/>
      <family val="3"/>
      <charset val="129"/>
    </font>
    <font>
      <b/>
      <sz val="9"/>
      <name val="돋움"/>
      <family val="3"/>
      <charset val="129"/>
    </font>
    <font>
      <b/>
      <sz val="8"/>
      <name val="돋움"/>
      <family val="3"/>
      <charset val="129"/>
    </font>
    <font>
      <sz val="8"/>
      <name val="맑은 고딕"/>
      <family val="3"/>
      <charset val="129"/>
      <scheme val="major"/>
    </font>
    <font>
      <sz val="9"/>
      <color rgb="FFFF0000"/>
      <name val="Arial Unicode MS"/>
      <family val="3"/>
      <charset val="129"/>
    </font>
    <font>
      <i/>
      <sz val="10"/>
      <name val="Times New Roman"/>
      <family val="1"/>
    </font>
    <font>
      <i/>
      <vertAlign val="subscript"/>
      <sz val="10"/>
      <name val="Times New Roman"/>
      <family val="1"/>
    </font>
    <font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name val="Times New Roman"/>
      <family val="1"/>
    </font>
    <font>
      <b/>
      <i/>
      <sz val="10"/>
      <name val="Times New Roman"/>
      <family val="1"/>
    </font>
    <font>
      <b/>
      <i/>
      <vertAlign val="subscript"/>
      <sz val="10"/>
      <name val="Times New Roman"/>
      <family val="1"/>
    </font>
    <font>
      <i/>
      <sz val="10"/>
      <name val="맑은 고딕"/>
      <family val="3"/>
      <charset val="129"/>
      <scheme val="major"/>
    </font>
    <font>
      <b/>
      <sz val="10"/>
      <name val="맑은 고딕"/>
      <family val="1"/>
      <scheme val="major"/>
    </font>
    <font>
      <b/>
      <sz val="20"/>
      <name val="맑은 고딕"/>
      <family val="3"/>
      <charset val="129"/>
      <scheme val="minor"/>
    </font>
    <font>
      <b/>
      <sz val="20"/>
      <name val="Felix Titling"/>
      <family val="5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color indexed="9"/>
      <name val="맑은 고딕"/>
      <family val="3"/>
      <charset val="129"/>
      <scheme val="major"/>
    </font>
    <font>
      <b/>
      <vertAlign val="subscript"/>
      <sz val="9"/>
      <color indexed="9"/>
      <name val="맑은 고딕"/>
      <family val="3"/>
      <charset val="129"/>
      <scheme val="major"/>
    </font>
    <font>
      <b/>
      <sz val="9"/>
      <color indexed="9"/>
      <name val="굴림"/>
      <family val="3"/>
      <charset val="129"/>
    </font>
    <font>
      <vertAlign val="subscript"/>
      <sz val="9"/>
      <name val="맑은 고딕"/>
      <family val="3"/>
      <charset val="129"/>
      <scheme val="major"/>
    </font>
    <font>
      <b/>
      <sz val="9"/>
      <color rgb="FFFF0000"/>
      <name val="Tahoma"/>
      <family val="2"/>
    </font>
    <font>
      <vertAlign val="subscript"/>
      <sz val="10"/>
      <name val="Times New Roman"/>
      <family val="1"/>
    </font>
    <font>
      <b/>
      <sz val="10"/>
      <name val="Times New Roman"/>
      <family val="1"/>
    </font>
    <font>
      <sz val="10"/>
      <name val="맑은 고딕"/>
      <family val="1"/>
      <scheme val="major"/>
    </font>
    <font>
      <vertAlign val="superscript"/>
      <sz val="10"/>
      <name val="맑은 고딕"/>
      <family val="3"/>
      <charset val="129"/>
      <scheme val="major"/>
    </font>
    <font>
      <b/>
      <i/>
      <sz val="10"/>
      <name val="맑은 고딕"/>
      <family val="3"/>
      <charset val="129"/>
    </font>
    <font>
      <i/>
      <vertAlign val="superscript"/>
      <sz val="10"/>
      <name val="Times New Roman"/>
      <family val="1"/>
    </font>
    <font>
      <sz val="10"/>
      <color rgb="FFFF0000"/>
      <name val="맑은 고딕"/>
      <family val="3"/>
      <charset val="129"/>
      <scheme val="major"/>
    </font>
    <font>
      <b/>
      <sz val="10"/>
      <color rgb="FFFF0000"/>
      <name val="맑은 고딕"/>
      <family val="3"/>
      <charset val="129"/>
      <scheme val="minor"/>
    </font>
    <font>
      <sz val="9"/>
      <color theme="0" tint="-0.499984740745262"/>
      <name val="맑은 고딕"/>
      <family val="3"/>
      <charset val="129"/>
      <scheme val="major"/>
    </font>
    <font>
      <vertAlign val="subscript"/>
      <sz val="9"/>
      <color theme="0" tint="-0.499984740745262"/>
      <name val="맑은 고딕"/>
      <family val="3"/>
      <charset val="129"/>
      <scheme val="major"/>
    </font>
    <font>
      <vertAlign val="subscript"/>
      <sz val="10"/>
      <name val="맑"/>
      <family val="3"/>
      <charset val="129"/>
    </font>
    <font>
      <vertAlign val="subscript"/>
      <sz val="10"/>
      <name val="맑은 고딕"/>
      <family val="3"/>
      <charset val="129"/>
      <scheme val="major"/>
    </font>
    <font>
      <b/>
      <vertAlign val="subscript"/>
      <sz val="10"/>
      <name val="맑은 고딕"/>
      <family val="3"/>
      <charset val="129"/>
    </font>
    <font>
      <vertAlign val="subscript"/>
      <sz val="10"/>
      <name val="바탕"/>
      <family val="1"/>
      <charset val="129"/>
    </font>
    <font>
      <i/>
      <sz val="10"/>
      <name val="맑은 고딕"/>
      <family val="3"/>
      <charset val="129"/>
    </font>
    <font>
      <b/>
      <i/>
      <sz val="9"/>
      <color indexed="9"/>
      <name val="Times New Roman"/>
      <family val="1"/>
    </font>
    <font>
      <b/>
      <vertAlign val="subscript"/>
      <sz val="9"/>
      <color indexed="9"/>
      <name val="Times New Roman"/>
      <family val="1"/>
    </font>
    <font>
      <sz val="9"/>
      <color theme="0" tint="-0.249977111117893"/>
      <name val="맑은 고딕"/>
      <family val="3"/>
      <charset val="129"/>
      <scheme val="major"/>
    </font>
    <font>
      <sz val="9"/>
      <name val="돋움"/>
      <family val="3"/>
      <charset val="129"/>
    </font>
    <font>
      <b/>
      <sz val="9"/>
      <color indexed="8"/>
      <name val="Arial Unicode MS"/>
      <family val="3"/>
      <charset val="129"/>
    </font>
    <font>
      <b/>
      <vertAlign val="superscript"/>
      <sz val="9"/>
      <color indexed="9"/>
      <name val="맑은 고딕"/>
      <family val="3"/>
      <charset val="129"/>
      <scheme val="major"/>
    </font>
    <font>
      <sz val="9"/>
      <color indexed="9"/>
      <name val="맑은 고딕"/>
      <family val="3"/>
      <charset val="129"/>
      <scheme val="major"/>
    </font>
  </fonts>
  <fills count="4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9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theme="0" tint="-0.49998474074526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theme="0" tint="-0.499984740745262"/>
      </bottom>
      <diagonal/>
    </border>
  </borders>
  <cellStyleXfs count="104">
    <xf numFmtId="0" fontId="0" fillId="0" borderId="0">
      <alignment vertical="center"/>
    </xf>
    <xf numFmtId="0" fontId="13" fillId="0" borderId="0"/>
    <xf numFmtId="0" fontId="13" fillId="0" borderId="0"/>
    <xf numFmtId="40" fontId="33" fillId="0" borderId="0" applyFont="0" applyFill="0" applyBorder="0" applyAlignment="0" applyProtection="0"/>
    <xf numFmtId="38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7" fillId="0" borderId="0"/>
    <xf numFmtId="0" fontId="37" fillId="0" borderId="0"/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176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9" fontId="32" fillId="0" borderId="0" applyFont="0" applyFill="0" applyBorder="0" applyAlignment="0" applyProtection="0"/>
    <xf numFmtId="0" fontId="34" fillId="0" borderId="0"/>
    <xf numFmtId="180" fontId="6" fillId="0" borderId="0" applyFont="0" applyFill="0" applyBorder="0" applyAlignment="0" applyProtection="0"/>
    <xf numFmtId="181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38" fontId="35" fillId="16" borderId="0" applyNumberFormat="0" applyBorder="0" applyAlignment="0" applyProtection="0"/>
    <xf numFmtId="10" fontId="35" fillId="17" borderId="1" applyNumberFormat="0" applyBorder="0" applyAlignment="0" applyProtection="0"/>
    <xf numFmtId="0" fontId="36" fillId="0" borderId="0"/>
    <xf numFmtId="0" fontId="6" fillId="0" borderId="0"/>
    <xf numFmtId="10" fontId="6" fillId="0" borderId="0" applyFont="0" applyFill="0" applyBorder="0" applyAlignment="0" applyProtection="0"/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2" borderId="2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3" fillId="23" borderId="3" applyNumberFormat="0" applyFon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42" fillId="0" borderId="0"/>
    <xf numFmtId="0" fontId="21" fillId="0" borderId="0" applyNumberFormat="0" applyFill="0" applyBorder="0" applyAlignment="0" applyProtection="0">
      <alignment vertical="center"/>
    </xf>
    <xf numFmtId="0" fontId="22" fillId="25" borderId="4" applyNumberFormat="0" applyAlignment="0" applyProtection="0">
      <alignment vertical="center"/>
    </xf>
    <xf numFmtId="0" fontId="6" fillId="0" borderId="0"/>
    <xf numFmtId="0" fontId="23" fillId="0" borderId="5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7" borderId="2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22" borderId="10" applyNumberFormat="0" applyAlignment="0" applyProtection="0">
      <alignment vertical="center"/>
    </xf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43" fillId="0" borderId="0">
      <alignment vertical="center"/>
    </xf>
    <xf numFmtId="0" fontId="3" fillId="0" borderId="0">
      <alignment vertical="center"/>
    </xf>
    <xf numFmtId="0" fontId="3" fillId="0" borderId="0"/>
    <xf numFmtId="0" fontId="51" fillId="0" borderId="0">
      <alignment vertical="center"/>
    </xf>
    <xf numFmtId="0" fontId="14" fillId="0" borderId="0">
      <alignment vertical="center"/>
    </xf>
    <xf numFmtId="0" fontId="3" fillId="0" borderId="0"/>
    <xf numFmtId="0" fontId="4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58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64" applyNumberFormat="0" applyBorder="0" applyAlignment="0" applyProtection="0"/>
    <xf numFmtId="0" fontId="17" fillId="22" borderId="65" applyNumberFormat="0" applyAlignment="0" applyProtection="0">
      <alignment vertical="center"/>
    </xf>
    <xf numFmtId="0" fontId="3" fillId="23" borderId="62" applyNumberFormat="0" applyFont="0" applyAlignment="0" applyProtection="0">
      <alignment vertical="center"/>
    </xf>
    <xf numFmtId="0" fontId="24" fillId="0" borderId="66" applyNumberFormat="0" applyFill="0" applyAlignment="0" applyProtection="0">
      <alignment vertical="center"/>
    </xf>
    <xf numFmtId="0" fontId="25" fillId="7" borderId="65" applyNumberFormat="0" applyAlignment="0" applyProtection="0">
      <alignment vertical="center"/>
    </xf>
    <xf numFmtId="0" fontId="31" fillId="22" borderId="67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64" applyNumberFormat="0" applyBorder="0" applyAlignment="0" applyProtection="0"/>
    <xf numFmtId="0" fontId="17" fillId="22" borderId="65" applyNumberFormat="0" applyAlignment="0" applyProtection="0">
      <alignment vertical="center"/>
    </xf>
    <xf numFmtId="0" fontId="3" fillId="23" borderId="62" applyNumberFormat="0" applyFont="0" applyAlignment="0" applyProtection="0">
      <alignment vertical="center"/>
    </xf>
    <xf numFmtId="0" fontId="24" fillId="0" borderId="66" applyNumberFormat="0" applyFill="0" applyAlignment="0" applyProtection="0">
      <alignment vertical="center"/>
    </xf>
    <xf numFmtId="0" fontId="25" fillId="7" borderId="65" applyNumberFormat="0" applyAlignment="0" applyProtection="0">
      <alignment vertical="center"/>
    </xf>
    <xf numFmtId="0" fontId="31" fillId="22" borderId="67" applyNumberFormat="0" applyAlignment="0" applyProtection="0">
      <alignment vertical="center"/>
    </xf>
    <xf numFmtId="0" fontId="6" fillId="0" borderId="0"/>
  </cellStyleXfs>
  <cellXfs count="581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0" fontId="41" fillId="0" borderId="1" xfId="0" applyFont="1" applyFill="1" applyBorder="1" applyAlignment="1" applyProtection="1">
      <alignment horizontal="center" vertical="center" shrinkToFit="1"/>
    </xf>
    <xf numFmtId="0" fontId="8" fillId="0" borderId="1" xfId="0" applyFont="1" applyFill="1" applyBorder="1" applyAlignment="1" applyProtection="1">
      <alignment horizontal="center" vertical="center" shrinkToFit="1"/>
    </xf>
    <xf numFmtId="0" fontId="44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41" fillId="0" borderId="1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>
      <alignment vertical="center"/>
    </xf>
    <xf numFmtId="0" fontId="8" fillId="0" borderId="1" xfId="0" applyFont="1" applyFill="1" applyBorder="1" applyAlignment="1" applyProtection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14" fontId="1" fillId="0" borderId="0" xfId="0" applyNumberFormat="1" applyFont="1" applyFill="1" applyBorder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2" fillId="0" borderId="0" xfId="0" applyFont="1" applyAlignment="1">
      <alignment horizontal="center" vertical="center"/>
    </xf>
    <xf numFmtId="0" fontId="53" fillId="26" borderId="0" xfId="0" applyFont="1" applyFill="1" applyAlignment="1">
      <alignment horizontal="center" vertical="center"/>
    </xf>
    <xf numFmtId="0" fontId="53" fillId="26" borderId="0" xfId="0" applyFont="1" applyFill="1" applyAlignment="1">
      <alignment horizontal="center" vertical="center" wrapText="1"/>
    </xf>
    <xf numFmtId="0" fontId="56" fillId="0" borderId="0" xfId="0" applyFont="1" applyAlignment="1">
      <alignment horizontal="left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4" fillId="0" borderId="0" xfId="0" applyFont="1" applyAlignment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7" fillId="0" borderId="0" xfId="0" applyFont="1" applyBorder="1" applyAlignment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48" fillId="0" borderId="0" xfId="79" applyNumberFormat="1" applyFont="1"/>
    <xf numFmtId="0" fontId="55" fillId="0" borderId="25" xfId="0" applyFont="1" applyBorder="1" applyAlignment="1">
      <alignment horizontal="center" vertical="center"/>
    </xf>
    <xf numFmtId="0" fontId="52" fillId="0" borderId="25" xfId="0" applyFont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vertical="center"/>
    </xf>
    <xf numFmtId="0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2" fillId="0" borderId="0" xfId="0" applyNumberFormat="1" applyFont="1" applyBorder="1" applyAlignment="1">
      <alignment horizontal="center" vertical="center"/>
    </xf>
    <xf numFmtId="49" fontId="55" fillId="0" borderId="25" xfId="0" applyNumberFormat="1" applyFont="1" applyBorder="1" applyAlignment="1">
      <alignment horizontal="center" vertical="center"/>
    </xf>
    <xf numFmtId="0" fontId="8" fillId="29" borderId="11" xfId="0" applyFont="1" applyFill="1" applyBorder="1" applyAlignment="1" applyProtection="1">
      <alignment horizontal="center" vertical="center"/>
      <protection locked="0"/>
    </xf>
    <xf numFmtId="0" fontId="8" fillId="29" borderId="1" xfId="0" applyFont="1" applyFill="1" applyBorder="1" applyAlignment="1" applyProtection="1">
      <alignment horizontal="center" vertical="center" shrinkToFit="1"/>
      <protection locked="0"/>
    </xf>
    <xf numFmtId="0" fontId="48" fillId="0" borderId="0" xfId="79" applyNumberFormat="1" applyFont="1" applyFill="1" applyBorder="1" applyAlignment="1">
      <alignment vertical="center"/>
    </xf>
    <xf numFmtId="0" fontId="48" fillId="0" borderId="0" xfId="79" applyNumberFormat="1" applyFont="1" applyFill="1" applyAlignment="1">
      <alignment horizontal="center" vertical="center"/>
    </xf>
    <xf numFmtId="0" fontId="48" fillId="0" borderId="0" xfId="79" applyNumberFormat="1" applyFont="1" applyFill="1" applyAlignment="1">
      <alignment vertical="center"/>
    </xf>
    <xf numFmtId="0" fontId="11" fillId="0" borderId="0" xfId="0" applyFont="1" applyFill="1" applyBorder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3" fillId="26" borderId="33" xfId="0" applyFont="1" applyFill="1" applyBorder="1" applyAlignment="1">
      <alignment horizontal="center" vertical="center" wrapText="1"/>
    </xf>
    <xf numFmtId="0" fontId="55" fillId="0" borderId="33" xfId="0" applyFont="1" applyBorder="1" applyAlignment="1">
      <alignment horizontal="center" vertical="center"/>
    </xf>
    <xf numFmtId="0" fontId="64" fillId="0" borderId="0" xfId="79" applyNumberFormat="1" applyFont="1" applyFill="1" applyAlignment="1">
      <alignment horizontal="left" vertical="center"/>
    </xf>
    <xf numFmtId="0" fontId="64" fillId="0" borderId="0" xfId="79" applyNumberFormat="1" applyFont="1" applyFill="1" applyAlignment="1">
      <alignment vertical="center"/>
    </xf>
    <xf numFmtId="0" fontId="9" fillId="0" borderId="0" xfId="0" applyNumberFormat="1" applyFont="1" applyFill="1">
      <alignment vertical="center"/>
    </xf>
    <xf numFmtId="0" fontId="61" fillId="0" borderId="0" xfId="0" applyNumberFormat="1" applyFont="1" applyFill="1" applyBorder="1" applyAlignment="1">
      <alignment vertical="center"/>
    </xf>
    <xf numFmtId="0" fontId="1" fillId="0" borderId="0" xfId="79" applyNumberFormat="1" applyFont="1" applyFill="1" applyAlignment="1">
      <alignment horizontal="left" vertical="center"/>
    </xf>
    <xf numFmtId="0" fontId="48" fillId="0" borderId="0" xfId="0" applyNumberFormat="1" applyFont="1">
      <alignment vertical="center"/>
    </xf>
    <xf numFmtId="0" fontId="1" fillId="0" borderId="0" xfId="79" applyNumberFormat="1" applyFont="1" applyFill="1" applyBorder="1" applyAlignment="1">
      <alignment horizontal="left" vertical="center"/>
    </xf>
    <xf numFmtId="0" fontId="48" fillId="0" borderId="0" xfId="79" applyNumberFormat="1" applyFont="1" applyFill="1" applyAlignment="1">
      <alignment horizontal="left" vertical="center"/>
    </xf>
    <xf numFmtId="0" fontId="48" fillId="0" borderId="0" xfId="79" applyNumberFormat="1" applyFont="1" applyFill="1" applyBorder="1" applyAlignment="1">
      <alignment horizontal="center" vertical="center"/>
    </xf>
    <xf numFmtId="3" fontId="48" fillId="0" borderId="0" xfId="79" applyNumberFormat="1" applyFont="1" applyFill="1" applyBorder="1" applyAlignment="1">
      <alignment horizontal="center" vertical="center"/>
    </xf>
    <xf numFmtId="0" fontId="48" fillId="0" borderId="0" xfId="79" applyNumberFormat="1" applyFont="1" applyFill="1" applyAlignment="1">
      <alignment horizontal="right" vertical="center"/>
    </xf>
    <xf numFmtId="0" fontId="48" fillId="0" borderId="0" xfId="0" applyNumberFormat="1" applyFont="1" applyBorder="1" applyAlignment="1">
      <alignment vertical="center"/>
    </xf>
    <xf numFmtId="0" fontId="55" fillId="0" borderId="35" xfId="0" applyFont="1" applyBorder="1" applyAlignment="1">
      <alignment horizontal="center" vertical="center"/>
    </xf>
    <xf numFmtId="0" fontId="67" fillId="0" borderId="0" xfId="0" applyFont="1">
      <alignment vertical="center"/>
    </xf>
    <xf numFmtId="0" fontId="67" fillId="0" borderId="0" xfId="0" applyFont="1" applyBorder="1">
      <alignment vertical="center"/>
    </xf>
    <xf numFmtId="0" fontId="68" fillId="0" borderId="0" xfId="0" applyFont="1" applyBorder="1" applyAlignment="1">
      <alignment vertical="center"/>
    </xf>
    <xf numFmtId="0" fontId="67" fillId="0" borderId="0" xfId="0" applyFont="1" applyAlignment="1">
      <alignment vertical="center"/>
    </xf>
    <xf numFmtId="0" fontId="65" fillId="0" borderId="0" xfId="0" applyFont="1" applyBorder="1" applyAlignment="1">
      <alignment vertical="center"/>
    </xf>
    <xf numFmtId="0" fontId="68" fillId="0" borderId="0" xfId="0" applyFont="1" applyBorder="1">
      <alignment vertical="center"/>
    </xf>
    <xf numFmtId="0" fontId="69" fillId="0" borderId="0" xfId="0" applyFont="1" applyBorder="1">
      <alignment vertical="center"/>
    </xf>
    <xf numFmtId="1" fontId="67" fillId="0" borderId="0" xfId="0" applyNumberFormat="1" applyFont="1" applyBorder="1" applyAlignment="1">
      <alignment vertical="center"/>
    </xf>
    <xf numFmtId="0" fontId="38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horizontal="center" vertical="center"/>
    </xf>
    <xf numFmtId="190" fontId="1" fillId="0" borderId="0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49" fontId="1" fillId="0" borderId="0" xfId="0" applyNumberFormat="1" applyFont="1" applyFill="1" applyBorder="1" applyAlignment="1">
      <alignment vertical="center"/>
    </xf>
    <xf numFmtId="0" fontId="74" fillId="0" borderId="0" xfId="0" applyNumberFormat="1" applyFont="1" applyAlignment="1">
      <alignment vertical="center"/>
    </xf>
    <xf numFmtId="0" fontId="52" fillId="0" borderId="0" xfId="0" applyNumberFormat="1" applyFont="1" applyAlignment="1">
      <alignment vertical="center"/>
    </xf>
    <xf numFmtId="0" fontId="68" fillId="0" borderId="0" xfId="0" applyFont="1" applyBorder="1" applyAlignment="1">
      <alignment horizontal="left" vertical="center" indent="1"/>
    </xf>
    <xf numFmtId="0" fontId="52" fillId="0" borderId="0" xfId="0" applyNumberFormat="1" applyFont="1" applyFill="1" applyBorder="1" applyAlignment="1">
      <alignment vertical="center"/>
    </xf>
    <xf numFmtId="191" fontId="67" fillId="0" borderId="0" xfId="0" applyNumberFormat="1" applyFont="1" applyBorder="1" applyAlignment="1">
      <alignment horizontal="center" vertical="center"/>
    </xf>
    <xf numFmtId="0" fontId="48" fillId="31" borderId="0" xfId="79" applyNumberFormat="1" applyFont="1" applyFill="1" applyAlignment="1">
      <alignment horizontal="center" vertical="center"/>
    </xf>
    <xf numFmtId="0" fontId="60" fillId="31" borderId="0" xfId="0" applyNumberFormat="1" applyFont="1" applyFill="1" applyBorder="1" applyAlignment="1">
      <alignment horizontal="left" vertical="center"/>
    </xf>
    <xf numFmtId="0" fontId="48" fillId="0" borderId="36" xfId="79" applyNumberFormat="1" applyFont="1" applyFill="1" applyBorder="1" applyAlignment="1">
      <alignment horizontal="center" vertical="center"/>
    </xf>
    <xf numFmtId="0" fontId="48" fillId="0" borderId="36" xfId="79" applyNumberFormat="1" applyFont="1" applyFill="1" applyBorder="1" applyAlignment="1">
      <alignment horizontal="right" vertical="center"/>
    </xf>
    <xf numFmtId="0" fontId="50" fillId="0" borderId="36" xfId="80" applyNumberFormat="1" applyFont="1" applyFill="1" applyBorder="1" applyAlignment="1">
      <alignment horizontal="right" vertical="center"/>
    </xf>
    <xf numFmtId="0" fontId="48" fillId="0" borderId="36" xfId="79" applyNumberFormat="1" applyFont="1" applyFill="1" applyBorder="1" applyAlignment="1">
      <alignment horizontal="left" vertical="center"/>
    </xf>
    <xf numFmtId="0" fontId="48" fillId="0" borderId="36" xfId="79" applyNumberFormat="1" applyFont="1" applyFill="1" applyBorder="1" applyAlignment="1">
      <alignment vertical="center"/>
    </xf>
    <xf numFmtId="49" fontId="1" fillId="0" borderId="0" xfId="79" applyNumberFormat="1" applyFont="1" applyFill="1" applyAlignment="1">
      <alignment horizontal="left" vertical="center"/>
    </xf>
    <xf numFmtId="0" fontId="48" fillId="0" borderId="0" xfId="0" applyFont="1">
      <alignment vertical="center"/>
    </xf>
    <xf numFmtId="49" fontId="1" fillId="0" borderId="0" xfId="79" applyNumberFormat="1" applyFont="1" applyFill="1" applyBorder="1" applyAlignment="1">
      <alignment horizontal="left" vertical="center"/>
    </xf>
    <xf numFmtId="49" fontId="48" fillId="0" borderId="0" xfId="79" applyNumberFormat="1" applyFont="1" applyFill="1" applyBorder="1" applyAlignment="1">
      <alignment vertical="center"/>
    </xf>
    <xf numFmtId="49" fontId="1" fillId="0" borderId="0" xfId="79" applyNumberFormat="1" applyFont="1" applyFill="1" applyBorder="1" applyAlignment="1">
      <alignment vertical="center"/>
    </xf>
    <xf numFmtId="49" fontId="1" fillId="0" borderId="0" xfId="79" applyNumberFormat="1" applyFont="1" applyFill="1" applyAlignment="1">
      <alignment horizontal="center" vertical="center"/>
    </xf>
    <xf numFmtId="0" fontId="46" fillId="17" borderId="1" xfId="0" applyNumberFormat="1" applyFont="1" applyFill="1" applyBorder="1" applyAlignment="1" applyProtection="1">
      <alignment horizontal="center" vertical="center" shrinkToFit="1"/>
      <protection locked="0"/>
    </xf>
    <xf numFmtId="185" fontId="8" fillId="17" borderId="1" xfId="0" applyNumberFormat="1" applyFont="1" applyFill="1" applyBorder="1" applyAlignment="1" applyProtection="1">
      <alignment horizontal="center" vertical="center" shrinkToFit="1"/>
    </xf>
    <xf numFmtId="186" fontId="8" fillId="17" borderId="1" xfId="0" applyNumberFormat="1" applyFont="1" applyFill="1" applyBorder="1" applyAlignment="1" applyProtection="1">
      <alignment horizontal="center" vertical="center" shrinkToFit="1"/>
    </xf>
    <xf numFmtId="187" fontId="8" fillId="0" borderId="1" xfId="0" applyNumberFormat="1" applyFont="1" applyFill="1" applyBorder="1" applyAlignment="1" applyProtection="1">
      <alignment horizontal="center" vertical="center" shrinkToFit="1"/>
    </xf>
    <xf numFmtId="0" fontId="48" fillId="0" borderId="38" xfId="79" applyNumberFormat="1" applyFont="1" applyFill="1" applyBorder="1" applyAlignment="1">
      <alignment vertical="center"/>
    </xf>
    <xf numFmtId="0" fontId="48" fillId="0" borderId="38" xfId="79" applyNumberFormat="1" applyFont="1" applyFill="1" applyBorder="1" applyAlignment="1">
      <alignment horizontal="left" vertical="center"/>
    </xf>
    <xf numFmtId="0" fontId="48" fillId="0" borderId="38" xfId="79" applyNumberFormat="1" applyFont="1" applyFill="1" applyBorder="1" applyAlignment="1">
      <alignment horizontal="right" vertical="center"/>
    </xf>
    <xf numFmtId="49" fontId="48" fillId="0" borderId="0" xfId="79" applyNumberFormat="1" applyFont="1" applyFill="1" applyAlignment="1">
      <alignment horizontal="center" vertical="center"/>
    </xf>
    <xf numFmtId="0" fontId="64" fillId="0" borderId="0" xfId="79" applyNumberFormat="1" applyFont="1" applyFill="1" applyAlignment="1">
      <alignment horizontal="center" vertical="center"/>
    </xf>
    <xf numFmtId="0" fontId="78" fillId="0" borderId="0" xfId="0" applyFont="1">
      <alignment vertical="center"/>
    </xf>
    <xf numFmtId="0" fontId="54" fillId="0" borderId="0" xfId="0" applyFont="1" applyAlignment="1">
      <alignment horizontal="center" vertical="center"/>
    </xf>
    <xf numFmtId="0" fontId="52" fillId="0" borderId="37" xfId="0" applyNumberFormat="1" applyFont="1" applyBorder="1" applyAlignment="1">
      <alignment horizontal="center" vertical="center"/>
    </xf>
    <xf numFmtId="0" fontId="55" fillId="0" borderId="37" xfId="0" applyFont="1" applyBorder="1" applyAlignment="1">
      <alignment horizontal="center" vertical="center"/>
    </xf>
    <xf numFmtId="0" fontId="79" fillId="0" borderId="0" xfId="0" applyFont="1" applyBorder="1">
      <alignment vertical="center"/>
    </xf>
    <xf numFmtId="0" fontId="48" fillId="0" borderId="38" xfId="79" applyNumberFormat="1" applyFont="1" applyFill="1" applyBorder="1" applyAlignment="1">
      <alignment horizontal="center" vertical="center"/>
    </xf>
    <xf numFmtId="0" fontId="50" fillId="0" borderId="38" xfId="80" applyNumberFormat="1" applyFont="1" applyFill="1" applyBorder="1" applyAlignment="1">
      <alignment horizontal="right" vertical="center"/>
    </xf>
    <xf numFmtId="0" fontId="48" fillId="0" borderId="40" xfId="79" applyNumberFormat="1" applyFont="1" applyFill="1" applyBorder="1" applyAlignment="1">
      <alignment horizontal="center" vertical="center"/>
    </xf>
    <xf numFmtId="0" fontId="7" fillId="28" borderId="42" xfId="0" applyNumberFormat="1" applyFont="1" applyFill="1" applyBorder="1" applyAlignment="1">
      <alignment horizontal="center" vertical="center"/>
    </xf>
    <xf numFmtId="0" fontId="1" fillId="0" borderId="41" xfId="78" applyNumberFormat="1" applyFont="1" applyFill="1" applyBorder="1" applyAlignment="1">
      <alignment horizontal="center" vertical="center"/>
    </xf>
    <xf numFmtId="49" fontId="1" fillId="0" borderId="41" xfId="78" applyNumberFormat="1" applyFont="1" applyFill="1" applyBorder="1" applyAlignment="1">
      <alignment horizontal="center" vertical="center"/>
    </xf>
    <xf numFmtId="198" fontId="1" fillId="0" borderId="41" xfId="78" applyNumberFormat="1" applyFont="1" applyFill="1" applyBorder="1" applyAlignment="1">
      <alignment horizontal="center" vertical="center"/>
    </xf>
    <xf numFmtId="0" fontId="61" fillId="0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48" fillId="0" borderId="0" xfId="0" applyFont="1" applyBorder="1">
      <alignment vertical="center"/>
    </xf>
    <xf numFmtId="49" fontId="48" fillId="0" borderId="0" xfId="79" applyNumberFormat="1" applyFont="1" applyFill="1" applyBorder="1" applyAlignment="1">
      <alignment horizontal="center" vertical="center"/>
    </xf>
    <xf numFmtId="0" fontId="48" fillId="31" borderId="43" xfId="79" applyNumberFormat="1" applyFont="1" applyFill="1" applyBorder="1" applyAlignment="1">
      <alignment horizontal="center" vertical="center"/>
    </xf>
    <xf numFmtId="0" fontId="60" fillId="31" borderId="43" xfId="0" applyNumberFormat="1" applyFont="1" applyFill="1" applyBorder="1" applyAlignment="1">
      <alignment horizontal="left" vertical="center"/>
    </xf>
    <xf numFmtId="0" fontId="69" fillId="0" borderId="0" xfId="0" applyFont="1" applyBorder="1" applyAlignment="1">
      <alignment vertical="center"/>
    </xf>
    <xf numFmtId="0" fontId="67" fillId="0" borderId="0" xfId="0" quotePrefix="1" applyFont="1" applyBorder="1" applyAlignment="1">
      <alignment vertical="center"/>
    </xf>
    <xf numFmtId="0" fontId="1" fillId="35" borderId="0" xfId="0" applyFont="1" applyFill="1" applyBorder="1" applyProtection="1">
      <alignment vertical="center"/>
      <protection locked="0"/>
    </xf>
    <xf numFmtId="49" fontId="55" fillId="0" borderId="48" xfId="0" applyNumberFormat="1" applyFont="1" applyBorder="1" applyAlignment="1">
      <alignment horizontal="center" vertical="center"/>
    </xf>
    <xf numFmtId="0" fontId="53" fillId="26" borderId="48" xfId="0" applyFont="1" applyFill="1" applyBorder="1" applyAlignment="1">
      <alignment horizontal="center" vertical="center" wrapText="1"/>
    </xf>
    <xf numFmtId="0" fontId="55" fillId="0" borderId="48" xfId="0" applyFont="1" applyBorder="1" applyAlignment="1">
      <alignment horizontal="center" vertical="center"/>
    </xf>
    <xf numFmtId="0" fontId="52" fillId="0" borderId="48" xfId="0" applyFont="1" applyBorder="1" applyAlignment="1">
      <alignment horizontal="center" vertical="center"/>
    </xf>
    <xf numFmtId="0" fontId="59" fillId="27" borderId="50" xfId="81" applyFont="1" applyFill="1" applyBorder="1" applyAlignment="1">
      <alignment horizontal="center" vertical="center"/>
    </xf>
    <xf numFmtId="0" fontId="80" fillId="0" borderId="0" xfId="0" applyNumberFormat="1" applyFont="1" applyFill="1" applyAlignment="1">
      <alignment horizontal="left" vertical="center" indent="1"/>
    </xf>
    <xf numFmtId="0" fontId="81" fillId="0" borderId="0" xfId="0" applyNumberFormat="1" applyFont="1" applyFill="1" applyBorder="1" applyAlignment="1">
      <alignment horizontal="center" vertical="center"/>
    </xf>
    <xf numFmtId="0" fontId="81" fillId="0" borderId="0" xfId="0" applyNumberFormat="1" applyFont="1" applyFill="1" applyBorder="1" applyAlignment="1">
      <alignment horizontal="left" vertical="center"/>
    </xf>
    <xf numFmtId="0" fontId="81" fillId="0" borderId="0" xfId="0" applyNumberFormat="1" applyFont="1">
      <alignment vertical="center"/>
    </xf>
    <xf numFmtId="0" fontId="81" fillId="0" borderId="0" xfId="0" applyNumberFormat="1" applyFont="1" applyFill="1" applyBorder="1" applyAlignment="1">
      <alignment vertical="center"/>
    </xf>
    <xf numFmtId="0" fontId="81" fillId="0" borderId="0" xfId="0" applyNumberFormat="1" applyFont="1" applyFill="1" applyAlignment="1">
      <alignment vertical="center"/>
    </xf>
    <xf numFmtId="0" fontId="80" fillId="0" borderId="0" xfId="0" applyNumberFormat="1" applyFont="1" applyFill="1" applyBorder="1" applyAlignment="1">
      <alignment vertical="center"/>
    </xf>
    <xf numFmtId="0" fontId="81" fillId="0" borderId="53" xfId="0" applyNumberFormat="1" applyFont="1" applyFill="1" applyBorder="1" applyAlignment="1">
      <alignment horizontal="center" vertical="center"/>
    </xf>
    <xf numFmtId="199" fontId="81" fillId="29" borderId="54" xfId="0" applyNumberFormat="1" applyFont="1" applyFill="1" applyBorder="1" applyAlignment="1">
      <alignment horizontal="center" vertical="center"/>
    </xf>
    <xf numFmtId="199" fontId="81" fillId="0" borderId="56" xfId="0" applyNumberFormat="1" applyFont="1" applyFill="1" applyBorder="1" applyAlignment="1">
      <alignment horizontal="center" vertical="center"/>
    </xf>
    <xf numFmtId="200" fontId="81" fillId="0" borderId="53" xfId="0" applyNumberFormat="1" applyFont="1" applyFill="1" applyBorder="1" applyAlignment="1">
      <alignment horizontal="center" vertical="center"/>
    </xf>
    <xf numFmtId="0" fontId="81" fillId="35" borderId="53" xfId="0" applyNumberFormat="1" applyFont="1" applyFill="1" applyBorder="1" applyAlignment="1">
      <alignment horizontal="center" vertical="center"/>
    </xf>
    <xf numFmtId="0" fontId="80" fillId="0" borderId="0" xfId="0" applyNumberFormat="1" applyFont="1" applyFill="1" applyAlignment="1">
      <alignment vertical="center"/>
    </xf>
    <xf numFmtId="0" fontId="86" fillId="35" borderId="51" xfId="78" applyNumberFormat="1" applyFont="1" applyFill="1" applyBorder="1" applyAlignment="1">
      <alignment horizontal="center" vertical="center"/>
    </xf>
    <xf numFmtId="0" fontId="80" fillId="0" borderId="0" xfId="0" applyNumberFormat="1" applyFont="1" applyFill="1" applyAlignment="1">
      <alignment horizontal="left" vertical="center"/>
    </xf>
    <xf numFmtId="201" fontId="81" fillId="0" borderId="55" xfId="0" applyNumberFormat="1" applyFont="1" applyFill="1" applyBorder="1" applyAlignment="1">
      <alignment horizontal="center" vertical="center"/>
    </xf>
    <xf numFmtId="201" fontId="81" fillId="0" borderId="53" xfId="0" applyNumberFormat="1" applyFont="1" applyFill="1" applyBorder="1" applyAlignment="1">
      <alignment horizontal="center" vertical="center"/>
    </xf>
    <xf numFmtId="0" fontId="81" fillId="35" borderId="55" xfId="0" applyNumberFormat="1" applyFont="1" applyFill="1" applyBorder="1" applyAlignment="1">
      <alignment horizontal="center" vertical="center"/>
    </xf>
    <xf numFmtId="0" fontId="48" fillId="0" borderId="59" xfId="79" applyNumberFormat="1" applyFont="1" applyFill="1" applyBorder="1" applyAlignment="1">
      <alignment horizontal="center" vertical="center"/>
    </xf>
    <xf numFmtId="0" fontId="48" fillId="0" borderId="60" xfId="79" applyNumberFormat="1" applyFont="1" applyFill="1" applyBorder="1" applyAlignment="1">
      <alignment horizontal="center" vertical="center"/>
    </xf>
    <xf numFmtId="0" fontId="48" fillId="0" borderId="31" xfId="79" applyNumberFormat="1" applyFont="1" applyFill="1" applyBorder="1" applyAlignment="1">
      <alignment horizontal="center" vertical="center"/>
    </xf>
    <xf numFmtId="0" fontId="48" fillId="0" borderId="49" xfId="79" applyNumberFormat="1" applyFont="1" applyFill="1" applyBorder="1" applyAlignment="1">
      <alignment horizontal="center" vertical="center"/>
    </xf>
    <xf numFmtId="0" fontId="48" fillId="0" borderId="48" xfId="79" applyNumberFormat="1" applyFont="1" applyFill="1" applyBorder="1" applyAlignment="1">
      <alignment horizontal="center" vertical="center"/>
    </xf>
    <xf numFmtId="196" fontId="67" fillId="0" borderId="0" xfId="0" applyNumberFormat="1" applyFont="1" applyBorder="1" applyAlignment="1">
      <alignment horizontal="center" vertical="center"/>
    </xf>
    <xf numFmtId="0" fontId="67" fillId="0" borderId="0" xfId="0" applyFont="1" applyAlignment="1">
      <alignment horizontal="center" vertical="center"/>
    </xf>
    <xf numFmtId="0" fontId="65" fillId="0" borderId="0" xfId="0" quotePrefix="1" applyFont="1" applyBorder="1" applyAlignment="1">
      <alignment vertical="center"/>
    </xf>
    <xf numFmtId="207" fontId="67" fillId="0" borderId="0" xfId="0" applyNumberFormat="1" applyFont="1" applyBorder="1" applyAlignment="1">
      <alignment vertical="center"/>
    </xf>
    <xf numFmtId="208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horizontal="right" vertical="center"/>
    </xf>
    <xf numFmtId="1" fontId="67" fillId="0" borderId="0" xfId="0" applyNumberFormat="1" applyFont="1" applyBorder="1" applyAlignment="1">
      <alignment vertical="center" shrinkToFit="1"/>
    </xf>
    <xf numFmtId="210" fontId="67" fillId="0" borderId="0" xfId="0" applyNumberFormat="1" applyFont="1" applyBorder="1" applyAlignment="1"/>
    <xf numFmtId="0" fontId="67" fillId="0" borderId="0" xfId="0" applyNumberFormat="1" applyFont="1" applyBorder="1" applyAlignment="1"/>
    <xf numFmtId="185" fontId="67" fillId="0" borderId="0" xfId="0" applyNumberFormat="1" applyFont="1" applyBorder="1" applyAlignment="1">
      <alignment vertical="center"/>
    </xf>
    <xf numFmtId="209" fontId="67" fillId="0" borderId="0" xfId="0" applyNumberFormat="1" applyFont="1" applyBorder="1" applyAlignment="1">
      <alignment vertical="center"/>
    </xf>
    <xf numFmtId="0" fontId="93" fillId="0" borderId="0" xfId="0" applyFont="1" applyBorder="1" applyAlignment="1">
      <alignment vertical="center"/>
    </xf>
    <xf numFmtId="203" fontId="93" fillId="0" borderId="0" xfId="0" applyNumberFormat="1" applyFont="1" applyBorder="1" applyAlignment="1">
      <alignment vertical="center"/>
    </xf>
    <xf numFmtId="203" fontId="93" fillId="0" borderId="0" xfId="0" applyNumberFormat="1" applyFont="1" applyBorder="1" applyAlignment="1">
      <alignment vertical="center" shrinkToFit="1"/>
    </xf>
    <xf numFmtId="213" fontId="67" fillId="0" borderId="0" xfId="0" applyNumberFormat="1" applyFont="1" applyBorder="1" applyAlignment="1">
      <alignment vertical="center"/>
    </xf>
    <xf numFmtId="213" fontId="67" fillId="0" borderId="0" xfId="0" applyNumberFormat="1" applyFont="1" applyBorder="1" applyAlignment="1">
      <alignment horizontal="center" vertical="center"/>
    </xf>
    <xf numFmtId="214" fontId="67" fillId="0" borderId="0" xfId="0" applyNumberFormat="1" applyFont="1" applyBorder="1" applyAlignment="1">
      <alignment vertical="center"/>
    </xf>
    <xf numFmtId="216" fontId="67" fillId="0" borderId="0" xfId="0" applyNumberFormat="1" applyFont="1" applyBorder="1" applyAlignment="1">
      <alignment vertical="center"/>
    </xf>
    <xf numFmtId="0" fontId="82" fillId="28" borderId="62" xfId="0" applyNumberFormat="1" applyFont="1" applyFill="1" applyBorder="1" applyAlignment="1">
      <alignment horizontal="center" vertical="center" wrapText="1"/>
    </xf>
    <xf numFmtId="0" fontId="54" fillId="0" borderId="0" xfId="0" applyNumberFormat="1" applyFont="1">
      <alignment vertical="center"/>
    </xf>
    <xf numFmtId="0" fontId="52" fillId="0" borderId="0" xfId="0" applyNumberFormat="1" applyFont="1">
      <alignment vertical="center"/>
    </xf>
    <xf numFmtId="0" fontId="52" fillId="0" borderId="57" xfId="0" applyNumberFormat="1" applyFont="1" applyBorder="1" applyAlignment="1">
      <alignment vertical="center"/>
    </xf>
    <xf numFmtId="0" fontId="52" fillId="0" borderId="58" xfId="0" applyNumberFormat="1" applyFont="1" applyBorder="1" applyAlignment="1">
      <alignment vertical="center"/>
    </xf>
    <xf numFmtId="0" fontId="52" fillId="0" borderId="0" xfId="78" applyNumberFormat="1" applyFont="1" applyFill="1" applyBorder="1" applyAlignment="1">
      <alignment horizontal="center" vertical="center"/>
    </xf>
    <xf numFmtId="0" fontId="94" fillId="0" borderId="0" xfId="0" applyNumberFormat="1" applyFont="1" applyAlignment="1">
      <alignment vertical="center"/>
    </xf>
    <xf numFmtId="0" fontId="52" fillId="0" borderId="58" xfId="0" applyNumberFormat="1" applyFont="1" applyBorder="1" applyAlignment="1">
      <alignment horizontal="left" vertical="center"/>
    </xf>
    <xf numFmtId="0" fontId="93" fillId="0" borderId="0" xfId="0" applyFont="1" applyBorder="1">
      <alignment vertical="center"/>
    </xf>
    <xf numFmtId="0" fontId="81" fillId="0" borderId="62" xfId="0" applyNumberFormat="1" applyFont="1" applyFill="1" applyBorder="1" applyAlignment="1">
      <alignment horizontal="center" vertical="center"/>
    </xf>
    <xf numFmtId="0" fontId="81" fillId="36" borderId="62" xfId="0" applyNumberFormat="1" applyFont="1" applyFill="1" applyBorder="1" applyAlignment="1">
      <alignment horizontal="center" vertical="center"/>
    </xf>
    <xf numFmtId="0" fontId="81" fillId="0" borderId="55" xfId="0" applyNumberFormat="1" applyFont="1" applyFill="1" applyBorder="1" applyAlignment="1">
      <alignment horizontal="center" vertical="center"/>
    </xf>
    <xf numFmtId="0" fontId="81" fillId="34" borderId="62" xfId="0" applyNumberFormat="1" applyFont="1" applyFill="1" applyBorder="1" applyAlignment="1">
      <alignment horizontal="center" vertical="center"/>
    </xf>
    <xf numFmtId="0" fontId="76" fillId="33" borderId="39" xfId="0" applyFont="1" applyFill="1" applyBorder="1">
      <alignment vertical="center"/>
    </xf>
    <xf numFmtId="0" fontId="48" fillId="0" borderId="59" xfId="79" applyNumberFormat="1" applyFont="1" applyFill="1" applyBorder="1" applyAlignment="1">
      <alignment horizontal="center" vertical="center"/>
    </xf>
    <xf numFmtId="0" fontId="82" fillId="28" borderId="51" xfId="0" applyNumberFormat="1" applyFont="1" applyFill="1" applyBorder="1" applyAlignment="1">
      <alignment horizontal="center" vertical="center" wrapText="1"/>
    </xf>
    <xf numFmtId="0" fontId="82" fillId="28" borderId="51" xfId="0" applyNumberFormat="1" applyFont="1" applyFill="1" applyBorder="1" applyAlignment="1">
      <alignment horizontal="center" vertical="center"/>
    </xf>
    <xf numFmtId="189" fontId="81" fillId="0" borderId="62" xfId="0" applyNumberFormat="1" applyFont="1" applyFill="1" applyBorder="1" applyAlignment="1">
      <alignment horizontal="center" vertical="center"/>
    </xf>
    <xf numFmtId="0" fontId="5" fillId="28" borderId="63" xfId="0" applyNumberFormat="1" applyFont="1" applyFill="1" applyBorder="1" applyAlignment="1">
      <alignment horizontal="center" vertical="center"/>
    </xf>
    <xf numFmtId="0" fontId="82" fillId="28" borderId="62" xfId="0" applyNumberFormat="1" applyFont="1" applyFill="1" applyBorder="1" applyAlignment="1">
      <alignment horizontal="center" vertical="center" shrinkToFit="1"/>
    </xf>
    <xf numFmtId="49" fontId="82" fillId="28" borderId="62" xfId="0" applyNumberFormat="1" applyFont="1" applyFill="1" applyBorder="1" applyAlignment="1">
      <alignment horizontal="center" vertical="center"/>
    </xf>
    <xf numFmtId="0" fontId="82" fillId="28" borderId="62" xfId="0" applyNumberFormat="1" applyFont="1" applyFill="1" applyBorder="1" applyAlignment="1">
      <alignment horizontal="center" vertical="center"/>
    </xf>
    <xf numFmtId="0" fontId="81" fillId="0" borderId="62" xfId="78" applyNumberFormat="1" applyFont="1" applyFill="1" applyBorder="1" applyAlignment="1">
      <alignment horizontal="center" vertical="center"/>
    </xf>
    <xf numFmtId="188" fontId="81" fillId="0" borderId="62" xfId="78" applyNumberFormat="1" applyFont="1" applyFill="1" applyBorder="1" applyAlignment="1">
      <alignment horizontal="center" vertical="center"/>
    </xf>
    <xf numFmtId="188" fontId="81" fillId="0" borderId="62" xfId="0" applyNumberFormat="1" applyFont="1" applyFill="1" applyBorder="1" applyAlignment="1">
      <alignment horizontal="center" vertical="center"/>
    </xf>
    <xf numFmtId="201" fontId="81" fillId="0" borderId="62" xfId="0" applyNumberFormat="1" applyFont="1" applyFill="1" applyBorder="1" applyAlignment="1">
      <alignment horizontal="center" vertical="center"/>
    </xf>
    <xf numFmtId="0" fontId="81" fillId="32" borderId="62" xfId="0" applyNumberFormat="1" applyFont="1" applyFill="1" applyBorder="1" applyAlignment="1">
      <alignment horizontal="center" vertical="center"/>
    </xf>
    <xf numFmtId="0" fontId="81" fillId="29" borderId="62" xfId="0" applyNumberFormat="1" applyFont="1" applyFill="1" applyBorder="1" applyAlignment="1">
      <alignment horizontal="center" vertical="center"/>
    </xf>
    <xf numFmtId="204" fontId="81" fillId="0" borderId="62" xfId="0" applyNumberFormat="1" applyFont="1" applyFill="1" applyBorder="1" applyAlignment="1">
      <alignment horizontal="center" vertical="center"/>
    </xf>
    <xf numFmtId="204" fontId="81" fillId="31" borderId="62" xfId="0" applyNumberFormat="1" applyFont="1" applyFill="1" applyBorder="1" applyAlignment="1">
      <alignment horizontal="center" vertical="center"/>
    </xf>
    <xf numFmtId="189" fontId="81" fillId="36" borderId="62" xfId="0" applyNumberFormat="1" applyFont="1" applyFill="1" applyBorder="1" applyAlignment="1">
      <alignment horizontal="center" vertical="center"/>
    </xf>
    <xf numFmtId="0" fontId="82" fillId="28" borderId="63" xfId="0" applyNumberFormat="1" applyFont="1" applyFill="1" applyBorder="1" applyAlignment="1">
      <alignment horizontal="center" vertical="center" wrapText="1"/>
    </xf>
    <xf numFmtId="0" fontId="82" fillId="28" borderId="70" xfId="0" applyNumberFormat="1" applyFont="1" applyFill="1" applyBorder="1" applyAlignment="1">
      <alignment horizontal="center" vertical="center" wrapText="1"/>
    </xf>
    <xf numFmtId="0" fontId="82" fillId="28" borderId="71" xfId="0" applyNumberFormat="1" applyFont="1" applyFill="1" applyBorder="1" applyAlignment="1">
      <alignment horizontal="center" vertical="center" wrapText="1"/>
    </xf>
    <xf numFmtId="0" fontId="95" fillId="32" borderId="72" xfId="0" applyNumberFormat="1" applyFont="1" applyFill="1" applyBorder="1" applyAlignment="1">
      <alignment horizontal="center" vertical="center" wrapText="1"/>
    </xf>
    <xf numFmtId="0" fontId="95" fillId="0" borderId="62" xfId="0" applyNumberFormat="1" applyFont="1" applyFill="1" applyBorder="1" applyAlignment="1">
      <alignment horizontal="center" vertical="center"/>
    </xf>
    <xf numFmtId="206" fontId="95" fillId="0" borderId="62" xfId="0" applyNumberFormat="1" applyFont="1" applyFill="1" applyBorder="1" applyAlignment="1">
      <alignment horizontal="center" vertical="center"/>
    </xf>
    <xf numFmtId="202" fontId="95" fillId="0" borderId="62" xfId="0" applyNumberFormat="1" applyFont="1" applyFill="1" applyBorder="1" applyAlignment="1">
      <alignment horizontal="center" vertical="center"/>
    </xf>
    <xf numFmtId="0" fontId="82" fillId="28" borderId="74" xfId="0" applyNumberFormat="1" applyFont="1" applyFill="1" applyBorder="1" applyAlignment="1">
      <alignment horizontal="center" vertical="center" wrapText="1"/>
    </xf>
    <xf numFmtId="0" fontId="81" fillId="32" borderId="62" xfId="0" applyNumberFormat="1" applyFont="1" applyFill="1" applyBorder="1" applyAlignment="1">
      <alignment horizontal="center" vertical="center" wrapText="1"/>
    </xf>
    <xf numFmtId="0" fontId="81" fillId="0" borderId="62" xfId="0" applyNumberFormat="1" applyFont="1" applyFill="1" applyBorder="1" applyAlignment="1">
      <alignment horizontal="center" vertical="center" wrapText="1"/>
    </xf>
    <xf numFmtId="0" fontId="81" fillId="0" borderId="62" xfId="0" applyNumberFormat="1" applyFont="1" applyBorder="1" applyAlignment="1">
      <alignment horizontal="center" vertical="center"/>
    </xf>
    <xf numFmtId="202" fontId="81" fillId="0" borderId="62" xfId="0" applyNumberFormat="1" applyFont="1" applyFill="1" applyBorder="1" applyAlignment="1">
      <alignment horizontal="center" vertical="center"/>
    </xf>
    <xf numFmtId="205" fontId="81" fillId="29" borderId="62" xfId="0" applyNumberFormat="1" applyFont="1" applyFill="1" applyBorder="1" applyAlignment="1">
      <alignment horizontal="center" vertical="center"/>
    </xf>
    <xf numFmtId="203" fontId="81" fillId="0" borderId="62" xfId="0" applyNumberFormat="1" applyFont="1" applyFill="1" applyBorder="1" applyAlignment="1">
      <alignment horizontal="center" vertical="center"/>
    </xf>
    <xf numFmtId="193" fontId="81" fillId="0" borderId="62" xfId="0" applyNumberFormat="1" applyFont="1" applyFill="1" applyBorder="1" applyAlignment="1">
      <alignment horizontal="center" vertical="center"/>
    </xf>
    <xf numFmtId="2" fontId="81" fillId="0" borderId="62" xfId="0" applyNumberFormat="1" applyFont="1" applyFill="1" applyBorder="1" applyAlignment="1">
      <alignment horizontal="center" vertical="center"/>
    </xf>
    <xf numFmtId="205" fontId="81" fillId="0" borderId="62" xfId="0" applyNumberFormat="1" applyFont="1" applyFill="1" applyBorder="1" applyAlignment="1">
      <alignment horizontal="center" vertical="center"/>
    </xf>
    <xf numFmtId="2" fontId="81" fillId="32" borderId="62" xfId="0" applyNumberFormat="1" applyFont="1" applyFill="1" applyBorder="1" applyAlignment="1">
      <alignment horizontal="center" vertical="center"/>
    </xf>
    <xf numFmtId="0" fontId="81" fillId="0" borderId="62" xfId="0" applyNumberFormat="1" applyFont="1" applyFill="1" applyBorder="1" applyAlignment="1">
      <alignment horizontal="left" vertical="center"/>
    </xf>
    <xf numFmtId="49" fontId="81" fillId="0" borderId="62" xfId="0" applyNumberFormat="1" applyFont="1" applyFill="1" applyBorder="1" applyAlignment="1">
      <alignment horizontal="left" vertical="center"/>
    </xf>
    <xf numFmtId="0" fontId="52" fillId="0" borderId="48" xfId="0" applyNumberFormat="1" applyFont="1" applyBorder="1" applyAlignment="1">
      <alignment horizontal="center" vertical="center"/>
    </xf>
    <xf numFmtId="0" fontId="52" fillId="0" borderId="48" xfId="0" applyNumberFormat="1" applyFont="1" applyBorder="1" applyAlignment="1">
      <alignment horizontal="center" vertical="center" shrinkToFit="1"/>
    </xf>
    <xf numFmtId="41" fontId="52" fillId="0" borderId="48" xfId="87" applyFont="1" applyBorder="1" applyAlignment="1">
      <alignment horizontal="center" vertical="center"/>
    </xf>
    <xf numFmtId="0" fontId="52" fillId="0" borderId="48" xfId="87" applyNumberFormat="1" applyFont="1" applyBorder="1" applyAlignment="1">
      <alignment horizontal="center" vertical="center"/>
    </xf>
    <xf numFmtId="41" fontId="52" fillId="0" borderId="48" xfId="0" applyNumberFormat="1" applyFont="1" applyBorder="1" applyAlignment="1">
      <alignment horizontal="center" vertical="center"/>
    </xf>
    <xf numFmtId="217" fontId="52" fillId="0" borderId="48" xfId="87" applyNumberFormat="1" applyFont="1" applyBorder="1" applyAlignment="1">
      <alignment horizontal="center" vertical="center"/>
    </xf>
    <xf numFmtId="41" fontId="52" fillId="0" borderId="48" xfId="87" applyNumberFormat="1" applyFont="1" applyBorder="1" applyAlignment="1">
      <alignment horizontal="center" vertical="center"/>
    </xf>
    <xf numFmtId="0" fontId="48" fillId="0" borderId="59" xfId="79" applyNumberFormat="1" applyFont="1" applyFill="1" applyBorder="1" applyAlignment="1">
      <alignment horizontal="center" vertical="center"/>
    </xf>
    <xf numFmtId="0" fontId="48" fillId="0" borderId="60" xfId="79" applyNumberFormat="1" applyFont="1" applyFill="1" applyBorder="1" applyAlignment="1">
      <alignment horizontal="center" vertical="center"/>
    </xf>
    <xf numFmtId="0" fontId="48" fillId="0" borderId="76" xfId="79" applyNumberFormat="1" applyFont="1" applyFill="1" applyBorder="1" applyAlignment="1">
      <alignment vertical="center"/>
    </xf>
    <xf numFmtId="0" fontId="48" fillId="0" borderId="59" xfId="79" applyNumberFormat="1" applyFont="1" applyFill="1" applyBorder="1" applyAlignment="1">
      <alignment horizontal="center" vertical="center"/>
    </xf>
    <xf numFmtId="0" fontId="67" fillId="0" borderId="0" xfId="0" applyFont="1" applyBorder="1" applyAlignment="1">
      <alignment horizontal="center" vertical="center"/>
    </xf>
    <xf numFmtId="208" fontId="67" fillId="0" borderId="0" xfId="0" applyNumberFormat="1" applyFont="1" applyBorder="1" applyAlignment="1">
      <alignment horizontal="center" vertical="center"/>
    </xf>
    <xf numFmtId="0" fontId="67" fillId="0" borderId="0" xfId="0" applyFont="1" applyBorder="1" applyAlignment="1">
      <alignment vertical="center"/>
    </xf>
    <xf numFmtId="0" fontId="67" fillId="0" borderId="0" xfId="0" applyFont="1" applyBorder="1" applyAlignment="1">
      <alignment horizontal="left" vertical="center"/>
    </xf>
    <xf numFmtId="0" fontId="67" fillId="0" borderId="0" xfId="0" applyNumberFormat="1" applyFont="1" applyBorder="1" applyAlignment="1">
      <alignment vertical="center" shrinkToFit="1"/>
    </xf>
    <xf numFmtId="0" fontId="65" fillId="0" borderId="0" xfId="0" applyFont="1" applyBorder="1" applyAlignment="1">
      <alignment horizontal="center" vertical="center"/>
    </xf>
    <xf numFmtId="2" fontId="67" fillId="0" borderId="0" xfId="0" applyNumberFormat="1" applyFont="1" applyBorder="1" applyAlignment="1">
      <alignment vertical="center"/>
    </xf>
    <xf numFmtId="192" fontId="67" fillId="0" borderId="0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horizontal="center" vertical="center"/>
    </xf>
    <xf numFmtId="0" fontId="65" fillId="0" borderId="0" xfId="0" applyFont="1" applyBorder="1" applyAlignment="1">
      <alignment horizontal="right" vertical="center"/>
    </xf>
    <xf numFmtId="0" fontId="52" fillId="0" borderId="0" xfId="0" applyFont="1" applyBorder="1" applyAlignment="1">
      <alignment horizontal="center" vertical="center"/>
    </xf>
    <xf numFmtId="0" fontId="67" fillId="0" borderId="0" xfId="0" applyFont="1" applyBorder="1" applyAlignment="1">
      <alignment horizontal="left" vertical="center" shrinkToFit="1"/>
    </xf>
    <xf numFmtId="204" fontId="81" fillId="29" borderId="62" xfId="0" applyNumberFormat="1" applyFont="1" applyFill="1" applyBorder="1" applyAlignment="1">
      <alignment horizontal="center" vertical="center"/>
    </xf>
    <xf numFmtId="0" fontId="52" fillId="0" borderId="0" xfId="0" applyNumberFormat="1" applyFont="1" applyBorder="1" applyAlignment="1">
      <alignment vertical="center"/>
    </xf>
    <xf numFmtId="208" fontId="52" fillId="0" borderId="0" xfId="0" applyNumberFormat="1" applyFont="1" applyBorder="1" applyAlignment="1">
      <alignment vertical="center"/>
    </xf>
    <xf numFmtId="0" fontId="69" fillId="0" borderId="0" xfId="0" applyNumberFormat="1" applyFont="1" applyBorder="1" applyAlignment="1">
      <alignment horizontal="right" vertical="center"/>
    </xf>
    <xf numFmtId="2" fontId="52" fillId="0" borderId="0" xfId="0" applyNumberFormat="1" applyFont="1" applyBorder="1" applyAlignment="1">
      <alignment horizontal="center" vertical="center"/>
    </xf>
    <xf numFmtId="196" fontId="52" fillId="0" borderId="0" xfId="0" applyNumberFormat="1" applyFont="1" applyBorder="1" applyAlignment="1">
      <alignment vertical="center"/>
    </xf>
    <xf numFmtId="213" fontId="52" fillId="0" borderId="0" xfId="0" applyNumberFormat="1" applyFont="1" applyBorder="1" applyAlignment="1">
      <alignment vertical="center"/>
    </xf>
    <xf numFmtId="189" fontId="52" fillId="0" borderId="0" xfId="0" applyNumberFormat="1" applyFont="1" applyBorder="1" applyAlignment="1">
      <alignment vertical="center"/>
    </xf>
    <xf numFmtId="0" fontId="52" fillId="0" borderId="0" xfId="0" quotePrefix="1" applyNumberFormat="1" applyFont="1" applyBorder="1" applyAlignment="1">
      <alignment horizontal="center" vertical="center"/>
    </xf>
    <xf numFmtId="213" fontId="67" fillId="0" borderId="43" xfId="0" applyNumberFormat="1" applyFont="1" applyBorder="1" applyAlignment="1">
      <alignment vertical="center"/>
    </xf>
    <xf numFmtId="218" fontId="67" fillId="0" borderId="0" xfId="0" applyNumberFormat="1" applyFont="1" applyBorder="1" applyAlignment="1">
      <alignment vertical="center"/>
    </xf>
    <xf numFmtId="195" fontId="67" fillId="0" borderId="76" xfId="0" applyNumberFormat="1" applyFont="1" applyBorder="1" applyAlignment="1">
      <alignment vertical="center"/>
    </xf>
    <xf numFmtId="0" fontId="67" fillId="0" borderId="0" xfId="0" applyFont="1" applyBorder="1" applyAlignment="1">
      <alignment vertical="center" wrapText="1"/>
    </xf>
    <xf numFmtId="212" fontId="67" fillId="0" borderId="0" xfId="0" applyNumberFormat="1" applyFont="1" applyBorder="1" applyAlignment="1">
      <alignment vertical="center" shrinkToFit="1"/>
    </xf>
    <xf numFmtId="0" fontId="48" fillId="0" borderId="76" xfId="79" applyNumberFormat="1" applyFont="1" applyFill="1" applyBorder="1" applyAlignment="1">
      <alignment horizontal="left" vertical="center"/>
    </xf>
    <xf numFmtId="0" fontId="48" fillId="0" borderId="43" xfId="79" applyNumberFormat="1" applyFont="1" applyFill="1" applyBorder="1" applyAlignment="1">
      <alignment horizontal="center" vertical="center"/>
    </xf>
    <xf numFmtId="0" fontId="102" fillId="28" borderId="62" xfId="0" applyNumberFormat="1" applyFont="1" applyFill="1" applyBorder="1" applyAlignment="1">
      <alignment horizontal="center" vertical="center"/>
    </xf>
    <xf numFmtId="0" fontId="104" fillId="0" borderId="62" xfId="0" applyNumberFormat="1" applyFont="1" applyFill="1" applyBorder="1" applyAlignment="1">
      <alignment horizontal="center" vertical="center"/>
    </xf>
    <xf numFmtId="0" fontId="48" fillId="0" borderId="59" xfId="79" applyNumberFormat="1" applyFont="1" applyFill="1" applyBorder="1" applyAlignment="1">
      <alignment horizontal="center" vertical="center"/>
    </xf>
    <xf numFmtId="0" fontId="48" fillId="0" borderId="13" xfId="79" applyNumberFormat="1" applyFont="1" applyFill="1" applyBorder="1" applyAlignment="1">
      <alignment horizontal="center" vertical="center"/>
    </xf>
    <xf numFmtId="0" fontId="48" fillId="0" borderId="0" xfId="79" applyNumberFormat="1" applyFont="1" applyFill="1" applyAlignment="1">
      <alignment horizontal="right" vertical="center" indent="2"/>
    </xf>
    <xf numFmtId="0" fontId="67" fillId="0" borderId="0" xfId="0" applyFont="1" applyBorder="1" applyAlignment="1">
      <alignment horizontal="center" vertical="center"/>
    </xf>
    <xf numFmtId="0" fontId="67" fillId="0" borderId="0" xfId="0" applyFont="1" applyBorder="1" applyAlignment="1">
      <alignment vertical="center"/>
    </xf>
    <xf numFmtId="0" fontId="67" fillId="0" borderId="0" xfId="0" applyNumberFormat="1" applyFont="1" applyBorder="1" applyAlignment="1">
      <alignment vertical="center"/>
    </xf>
    <xf numFmtId="192" fontId="67" fillId="0" borderId="0" xfId="0" applyNumberFormat="1" applyFont="1" applyBorder="1" applyAlignment="1">
      <alignment vertical="center"/>
    </xf>
    <xf numFmtId="0" fontId="67" fillId="0" borderId="76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horizontal="center" vertical="center"/>
    </xf>
    <xf numFmtId="0" fontId="67" fillId="0" borderId="0" xfId="0" applyFont="1" applyBorder="1" applyAlignment="1">
      <alignment horizontal="center" vertical="center"/>
    </xf>
    <xf numFmtId="0" fontId="67" fillId="0" borderId="76" xfId="0" applyNumberFormat="1" applyFont="1" applyBorder="1" applyAlignment="1">
      <alignment horizontal="center" vertical="center"/>
    </xf>
    <xf numFmtId="203" fontId="69" fillId="0" borderId="0" xfId="0" applyNumberFormat="1" applyFont="1" applyBorder="1" applyAlignment="1">
      <alignment vertical="center"/>
    </xf>
    <xf numFmtId="0" fontId="82" fillId="28" borderId="62" xfId="0" applyNumberFormat="1" applyFont="1" applyFill="1" applyBorder="1" applyAlignment="1">
      <alignment horizontal="center" vertical="center"/>
    </xf>
    <xf numFmtId="190" fontId="82" fillId="28" borderId="62" xfId="0" applyNumberFormat="1" applyFont="1" applyFill="1" applyBorder="1" applyAlignment="1">
      <alignment horizontal="center" vertical="center"/>
    </xf>
    <xf numFmtId="0" fontId="82" fillId="28" borderId="62" xfId="0" applyNumberFormat="1" applyFont="1" applyFill="1" applyBorder="1" applyAlignment="1">
      <alignment horizontal="center" vertical="center" wrapText="1"/>
    </xf>
    <xf numFmtId="0" fontId="82" fillId="28" borderId="62" xfId="0" applyNumberFormat="1" applyFont="1" applyFill="1" applyBorder="1" applyAlignment="1">
      <alignment horizontal="center" vertical="center" wrapText="1"/>
    </xf>
    <xf numFmtId="0" fontId="82" fillId="28" borderId="62" xfId="0" quotePrefix="1" applyNumberFormat="1" applyFont="1" applyFill="1" applyBorder="1" applyAlignment="1">
      <alignment horizontal="center" vertical="center" wrapText="1"/>
    </xf>
    <xf numFmtId="0" fontId="82" fillId="28" borderId="62" xfId="0" applyNumberFormat="1" applyFont="1" applyFill="1" applyBorder="1" applyAlignment="1">
      <alignment horizontal="center" vertical="center" wrapText="1"/>
    </xf>
    <xf numFmtId="190" fontId="82" fillId="28" borderId="63" xfId="0" applyNumberFormat="1" applyFont="1" applyFill="1" applyBorder="1" applyAlignment="1">
      <alignment horizontal="center" vertical="center" wrapText="1"/>
    </xf>
    <xf numFmtId="0" fontId="67" fillId="0" borderId="0" xfId="0" applyFont="1" applyBorder="1" applyAlignment="1">
      <alignment horizontal="center" vertical="center"/>
    </xf>
    <xf numFmtId="0" fontId="82" fillId="28" borderId="62" xfId="0" applyNumberFormat="1" applyFont="1" applyFill="1" applyBorder="1" applyAlignment="1">
      <alignment horizontal="center" vertical="center" wrapText="1"/>
    </xf>
    <xf numFmtId="0" fontId="81" fillId="31" borderId="62" xfId="0" applyNumberFormat="1" applyFont="1" applyFill="1" applyBorder="1" applyAlignment="1">
      <alignment horizontal="center" vertical="center"/>
    </xf>
    <xf numFmtId="196" fontId="81" fillId="0" borderId="62" xfId="0" applyNumberFormat="1" applyFont="1" applyFill="1" applyBorder="1" applyAlignment="1">
      <alignment horizontal="center" vertical="center"/>
    </xf>
    <xf numFmtId="2" fontId="81" fillId="32" borderId="62" xfId="86" applyNumberFormat="1" applyFont="1" applyFill="1" applyBorder="1" applyAlignment="1">
      <alignment horizontal="center" vertical="center" wrapText="1"/>
    </xf>
    <xf numFmtId="196" fontId="81" fillId="31" borderId="62" xfId="0" applyNumberFormat="1" applyFont="1" applyFill="1" applyBorder="1" applyAlignment="1">
      <alignment horizontal="center" vertical="center"/>
    </xf>
    <xf numFmtId="196" fontId="81" fillId="37" borderId="62" xfId="0" applyNumberFormat="1" applyFont="1" applyFill="1" applyBorder="1" applyAlignment="1">
      <alignment horizontal="center" vertical="center"/>
    </xf>
    <xf numFmtId="190" fontId="82" fillId="28" borderId="62" xfId="0" applyNumberFormat="1" applyFont="1" applyFill="1" applyBorder="1" applyAlignment="1">
      <alignment horizontal="center" vertical="center" wrapText="1"/>
    </xf>
    <xf numFmtId="0" fontId="50" fillId="0" borderId="76" xfId="80" applyNumberFormat="1" applyFont="1" applyFill="1" applyBorder="1" applyAlignment="1">
      <alignment horizontal="right" vertical="center"/>
    </xf>
    <xf numFmtId="0" fontId="48" fillId="0" borderId="76" xfId="79" applyNumberFormat="1" applyFont="1" applyFill="1" applyBorder="1" applyAlignment="1">
      <alignment horizontal="right" vertical="center"/>
    </xf>
    <xf numFmtId="0" fontId="48" fillId="0" borderId="76" xfId="79" applyNumberFormat="1" applyFont="1" applyFill="1" applyBorder="1" applyAlignment="1">
      <alignment horizontal="center" vertical="center"/>
    </xf>
    <xf numFmtId="49" fontId="60" fillId="0" borderId="0" xfId="79" applyNumberFormat="1" applyFont="1" applyFill="1" applyBorder="1" applyAlignment="1">
      <alignment vertical="center"/>
    </xf>
    <xf numFmtId="49" fontId="60" fillId="0" borderId="0" xfId="79" applyNumberFormat="1" applyFont="1" applyFill="1" applyBorder="1" applyAlignment="1">
      <alignment horizontal="center" vertical="center"/>
    </xf>
    <xf numFmtId="0" fontId="48" fillId="0" borderId="0" xfId="79" applyNumberFormat="1" applyFont="1" applyFill="1" applyAlignment="1">
      <alignment horizontal="left" vertical="center" indent="2"/>
    </xf>
    <xf numFmtId="220" fontId="106" fillId="38" borderId="76" xfId="103" applyNumberFormat="1" applyFont="1" applyFill="1" applyBorder="1" applyAlignment="1">
      <alignment horizontal="center" vertical="center" wrapText="1"/>
    </xf>
    <xf numFmtId="49" fontId="60" fillId="38" borderId="76" xfId="79" applyNumberFormat="1" applyFont="1" applyFill="1" applyBorder="1" applyAlignment="1">
      <alignment horizontal="center" vertical="center" wrapText="1"/>
    </xf>
    <xf numFmtId="0" fontId="82" fillId="28" borderId="62" xfId="0" applyNumberFormat="1" applyFont="1" applyFill="1" applyBorder="1" applyAlignment="1">
      <alignment horizontal="center" vertical="center" wrapText="1"/>
    </xf>
    <xf numFmtId="189" fontId="81" fillId="0" borderId="62" xfId="0" applyNumberFormat="1" applyFont="1" applyFill="1" applyBorder="1" applyAlignment="1">
      <alignment horizontal="center" vertical="center"/>
    </xf>
    <xf numFmtId="0" fontId="82" fillId="28" borderId="62" xfId="0" applyNumberFormat="1" applyFont="1" applyFill="1" applyBorder="1" applyAlignment="1">
      <alignment horizontal="center" vertical="center" wrapText="1"/>
    </xf>
    <xf numFmtId="0" fontId="82" fillId="28" borderId="62" xfId="0" applyNumberFormat="1" applyFont="1" applyFill="1" applyBorder="1" applyAlignment="1">
      <alignment horizontal="center" vertical="center"/>
    </xf>
    <xf numFmtId="0" fontId="81" fillId="39" borderId="62" xfId="0" applyNumberFormat="1" applyFont="1" applyFill="1" applyBorder="1" applyAlignment="1">
      <alignment horizontal="center" vertical="center"/>
    </xf>
    <xf numFmtId="0" fontId="108" fillId="28" borderId="62" xfId="0" applyNumberFormat="1" applyFont="1" applyFill="1" applyBorder="1" applyAlignment="1">
      <alignment horizontal="center" vertical="center"/>
    </xf>
    <xf numFmtId="196" fontId="81" fillId="29" borderId="62" xfId="0" applyNumberFormat="1" applyFont="1" applyFill="1" applyBorder="1" applyAlignment="1">
      <alignment horizontal="center" vertical="center"/>
    </xf>
    <xf numFmtId="221" fontId="81" fillId="31" borderId="62" xfId="0" applyNumberFormat="1" applyFont="1" applyFill="1" applyBorder="1" applyAlignment="1">
      <alignment horizontal="center" vertical="center"/>
    </xf>
    <xf numFmtId="0" fontId="67" fillId="0" borderId="0" xfId="0" applyFont="1" applyBorder="1">
      <alignment vertical="center"/>
    </xf>
    <xf numFmtId="0" fontId="81" fillId="37" borderId="62" xfId="0" applyNumberFormat="1" applyFont="1" applyFill="1" applyBorder="1" applyAlignment="1">
      <alignment horizontal="center" vertical="center"/>
    </xf>
    <xf numFmtId="0" fontId="82" fillId="28" borderId="62" xfId="0" applyNumberFormat="1" applyFont="1" applyFill="1" applyBorder="1" applyAlignment="1">
      <alignment horizontal="center" vertical="center" wrapText="1"/>
    </xf>
    <xf numFmtId="206" fontId="81" fillId="0" borderId="62" xfId="0" applyNumberFormat="1" applyFont="1" applyFill="1" applyBorder="1" applyAlignment="1">
      <alignment horizontal="center" vertical="center"/>
    </xf>
    <xf numFmtId="2" fontId="81" fillId="29" borderId="62" xfId="0" applyNumberFormat="1" applyFont="1" applyFill="1" applyBorder="1" applyAlignment="1">
      <alignment horizontal="center" vertical="center"/>
    </xf>
    <xf numFmtId="0" fontId="81" fillId="0" borderId="73" xfId="0" applyNumberFormat="1" applyFont="1" applyFill="1" applyBorder="1" applyAlignment="1">
      <alignment horizontal="center" vertical="center"/>
    </xf>
    <xf numFmtId="197" fontId="81" fillId="0" borderId="62" xfId="0" applyNumberFormat="1" applyFont="1" applyFill="1" applyBorder="1" applyAlignment="1">
      <alignment horizontal="center" vertical="center"/>
    </xf>
    <xf numFmtId="0" fontId="95" fillId="0" borderId="62" xfId="0" applyNumberFormat="1" applyFont="1" applyFill="1" applyBorder="1" applyAlignment="1">
      <alignment horizontal="right" vertical="center" wrapText="1"/>
    </xf>
    <xf numFmtId="0" fontId="95" fillId="0" borderId="62" xfId="0" applyNumberFormat="1" applyFont="1" applyFill="1" applyBorder="1" applyAlignment="1">
      <alignment horizontal="right" vertical="center"/>
    </xf>
    <xf numFmtId="0" fontId="95" fillId="0" borderId="62" xfId="0" applyNumberFormat="1" applyFont="1" applyBorder="1" applyAlignment="1">
      <alignment horizontal="right" vertical="center"/>
    </xf>
    <xf numFmtId="2" fontId="95" fillId="29" borderId="62" xfId="0" applyNumberFormat="1" applyFont="1" applyFill="1" applyBorder="1" applyAlignment="1">
      <alignment horizontal="right" vertical="center"/>
    </xf>
    <xf numFmtId="193" fontId="95" fillId="0" borderId="62" xfId="0" applyNumberFormat="1" applyFont="1" applyFill="1" applyBorder="1" applyAlignment="1">
      <alignment horizontal="right" vertical="center"/>
    </xf>
    <xf numFmtId="203" fontId="95" fillId="0" borderId="62" xfId="0" applyNumberFormat="1" applyFont="1" applyFill="1" applyBorder="1" applyAlignment="1">
      <alignment horizontal="right" vertical="center"/>
    </xf>
    <xf numFmtId="0" fontId="95" fillId="29" borderId="62" xfId="0" applyNumberFormat="1" applyFont="1" applyFill="1" applyBorder="1" applyAlignment="1">
      <alignment horizontal="right" vertical="center"/>
    </xf>
    <xf numFmtId="2" fontId="95" fillId="0" borderId="62" xfId="0" applyNumberFormat="1" applyFont="1" applyFill="1" applyBorder="1" applyAlignment="1">
      <alignment horizontal="right" vertical="center"/>
    </xf>
    <xf numFmtId="0" fontId="95" fillId="0" borderId="73" xfId="0" applyNumberFormat="1" applyFont="1" applyFill="1" applyBorder="1" applyAlignment="1">
      <alignment horizontal="right" vertical="center"/>
    </xf>
    <xf numFmtId="0" fontId="82" fillId="28" borderId="62" xfId="0" applyNumberFormat="1" applyFont="1" applyFill="1" applyBorder="1" applyAlignment="1">
      <alignment horizontal="center" vertical="center" wrapText="1"/>
    </xf>
    <xf numFmtId="0" fontId="63" fillId="0" borderId="35" xfId="0" applyFont="1" applyFill="1" applyBorder="1" applyAlignment="1">
      <alignment horizontal="center" vertical="center"/>
    </xf>
    <xf numFmtId="0" fontId="63" fillId="0" borderId="26" xfId="0" applyFont="1" applyFill="1" applyBorder="1" applyAlignment="1">
      <alignment horizontal="center" vertical="center"/>
    </xf>
    <xf numFmtId="0" fontId="63" fillId="0" borderId="27" xfId="0" applyFont="1" applyFill="1" applyBorder="1" applyAlignment="1">
      <alignment horizontal="center" vertical="center" wrapText="1"/>
    </xf>
    <xf numFmtId="0" fontId="63" fillId="0" borderId="17" xfId="0" applyFont="1" applyFill="1" applyBorder="1" applyAlignment="1">
      <alignment horizontal="center" vertical="center" wrapText="1"/>
    </xf>
    <xf numFmtId="0" fontId="63" fillId="0" borderId="13" xfId="0" applyFont="1" applyFill="1" applyBorder="1" applyAlignment="1">
      <alignment horizontal="center" vertical="center" wrapText="1"/>
    </xf>
    <xf numFmtId="0" fontId="63" fillId="0" borderId="28" xfId="0" applyFont="1" applyFill="1" applyBorder="1" applyAlignment="1" applyProtection="1">
      <alignment horizontal="left" vertical="center" wrapText="1"/>
      <protection locked="0"/>
    </xf>
    <xf numFmtId="0" fontId="63" fillId="0" borderId="29" xfId="0" applyFont="1" applyFill="1" applyBorder="1" applyAlignment="1" applyProtection="1">
      <alignment horizontal="left" vertical="center" wrapText="1"/>
      <protection locked="0"/>
    </xf>
    <xf numFmtId="0" fontId="63" fillId="0" borderId="30" xfId="0" applyFont="1" applyFill="1" applyBorder="1" applyAlignment="1" applyProtection="1">
      <alignment horizontal="left" vertical="center" wrapText="1"/>
      <protection locked="0"/>
    </xf>
    <xf numFmtId="0" fontId="63" fillId="0" borderId="31" xfId="0" applyFont="1" applyFill="1" applyBorder="1" applyAlignment="1" applyProtection="1">
      <alignment horizontal="left" vertical="center" wrapText="1"/>
      <protection locked="0"/>
    </xf>
    <xf numFmtId="0" fontId="63" fillId="0" borderId="0" xfId="0" applyFont="1" applyFill="1" applyBorder="1" applyAlignment="1" applyProtection="1">
      <alignment horizontal="left" vertical="center" wrapText="1"/>
      <protection locked="0"/>
    </xf>
    <xf numFmtId="0" fontId="63" fillId="0" borderId="32" xfId="0" applyFont="1" applyFill="1" applyBorder="1" applyAlignment="1" applyProtection="1">
      <alignment horizontal="left" vertical="center" wrapText="1"/>
      <protection locked="0"/>
    </xf>
    <xf numFmtId="0" fontId="63" fillId="0" borderId="18" xfId="0" applyFont="1" applyFill="1" applyBorder="1" applyAlignment="1" applyProtection="1">
      <alignment horizontal="left" vertical="center" wrapText="1"/>
      <protection locked="0"/>
    </xf>
    <xf numFmtId="0" fontId="63" fillId="0" borderId="19" xfId="0" applyFont="1" applyFill="1" applyBorder="1" applyAlignment="1" applyProtection="1">
      <alignment horizontal="left" vertical="center" wrapText="1"/>
      <protection locked="0"/>
    </xf>
    <xf numFmtId="0" fontId="63" fillId="0" borderId="20" xfId="0" applyFont="1" applyFill="1" applyBorder="1" applyAlignment="1" applyProtection="1">
      <alignment horizontal="left" vertical="center" wrapText="1"/>
      <protection locked="0"/>
    </xf>
    <xf numFmtId="0" fontId="63" fillId="30" borderId="34" xfId="0" applyFont="1" applyFill="1" applyBorder="1" applyAlignment="1" applyProtection="1">
      <alignment horizontal="center" vertical="center"/>
      <protection locked="0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8" fillId="17" borderId="1" xfId="0" applyFont="1" applyFill="1" applyBorder="1" applyAlignment="1" applyProtection="1">
      <alignment horizontal="center" vertical="center" shrinkToFit="1"/>
      <protection locked="0"/>
    </xf>
    <xf numFmtId="0" fontId="8" fillId="29" borderId="11" xfId="0" applyFont="1" applyFill="1" applyBorder="1" applyAlignment="1" applyProtection="1">
      <alignment horizontal="left" vertical="center" wrapText="1"/>
    </xf>
    <xf numFmtId="0" fontId="8" fillId="29" borderId="14" xfId="0" applyFont="1" applyFill="1" applyBorder="1" applyAlignment="1" applyProtection="1">
      <alignment horizontal="left" vertical="center" wrapText="1"/>
    </xf>
    <xf numFmtId="0" fontId="8" fillId="29" borderId="16" xfId="0" applyFont="1" applyFill="1" applyBorder="1" applyAlignment="1" applyProtection="1">
      <alignment horizontal="left" vertical="center" wrapText="1"/>
    </xf>
    <xf numFmtId="0" fontId="11" fillId="0" borderId="0" xfId="0" applyFont="1" applyFill="1" applyBorder="1" applyAlignment="1" applyProtection="1">
      <alignment horizontal="left" vertical="center" shrinkToFit="1"/>
    </xf>
    <xf numFmtId="0" fontId="41" fillId="0" borderId="1" xfId="0" applyFont="1" applyFill="1" applyBorder="1" applyAlignment="1" applyProtection="1">
      <alignment horizontal="center" vertical="center" shrinkToFit="1"/>
    </xf>
    <xf numFmtId="0" fontId="8" fillId="0" borderId="1" xfId="0" applyFont="1" applyFill="1" applyBorder="1" applyAlignment="1" applyProtection="1">
      <alignment horizontal="center" vertical="center" shrinkToFit="1"/>
    </xf>
    <xf numFmtId="0" fontId="8" fillId="29" borderId="1" xfId="0" applyFont="1" applyFill="1" applyBorder="1" applyAlignment="1" applyProtection="1">
      <alignment horizontal="center" vertical="center" shrinkToFit="1"/>
      <protection locked="0"/>
    </xf>
    <xf numFmtId="0" fontId="8" fillId="29" borderId="1" xfId="0" applyFont="1" applyFill="1" applyBorder="1" applyAlignment="1" applyProtection="1">
      <alignment vertical="center" shrinkToFit="1"/>
      <protection locked="0"/>
    </xf>
    <xf numFmtId="0" fontId="8" fillId="0" borderId="21" xfId="0" applyNumberFormat="1" applyFont="1" applyFill="1" applyBorder="1" applyAlignment="1" applyProtection="1">
      <alignment horizontal="center" vertical="center" shrinkToFit="1"/>
    </xf>
    <xf numFmtId="0" fontId="8" fillId="0" borderId="18" xfId="0" applyNumberFormat="1" applyFont="1" applyFill="1" applyBorder="1" applyAlignment="1" applyProtection="1">
      <alignment horizontal="center" vertical="center" shrinkToFit="1"/>
    </xf>
    <xf numFmtId="0" fontId="41" fillId="29" borderId="22" xfId="0" applyFont="1" applyFill="1" applyBorder="1" applyAlignment="1" applyProtection="1">
      <alignment horizontal="left" vertical="center" wrapText="1"/>
    </xf>
    <xf numFmtId="0" fontId="41" fillId="29" borderId="16" xfId="0" applyFont="1" applyFill="1" applyBorder="1" applyAlignment="1" applyProtection="1">
      <alignment horizontal="left" vertical="center"/>
    </xf>
    <xf numFmtId="0" fontId="41" fillId="0" borderId="12" xfId="0" applyFont="1" applyFill="1" applyBorder="1" applyAlignment="1" applyProtection="1">
      <alignment horizontal="center" vertical="center"/>
    </xf>
    <xf numFmtId="0" fontId="41" fillId="0" borderId="13" xfId="0" applyFont="1" applyFill="1" applyBorder="1" applyAlignment="1" applyProtection="1">
      <alignment horizontal="center" vertical="center"/>
    </xf>
    <xf numFmtId="0" fontId="41" fillId="0" borderId="23" xfId="0" applyFont="1" applyFill="1" applyBorder="1" applyAlignment="1" applyProtection="1">
      <alignment horizontal="left" vertical="center" wrapText="1"/>
    </xf>
    <xf numFmtId="0" fontId="41" fillId="0" borderId="15" xfId="0" applyFont="1" applyFill="1" applyBorder="1" applyAlignment="1" applyProtection="1">
      <alignment horizontal="left" vertical="center"/>
    </xf>
    <xf numFmtId="0" fontId="41" fillId="0" borderId="24" xfId="0" applyFont="1" applyFill="1" applyBorder="1" applyAlignment="1" applyProtection="1">
      <alignment horizontal="left" vertical="center"/>
    </xf>
    <xf numFmtId="0" fontId="41" fillId="0" borderId="20" xfId="0" applyFont="1" applyFill="1" applyBorder="1" applyAlignment="1" applyProtection="1">
      <alignment horizontal="left" vertical="center"/>
    </xf>
    <xf numFmtId="0" fontId="8" fillId="0" borderId="1" xfId="0" applyFont="1" applyFill="1" applyBorder="1" applyAlignment="1" applyProtection="1">
      <alignment vertical="center" shrinkToFit="1"/>
    </xf>
    <xf numFmtId="49" fontId="8" fillId="0" borderId="1" xfId="0" applyNumberFormat="1" applyFont="1" applyFill="1" applyBorder="1" applyAlignment="1" applyProtection="1">
      <alignment horizontal="center" vertical="center" shrinkToFit="1"/>
    </xf>
    <xf numFmtId="49" fontId="8" fillId="0" borderId="1" xfId="0" applyNumberFormat="1" applyFont="1" applyFill="1" applyBorder="1" applyAlignment="1" applyProtection="1">
      <alignment vertical="center" shrinkToFit="1"/>
    </xf>
    <xf numFmtId="184" fontId="8" fillId="0" borderId="1" xfId="0" applyNumberFormat="1" applyFont="1" applyFill="1" applyBorder="1" applyAlignment="1" applyProtection="1">
      <alignment horizontal="center" vertical="center" shrinkToFit="1"/>
    </xf>
    <xf numFmtId="0" fontId="45" fillId="0" borderId="1" xfId="0" applyFont="1" applyFill="1" applyBorder="1" applyAlignment="1" applyProtection="1">
      <alignment horizontal="center" vertical="center" shrinkToFit="1"/>
    </xf>
    <xf numFmtId="0" fontId="38" fillId="0" borderId="11" xfId="0" applyFont="1" applyFill="1" applyBorder="1" applyAlignment="1" applyProtection="1">
      <alignment horizontal="center" vertical="center"/>
    </xf>
    <xf numFmtId="0" fontId="38" fillId="0" borderId="14" xfId="0" applyFont="1" applyFill="1" applyBorder="1" applyAlignment="1" applyProtection="1">
      <alignment horizontal="center" vertical="center"/>
    </xf>
    <xf numFmtId="0" fontId="9" fillId="0" borderId="14" xfId="0" applyFont="1" applyFill="1" applyBorder="1" applyAlignment="1" applyProtection="1">
      <alignment vertical="center"/>
    </xf>
    <xf numFmtId="0" fontId="0" fillId="0" borderId="14" xfId="0" applyFill="1" applyBorder="1" applyAlignment="1" applyProtection="1">
      <alignment vertical="center"/>
    </xf>
    <xf numFmtId="0" fontId="0" fillId="0" borderId="16" xfId="0" applyFill="1" applyBorder="1" applyAlignment="1" applyProtection="1">
      <alignment vertical="center"/>
    </xf>
    <xf numFmtId="0" fontId="11" fillId="0" borderId="1" xfId="0" applyFont="1" applyFill="1" applyBorder="1" applyAlignment="1" applyProtection="1">
      <alignment horizontal="center" vertical="center" shrinkToFit="1"/>
    </xf>
    <xf numFmtId="0" fontId="4" fillId="0" borderId="1" xfId="0" applyFont="1" applyFill="1" applyBorder="1" applyAlignment="1" applyProtection="1">
      <alignment horizontal="center" vertical="center" shrinkToFit="1"/>
    </xf>
    <xf numFmtId="0" fontId="47" fillId="0" borderId="0" xfId="79" applyNumberFormat="1" applyFont="1" applyAlignment="1">
      <alignment horizontal="center" wrapText="1"/>
    </xf>
    <xf numFmtId="49" fontId="75" fillId="0" borderId="0" xfId="82" applyNumberFormat="1" applyFont="1" applyFill="1" applyBorder="1" applyAlignment="1">
      <alignment horizontal="center" vertical="center" wrapText="1"/>
    </xf>
    <xf numFmtId="0" fontId="60" fillId="38" borderId="0" xfId="0" applyNumberFormat="1" applyFont="1" applyFill="1" applyAlignment="1">
      <alignment horizontal="center" vertical="center"/>
    </xf>
    <xf numFmtId="49" fontId="60" fillId="38" borderId="0" xfId="79" applyNumberFormat="1" applyFont="1" applyFill="1" applyBorder="1" applyAlignment="1">
      <alignment horizontal="center" vertical="center"/>
    </xf>
    <xf numFmtId="49" fontId="60" fillId="38" borderId="76" xfId="79" applyNumberFormat="1" applyFont="1" applyFill="1" applyBorder="1" applyAlignment="1">
      <alignment horizontal="center" vertical="center"/>
    </xf>
    <xf numFmtId="220" fontId="60" fillId="38" borderId="0" xfId="0" applyNumberFormat="1" applyFont="1" applyFill="1" applyBorder="1" applyAlignment="1">
      <alignment horizontal="center" vertical="center" wrapText="1"/>
    </xf>
    <xf numFmtId="220" fontId="60" fillId="38" borderId="76" xfId="0" applyNumberFormat="1" applyFont="1" applyFill="1" applyBorder="1" applyAlignment="1">
      <alignment horizontal="center" vertical="center" wrapText="1"/>
    </xf>
    <xf numFmtId="49" fontId="60" fillId="38" borderId="0" xfId="0" applyNumberFormat="1" applyFont="1" applyFill="1" applyBorder="1" applyAlignment="1">
      <alignment horizontal="center" vertical="center"/>
    </xf>
    <xf numFmtId="49" fontId="60" fillId="38" borderId="76" xfId="0" applyNumberFormat="1" applyFont="1" applyFill="1" applyBorder="1" applyAlignment="1">
      <alignment horizontal="center" vertical="center"/>
    </xf>
    <xf numFmtId="220" fontId="48" fillId="38" borderId="0" xfId="0" applyNumberFormat="1" applyFont="1" applyFill="1" applyAlignment="1">
      <alignment horizontal="center" vertical="center"/>
    </xf>
    <xf numFmtId="220" fontId="48" fillId="38" borderId="76" xfId="0" applyNumberFormat="1" applyFont="1" applyFill="1" applyBorder="1" applyAlignment="1">
      <alignment horizontal="center" vertical="center"/>
    </xf>
    <xf numFmtId="220" fontId="106" fillId="38" borderId="0" xfId="103" applyNumberFormat="1" applyFont="1" applyFill="1" applyBorder="1" applyAlignment="1">
      <alignment horizontal="center" vertical="center" wrapText="1"/>
    </xf>
    <xf numFmtId="220" fontId="106" fillId="38" borderId="76" xfId="103" applyNumberFormat="1" applyFont="1" applyFill="1" applyBorder="1" applyAlignment="1">
      <alignment horizontal="center" vertical="center" wrapText="1"/>
    </xf>
    <xf numFmtId="220" fontId="106" fillId="38" borderId="0" xfId="103" applyNumberFormat="1" applyFont="1" applyFill="1" applyBorder="1" applyAlignment="1">
      <alignment horizontal="center" vertical="center"/>
    </xf>
    <xf numFmtId="220" fontId="106" fillId="38" borderId="76" xfId="103" applyNumberFormat="1" applyFont="1" applyFill="1" applyBorder="1" applyAlignment="1">
      <alignment horizontal="center" vertical="center"/>
    </xf>
    <xf numFmtId="0" fontId="60" fillId="38" borderId="0" xfId="0" applyNumberFormat="1" applyFont="1" applyFill="1" applyBorder="1" applyAlignment="1">
      <alignment horizontal="center" vertical="center"/>
    </xf>
    <xf numFmtId="0" fontId="60" fillId="38" borderId="76" xfId="0" applyNumberFormat="1" applyFont="1" applyFill="1" applyBorder="1" applyAlignment="1">
      <alignment horizontal="center" vertical="center"/>
    </xf>
    <xf numFmtId="220" fontId="48" fillId="38" borderId="0" xfId="0" applyNumberFormat="1" applyFont="1" applyFill="1" applyBorder="1" applyAlignment="1">
      <alignment horizontal="center" vertical="center"/>
    </xf>
    <xf numFmtId="220" fontId="60" fillId="38" borderId="0" xfId="0" applyNumberFormat="1" applyFont="1" applyFill="1" applyBorder="1" applyAlignment="1">
      <alignment horizontal="center" vertical="center"/>
    </xf>
    <xf numFmtId="0" fontId="48" fillId="0" borderId="59" xfId="79" applyNumberFormat="1" applyFont="1" applyFill="1" applyBorder="1" applyAlignment="1">
      <alignment horizontal="center" vertical="center"/>
    </xf>
    <xf numFmtId="0" fontId="48" fillId="0" borderId="60" xfId="79" applyNumberFormat="1" applyFont="1" applyFill="1" applyBorder="1" applyAlignment="1">
      <alignment horizontal="center" vertical="center"/>
    </xf>
    <xf numFmtId="0" fontId="47" fillId="0" borderId="0" xfId="79" applyFont="1" applyAlignment="1">
      <alignment horizontal="center" wrapText="1"/>
    </xf>
    <xf numFmtId="0" fontId="7" fillId="28" borderId="47" xfId="0" applyNumberFormat="1" applyFont="1" applyFill="1" applyBorder="1" applyAlignment="1">
      <alignment horizontal="center" vertical="center" wrapText="1"/>
    </xf>
    <xf numFmtId="0" fontId="7" fillId="28" borderId="52" xfId="0" applyNumberFormat="1" applyFont="1" applyFill="1" applyBorder="1" applyAlignment="1">
      <alignment horizontal="center" vertical="center" wrapText="1"/>
    </xf>
    <xf numFmtId="0" fontId="7" fillId="28" borderId="44" xfId="0" applyNumberFormat="1" applyFont="1" applyFill="1" applyBorder="1" applyAlignment="1">
      <alignment horizontal="center" vertical="center"/>
    </xf>
    <xf numFmtId="0" fontId="7" fillId="28" borderId="45" xfId="0" applyNumberFormat="1" applyFont="1" applyFill="1" applyBorder="1" applyAlignment="1">
      <alignment horizontal="center" vertical="center"/>
    </xf>
    <xf numFmtId="0" fontId="7" fillId="28" borderId="46" xfId="0" applyNumberFormat="1" applyFont="1" applyFill="1" applyBorder="1" applyAlignment="1">
      <alignment horizontal="center" vertical="center"/>
    </xf>
    <xf numFmtId="0" fontId="7" fillId="28" borderId="63" xfId="0" applyNumberFormat="1" applyFont="1" applyFill="1" applyBorder="1" applyAlignment="1">
      <alignment horizontal="center" vertical="center" wrapText="1"/>
    </xf>
    <xf numFmtId="198" fontId="1" fillId="0" borderId="44" xfId="78" applyNumberFormat="1" applyFont="1" applyFill="1" applyBorder="1" applyAlignment="1">
      <alignment horizontal="center" vertical="center"/>
    </xf>
    <xf numFmtId="198" fontId="1" fillId="0" borderId="46" xfId="78" applyNumberFormat="1" applyFont="1" applyFill="1" applyBorder="1" applyAlignment="1">
      <alignment horizontal="center" vertical="center"/>
    </xf>
    <xf numFmtId="49" fontId="1" fillId="0" borderId="44" xfId="78" applyNumberFormat="1" applyFont="1" applyFill="1" applyBorder="1" applyAlignment="1">
      <alignment horizontal="center" vertical="center"/>
    </xf>
    <xf numFmtId="49" fontId="1" fillId="0" borderId="46" xfId="78" applyNumberFormat="1" applyFont="1" applyFill="1" applyBorder="1" applyAlignment="1">
      <alignment horizontal="center" vertical="center"/>
    </xf>
    <xf numFmtId="192" fontId="67" fillId="0" borderId="0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vertical="center"/>
    </xf>
    <xf numFmtId="2" fontId="67" fillId="0" borderId="0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horizontal="right" vertical="center"/>
    </xf>
    <xf numFmtId="0" fontId="67" fillId="0" borderId="0" xfId="0" applyFont="1" applyBorder="1" applyAlignment="1">
      <alignment vertical="center"/>
    </xf>
    <xf numFmtId="0" fontId="67" fillId="0" borderId="0" xfId="0" applyFont="1" applyBorder="1" applyAlignment="1">
      <alignment horizontal="left" vertical="center"/>
    </xf>
    <xf numFmtId="0" fontId="67" fillId="0" borderId="76" xfId="0" applyFont="1" applyBorder="1" applyAlignment="1">
      <alignment horizontal="center"/>
    </xf>
    <xf numFmtId="0" fontId="67" fillId="0" borderId="0" xfId="0" applyNumberFormat="1" applyFont="1" applyBorder="1" applyAlignment="1">
      <alignment vertical="center" shrinkToFit="1"/>
    </xf>
    <xf numFmtId="0" fontId="67" fillId="0" borderId="0" xfId="0" applyFont="1" applyBorder="1" applyAlignment="1">
      <alignment vertical="center" shrinkToFit="1"/>
    </xf>
    <xf numFmtId="0" fontId="67" fillId="0" borderId="0" xfId="0" applyFont="1" applyBorder="1" applyAlignment="1">
      <alignment horizontal="center" vertical="center"/>
    </xf>
    <xf numFmtId="209" fontId="67" fillId="0" borderId="0" xfId="0" applyNumberFormat="1" applyFont="1" applyBorder="1" applyAlignment="1">
      <alignment horizontal="center" vertical="center"/>
    </xf>
    <xf numFmtId="0" fontId="67" fillId="0" borderId="57" xfId="0" applyNumberFormat="1" applyFont="1" applyBorder="1" applyAlignment="1">
      <alignment horizontal="center" vertical="center"/>
    </xf>
    <xf numFmtId="0" fontId="67" fillId="0" borderId="61" xfId="0" applyNumberFormat="1" applyFont="1" applyBorder="1" applyAlignment="1">
      <alignment horizontal="center" vertical="center"/>
    </xf>
    <xf numFmtId="0" fontId="67" fillId="0" borderId="58" xfId="0" applyNumberFormat="1" applyFont="1" applyBorder="1" applyAlignment="1">
      <alignment horizontal="center" vertical="center"/>
    </xf>
    <xf numFmtId="0" fontId="65" fillId="0" borderId="0" xfId="0" applyFont="1" applyBorder="1" applyAlignment="1">
      <alignment horizontal="center" vertical="center"/>
    </xf>
    <xf numFmtId="0" fontId="67" fillId="0" borderId="49" xfId="0" applyFont="1" applyBorder="1" applyAlignment="1">
      <alignment horizontal="center" vertical="center"/>
    </xf>
    <xf numFmtId="0" fontId="67" fillId="0" borderId="50" xfId="0" applyFont="1" applyBorder="1" applyAlignment="1">
      <alignment horizontal="center" vertical="center"/>
    </xf>
    <xf numFmtId="0" fontId="67" fillId="0" borderId="31" xfId="0" applyFont="1" applyBorder="1" applyAlignment="1">
      <alignment horizontal="center" vertical="center"/>
    </xf>
    <xf numFmtId="0" fontId="67" fillId="0" borderId="32" xfId="0" applyFont="1" applyBorder="1" applyAlignment="1">
      <alignment horizontal="center" vertical="center"/>
    </xf>
    <xf numFmtId="0" fontId="65" fillId="0" borderId="31" xfId="0" applyFont="1" applyBorder="1" applyAlignment="1">
      <alignment horizontal="center" vertical="center"/>
    </xf>
    <xf numFmtId="0" fontId="65" fillId="0" borderId="32" xfId="0" applyFont="1" applyBorder="1" applyAlignment="1">
      <alignment horizontal="center" vertical="center"/>
    </xf>
    <xf numFmtId="0" fontId="69" fillId="0" borderId="17" xfId="0" applyFont="1" applyBorder="1" applyAlignment="1">
      <alignment horizontal="center" vertical="center"/>
    </xf>
    <xf numFmtId="0" fontId="67" fillId="0" borderId="61" xfId="0" applyNumberFormat="1" applyFont="1" applyBorder="1" applyAlignment="1">
      <alignment vertical="center"/>
    </xf>
    <xf numFmtId="0" fontId="67" fillId="0" borderId="58" xfId="0" applyNumberFormat="1" applyFont="1" applyBorder="1" applyAlignment="1">
      <alignment vertical="center"/>
    </xf>
    <xf numFmtId="197" fontId="67" fillId="0" borderId="0" xfId="0" applyNumberFormat="1" applyFont="1" applyBorder="1" applyAlignment="1">
      <alignment vertical="center"/>
    </xf>
    <xf numFmtId="0" fontId="67" fillId="0" borderId="88" xfId="0" applyFont="1" applyBorder="1" applyAlignment="1">
      <alignment horizontal="center" vertical="center"/>
    </xf>
    <xf numFmtId="0" fontId="67" fillId="0" borderId="48" xfId="0" applyFont="1" applyBorder="1" applyAlignment="1">
      <alignment horizontal="center" vertical="center"/>
    </xf>
    <xf numFmtId="0" fontId="65" fillId="0" borderId="57" xfId="0" applyFont="1" applyBorder="1" applyAlignment="1">
      <alignment horizontal="right" vertical="center"/>
    </xf>
    <xf numFmtId="0" fontId="65" fillId="0" borderId="61" xfId="0" applyFont="1" applyBorder="1" applyAlignment="1">
      <alignment horizontal="right" vertical="center"/>
    </xf>
    <xf numFmtId="0" fontId="65" fillId="0" borderId="58" xfId="0" applyFont="1" applyBorder="1" applyAlignment="1">
      <alignment horizontal="right" vertical="center"/>
    </xf>
    <xf numFmtId="0" fontId="69" fillId="0" borderId="0" xfId="0" applyFont="1" applyBorder="1" applyAlignment="1">
      <alignment horizontal="right" vertical="center"/>
    </xf>
    <xf numFmtId="0" fontId="67" fillId="0" borderId="57" xfId="0" applyNumberFormat="1" applyFont="1" applyBorder="1" applyAlignment="1">
      <alignment horizontal="right" vertical="center"/>
    </xf>
    <xf numFmtId="0" fontId="67" fillId="0" borderId="61" xfId="0" applyNumberFormat="1" applyFont="1" applyBorder="1" applyAlignment="1">
      <alignment horizontal="right" vertical="center"/>
    </xf>
    <xf numFmtId="2" fontId="67" fillId="0" borderId="57" xfId="0" applyNumberFormat="1" applyFont="1" applyBorder="1" applyAlignment="1">
      <alignment vertical="center"/>
    </xf>
    <xf numFmtId="2" fontId="67" fillId="0" borderId="61" xfId="0" applyNumberFormat="1" applyFont="1" applyBorder="1" applyAlignment="1">
      <alignment vertical="center"/>
    </xf>
    <xf numFmtId="0" fontId="52" fillId="0" borderId="0" xfId="0" applyNumberFormat="1" applyFont="1" applyBorder="1" applyAlignment="1">
      <alignment horizontal="center" vertical="center"/>
    </xf>
    <xf numFmtId="2" fontId="67" fillId="0" borderId="76" xfId="0" applyNumberFormat="1" applyFont="1" applyBorder="1" applyAlignment="1">
      <alignment horizontal="center" vertical="center"/>
    </xf>
    <xf numFmtId="213" fontId="67" fillId="0" borderId="0" xfId="0" applyNumberFormat="1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203" fontId="67" fillId="0" borderId="76" xfId="0" applyNumberFormat="1" applyFont="1" applyBorder="1" applyAlignment="1">
      <alignment vertical="center"/>
    </xf>
    <xf numFmtId="0" fontId="67" fillId="0" borderId="43" xfId="0" applyFont="1" applyBorder="1" applyAlignment="1">
      <alignment horizontal="center" vertical="center"/>
    </xf>
    <xf numFmtId="0" fontId="67" fillId="0" borderId="0" xfId="0" applyNumberFormat="1" applyFont="1" applyBorder="1" applyAlignment="1">
      <alignment horizontal="center" vertical="center"/>
    </xf>
    <xf numFmtId="0" fontId="65" fillId="0" borderId="76" xfId="0" applyFont="1" applyBorder="1" applyAlignment="1">
      <alignment horizontal="center" vertical="center"/>
    </xf>
    <xf numFmtId="0" fontId="67" fillId="0" borderId="76" xfId="0" applyNumberFormat="1" applyFont="1" applyBorder="1" applyAlignment="1">
      <alignment vertical="center"/>
    </xf>
    <xf numFmtId="185" fontId="67" fillId="0" borderId="0" xfId="0" applyNumberFormat="1" applyFont="1" applyBorder="1" applyAlignment="1">
      <alignment horizontal="left" vertical="center"/>
    </xf>
    <xf numFmtId="0" fontId="67" fillId="32" borderId="49" xfId="0" applyFont="1" applyFill="1" applyBorder="1" applyAlignment="1">
      <alignment horizontal="center" vertical="center" wrapText="1"/>
    </xf>
    <xf numFmtId="0" fontId="67" fillId="32" borderId="43" xfId="0" applyFont="1" applyFill="1" applyBorder="1" applyAlignment="1">
      <alignment horizontal="center" vertical="center" wrapText="1"/>
    </xf>
    <xf numFmtId="0" fontId="67" fillId="32" borderId="50" xfId="0" applyFont="1" applyFill="1" applyBorder="1" applyAlignment="1">
      <alignment horizontal="center" vertical="center" wrapText="1"/>
    </xf>
    <xf numFmtId="0" fontId="67" fillId="32" borderId="77" xfId="0" applyFont="1" applyFill="1" applyBorder="1" applyAlignment="1">
      <alignment horizontal="center" vertical="center" wrapText="1"/>
    </xf>
    <xf numFmtId="0" fontId="67" fillId="32" borderId="76" xfId="0" applyFont="1" applyFill="1" applyBorder="1" applyAlignment="1">
      <alignment horizontal="center" vertical="center" wrapText="1"/>
    </xf>
    <xf numFmtId="0" fontId="67" fillId="32" borderId="78" xfId="0" applyFont="1" applyFill="1" applyBorder="1" applyAlignment="1">
      <alignment horizontal="center" vertical="center" wrapText="1"/>
    </xf>
    <xf numFmtId="0" fontId="67" fillId="32" borderId="57" xfId="0" applyFont="1" applyFill="1" applyBorder="1" applyAlignment="1">
      <alignment horizontal="center" vertical="center" wrapText="1"/>
    </xf>
    <xf numFmtId="0" fontId="67" fillId="32" borderId="61" xfId="0" applyFont="1" applyFill="1" applyBorder="1" applyAlignment="1">
      <alignment horizontal="center" vertical="center" wrapText="1"/>
    </xf>
    <xf numFmtId="0" fontId="67" fillId="32" borderId="58" xfId="0" applyFont="1" applyFill="1" applyBorder="1" applyAlignment="1">
      <alignment horizontal="center" vertical="center" wrapText="1"/>
    </xf>
    <xf numFmtId="0" fontId="67" fillId="0" borderId="59" xfId="0" applyFont="1" applyBorder="1" applyAlignment="1">
      <alignment horizontal="center" vertical="center"/>
    </xf>
    <xf numFmtId="0" fontId="67" fillId="0" borderId="57" xfId="0" applyFont="1" applyBorder="1" applyAlignment="1">
      <alignment horizontal="center" vertical="center"/>
    </xf>
    <xf numFmtId="0" fontId="67" fillId="0" borderId="61" xfId="0" applyFont="1" applyBorder="1" applyAlignment="1">
      <alignment horizontal="center" vertical="center"/>
    </xf>
    <xf numFmtId="0" fontId="67" fillId="0" borderId="58" xfId="0" applyFont="1" applyBorder="1" applyAlignment="1">
      <alignment horizontal="center" vertical="center"/>
    </xf>
    <xf numFmtId="0" fontId="67" fillId="0" borderId="79" xfId="0" applyFont="1" applyBorder="1" applyAlignment="1">
      <alignment horizontal="center" vertical="center"/>
    </xf>
    <xf numFmtId="0" fontId="67" fillId="0" borderId="80" xfId="0" applyFont="1" applyBorder="1" applyAlignment="1">
      <alignment horizontal="center" vertical="center"/>
    </xf>
    <xf numFmtId="0" fontId="65" fillId="0" borderId="81" xfId="0" applyFont="1" applyBorder="1" applyAlignment="1">
      <alignment horizontal="left" vertical="center" indent="1"/>
    </xf>
    <xf numFmtId="0" fontId="65" fillId="0" borderId="82" xfId="0" applyFont="1" applyBorder="1" applyAlignment="1">
      <alignment horizontal="left" vertical="center" indent="1"/>
    </xf>
    <xf numFmtId="0" fontId="65" fillId="0" borderId="83" xfId="0" applyFont="1" applyBorder="1" applyAlignment="1">
      <alignment horizontal="left" vertical="center" indent="1"/>
    </xf>
    <xf numFmtId="0" fontId="67" fillId="0" borderId="84" xfId="0" applyNumberFormat="1" applyFont="1" applyBorder="1" applyAlignment="1">
      <alignment horizontal="right" vertical="center"/>
    </xf>
    <xf numFmtId="0" fontId="67" fillId="0" borderId="85" xfId="0" applyNumberFormat="1" applyFont="1" applyBorder="1" applyAlignment="1">
      <alignment horizontal="right" vertical="center"/>
    </xf>
    <xf numFmtId="0" fontId="67" fillId="0" borderId="85" xfId="0" applyNumberFormat="1" applyFont="1" applyBorder="1" applyAlignment="1">
      <alignment vertical="center"/>
    </xf>
    <xf numFmtId="0" fontId="67" fillId="0" borderId="86" xfId="0" applyNumberFormat="1" applyFont="1" applyBorder="1" applyAlignment="1">
      <alignment vertical="center"/>
    </xf>
    <xf numFmtId="2" fontId="67" fillId="0" borderId="81" xfId="0" applyNumberFormat="1" applyFont="1" applyBorder="1" applyAlignment="1">
      <alignment vertical="center"/>
    </xf>
    <xf numFmtId="2" fontId="67" fillId="0" borderId="82" xfId="0" applyNumberFormat="1" applyFont="1" applyBorder="1" applyAlignment="1">
      <alignment vertical="center"/>
    </xf>
    <xf numFmtId="192" fontId="67" fillId="0" borderId="82" xfId="0" applyNumberFormat="1" applyFont="1" applyBorder="1" applyAlignment="1">
      <alignment vertical="center"/>
    </xf>
    <xf numFmtId="0" fontId="67" fillId="0" borderId="82" xfId="0" applyNumberFormat="1" applyFont="1" applyBorder="1" applyAlignment="1">
      <alignment vertical="center"/>
    </xf>
    <xf numFmtId="0" fontId="67" fillId="0" borderId="83" xfId="0" applyNumberFormat="1" applyFont="1" applyBorder="1" applyAlignment="1">
      <alignment vertical="center"/>
    </xf>
    <xf numFmtId="0" fontId="67" fillId="0" borderId="81" xfId="0" applyFont="1" applyBorder="1" applyAlignment="1">
      <alignment horizontal="center" vertical="center"/>
    </xf>
    <xf numFmtId="0" fontId="67" fillId="0" borderId="82" xfId="0" applyFont="1" applyBorder="1" applyAlignment="1">
      <alignment horizontal="center" vertical="center"/>
    </xf>
    <xf numFmtId="0" fontId="67" fillId="0" borderId="83" xfId="0" applyFont="1" applyBorder="1" applyAlignment="1">
      <alignment horizontal="center" vertical="center"/>
    </xf>
    <xf numFmtId="192" fontId="67" fillId="0" borderId="83" xfId="0" applyNumberFormat="1" applyFont="1" applyBorder="1" applyAlignment="1">
      <alignment vertical="center"/>
    </xf>
    <xf numFmtId="0" fontId="67" fillId="0" borderId="87" xfId="0" applyFont="1" applyBorder="1" applyAlignment="1">
      <alignment horizontal="center" vertical="center"/>
    </xf>
    <xf numFmtId="0" fontId="69" fillId="0" borderId="31" xfId="0" applyFont="1" applyBorder="1" applyAlignment="1">
      <alignment horizontal="center" vertical="center"/>
    </xf>
    <xf numFmtId="0" fontId="69" fillId="0" borderId="0" xfId="0" applyFont="1" applyBorder="1" applyAlignment="1">
      <alignment horizontal="center" vertical="center"/>
    </xf>
    <xf numFmtId="0" fontId="69" fillId="0" borderId="32" xfId="0" applyFont="1" applyBorder="1" applyAlignment="1">
      <alignment horizontal="center" vertical="center"/>
    </xf>
    <xf numFmtId="0" fontId="67" fillId="0" borderId="57" xfId="0" applyFont="1" applyBorder="1" applyAlignment="1">
      <alignment horizontal="right" vertical="center"/>
    </xf>
    <xf numFmtId="0" fontId="67" fillId="0" borderId="61" xfId="0" applyFont="1" applyBorder="1" applyAlignment="1">
      <alignment horizontal="right" vertical="center"/>
    </xf>
    <xf numFmtId="0" fontId="67" fillId="0" borderId="58" xfId="0" applyFont="1" applyBorder="1" applyAlignment="1">
      <alignment horizontal="right" vertical="center"/>
    </xf>
    <xf numFmtId="0" fontId="67" fillId="0" borderId="48" xfId="0" applyFont="1" applyBorder="1" applyAlignment="1">
      <alignment horizontal="right" vertical="center"/>
    </xf>
    <xf numFmtId="0" fontId="67" fillId="0" borderId="89" xfId="0" applyFont="1" applyBorder="1" applyAlignment="1">
      <alignment horizontal="right" vertical="center"/>
    </xf>
    <xf numFmtId="0" fontId="67" fillId="0" borderId="94" xfId="0" applyFont="1" applyBorder="1" applyAlignment="1">
      <alignment horizontal="right" vertical="center"/>
    </xf>
    <xf numFmtId="0" fontId="67" fillId="0" borderId="95" xfId="0" applyFont="1" applyBorder="1" applyAlignment="1">
      <alignment horizontal="right" vertical="center"/>
    </xf>
    <xf numFmtId="0" fontId="67" fillId="0" borderId="77" xfId="0" applyFont="1" applyBorder="1" applyAlignment="1">
      <alignment horizontal="center" vertical="center"/>
    </xf>
    <xf numFmtId="0" fontId="67" fillId="0" borderId="78" xfId="0" applyFont="1" applyBorder="1" applyAlignment="1">
      <alignment horizontal="center" vertical="center"/>
    </xf>
    <xf numFmtId="0" fontId="65" fillId="0" borderId="77" xfId="0" applyFont="1" applyBorder="1" applyAlignment="1">
      <alignment horizontal="left" vertical="center" indent="1"/>
    </xf>
    <xf numFmtId="0" fontId="65" fillId="0" borderId="76" xfId="0" applyFont="1" applyBorder="1" applyAlignment="1">
      <alignment horizontal="left" vertical="center" indent="1"/>
    </xf>
    <xf numFmtId="0" fontId="65" fillId="0" borderId="78" xfId="0" applyFont="1" applyBorder="1" applyAlignment="1">
      <alignment horizontal="left" vertical="center" indent="1"/>
    </xf>
    <xf numFmtId="0" fontId="67" fillId="0" borderId="77" xfId="0" applyNumberFormat="1" applyFont="1" applyBorder="1" applyAlignment="1">
      <alignment horizontal="right" vertical="center"/>
    </xf>
    <xf numFmtId="0" fontId="67" fillId="0" borderId="76" xfId="0" applyNumberFormat="1" applyFont="1" applyBorder="1" applyAlignment="1">
      <alignment horizontal="right" vertical="center"/>
    </xf>
    <xf numFmtId="0" fontId="67" fillId="0" borderId="78" xfId="0" applyNumberFormat="1" applyFont="1" applyBorder="1" applyAlignment="1">
      <alignment vertical="center"/>
    </xf>
    <xf numFmtId="2" fontId="67" fillId="0" borderId="77" xfId="0" applyNumberFormat="1" applyFont="1" applyBorder="1" applyAlignment="1">
      <alignment vertical="center"/>
    </xf>
    <xf numFmtId="2" fontId="67" fillId="0" borderId="76" xfId="0" applyNumberFormat="1" applyFont="1" applyBorder="1" applyAlignment="1">
      <alignment vertical="center"/>
    </xf>
    <xf numFmtId="192" fontId="67" fillId="0" borderId="76" xfId="0" applyNumberFormat="1" applyFont="1" applyBorder="1" applyAlignment="1">
      <alignment vertical="center"/>
    </xf>
    <xf numFmtId="0" fontId="67" fillId="0" borderId="13" xfId="0" applyFont="1" applyBorder="1" applyAlignment="1">
      <alignment horizontal="center" vertical="center"/>
    </xf>
    <xf numFmtId="0" fontId="67" fillId="0" borderId="76" xfId="0" applyFont="1" applyBorder="1" applyAlignment="1">
      <alignment horizontal="center" vertical="center"/>
    </xf>
    <xf numFmtId="192" fontId="67" fillId="0" borderId="78" xfId="0" applyNumberFormat="1" applyFont="1" applyBorder="1" applyAlignment="1">
      <alignment vertical="center"/>
    </xf>
    <xf numFmtId="0" fontId="67" fillId="0" borderId="90" xfId="0" applyFont="1" applyBorder="1" applyAlignment="1">
      <alignment horizontal="center" vertical="center"/>
    </xf>
    <xf numFmtId="0" fontId="67" fillId="0" borderId="91" xfId="0" applyFont="1" applyBorder="1" applyAlignment="1">
      <alignment horizontal="center" vertical="center"/>
    </xf>
    <xf numFmtId="0" fontId="65" fillId="0" borderId="92" xfId="0" applyFont="1" applyBorder="1" applyAlignment="1">
      <alignment horizontal="right" vertical="center"/>
    </xf>
    <xf numFmtId="0" fontId="65" fillId="0" borderId="93" xfId="0" applyFont="1" applyBorder="1" applyAlignment="1">
      <alignment horizontal="right" vertical="center"/>
    </xf>
    <xf numFmtId="0" fontId="65" fillId="0" borderId="91" xfId="0" applyFont="1" applyBorder="1" applyAlignment="1">
      <alignment horizontal="right" vertical="center"/>
    </xf>
    <xf numFmtId="0" fontId="67" fillId="0" borderId="92" xfId="0" applyNumberFormat="1" applyFont="1" applyBorder="1" applyAlignment="1">
      <alignment horizontal="center" vertical="center"/>
    </xf>
    <xf numFmtId="0" fontId="67" fillId="0" borderId="93" xfId="0" applyNumberFormat="1" applyFont="1" applyBorder="1" applyAlignment="1">
      <alignment horizontal="center" vertical="center"/>
    </xf>
    <xf numFmtId="0" fontId="67" fillId="0" borderId="91" xfId="0" applyNumberFormat="1" applyFont="1" applyBorder="1" applyAlignment="1">
      <alignment horizontal="center" vertical="center"/>
    </xf>
    <xf numFmtId="2" fontId="67" fillId="0" borderId="92" xfId="0" applyNumberFormat="1" applyFont="1" applyBorder="1" applyAlignment="1">
      <alignment vertical="center"/>
    </xf>
    <xf numFmtId="2" fontId="67" fillId="0" borderId="93" xfId="0" applyNumberFormat="1" applyFont="1" applyBorder="1" applyAlignment="1">
      <alignment vertical="center"/>
    </xf>
    <xf numFmtId="0" fontId="67" fillId="0" borderId="93" xfId="0" applyNumberFormat="1" applyFont="1" applyBorder="1" applyAlignment="1">
      <alignment vertical="center"/>
    </xf>
    <xf numFmtId="0" fontId="67" fillId="0" borderId="91" xfId="0" applyNumberFormat="1" applyFont="1" applyBorder="1" applyAlignment="1">
      <alignment vertical="center"/>
    </xf>
    <xf numFmtId="0" fontId="67" fillId="0" borderId="94" xfId="0" applyFont="1" applyBorder="1" applyAlignment="1">
      <alignment horizontal="center" vertical="center"/>
    </xf>
    <xf numFmtId="0" fontId="67" fillId="0" borderId="92" xfId="0" applyFont="1" applyBorder="1" applyAlignment="1">
      <alignment horizontal="right" vertical="center"/>
    </xf>
    <xf numFmtId="0" fontId="67" fillId="0" borderId="93" xfId="0" applyFont="1" applyBorder="1" applyAlignment="1">
      <alignment horizontal="right" vertical="center"/>
    </xf>
    <xf numFmtId="0" fontId="67" fillId="0" borderId="91" xfId="0" applyFont="1" applyBorder="1" applyAlignment="1">
      <alignment horizontal="right" vertical="center"/>
    </xf>
    <xf numFmtId="0" fontId="65" fillId="0" borderId="57" xfId="0" applyFont="1" applyBorder="1" applyAlignment="1">
      <alignment horizontal="left" vertical="center" indent="1"/>
    </xf>
    <xf numFmtId="0" fontId="65" fillId="0" borderId="61" xfId="0" applyFont="1" applyBorder="1" applyAlignment="1">
      <alignment horizontal="left" vertical="center" indent="1"/>
    </xf>
    <xf numFmtId="0" fontId="65" fillId="0" borderId="58" xfId="0" applyFont="1" applyBorder="1" applyAlignment="1">
      <alignment horizontal="left" vertical="center" indent="1"/>
    </xf>
    <xf numFmtId="0" fontId="67" fillId="0" borderId="77" xfId="0" applyFont="1" applyBorder="1" applyAlignment="1">
      <alignment vertical="center"/>
    </xf>
    <xf numFmtId="0" fontId="67" fillId="0" borderId="76" xfId="0" applyFont="1" applyBorder="1" applyAlignment="1">
      <alignment vertical="center"/>
    </xf>
    <xf numFmtId="0" fontId="67" fillId="0" borderId="78" xfId="0" applyFont="1" applyBorder="1" applyAlignment="1">
      <alignment vertical="center"/>
    </xf>
    <xf numFmtId="0" fontId="67" fillId="0" borderId="77" xfId="0" applyNumberFormat="1" applyFont="1" applyBorder="1" applyAlignment="1">
      <alignment vertical="center"/>
    </xf>
    <xf numFmtId="0" fontId="67" fillId="0" borderId="57" xfId="0" applyFont="1" applyBorder="1" applyAlignment="1">
      <alignment vertical="center"/>
    </xf>
    <xf numFmtId="0" fontId="67" fillId="0" borderId="61" xfId="0" applyFont="1" applyBorder="1" applyAlignment="1">
      <alignment vertical="center"/>
    </xf>
    <xf numFmtId="0" fontId="67" fillId="0" borderId="58" xfId="0" applyFont="1" applyBorder="1" applyAlignment="1">
      <alignment vertical="center"/>
    </xf>
    <xf numFmtId="0" fontId="52" fillId="0" borderId="0" xfId="0" applyNumberFormat="1" applyFont="1" applyBorder="1" applyAlignment="1">
      <alignment vertical="center"/>
    </xf>
    <xf numFmtId="2" fontId="52" fillId="0" borderId="0" xfId="0" applyNumberFormat="1" applyFont="1" applyBorder="1" applyAlignment="1">
      <alignment horizontal="center" vertical="center"/>
    </xf>
    <xf numFmtId="213" fontId="67" fillId="0" borderId="43" xfId="0" applyNumberFormat="1" applyFont="1" applyBorder="1" applyAlignment="1">
      <alignment horizontal="center" vertical="center"/>
    </xf>
    <xf numFmtId="0" fontId="67" fillId="0" borderId="0" xfId="0" applyFont="1" applyBorder="1">
      <alignment vertical="center"/>
    </xf>
    <xf numFmtId="0" fontId="65" fillId="0" borderId="0" xfId="0" applyFont="1" applyBorder="1" applyAlignment="1">
      <alignment horizontal="right" vertical="center"/>
    </xf>
    <xf numFmtId="0" fontId="65" fillId="0" borderId="43" xfId="0" applyFont="1" applyBorder="1" applyAlignment="1">
      <alignment horizontal="center" vertical="center"/>
    </xf>
    <xf numFmtId="189" fontId="67" fillId="0" borderId="0" xfId="0" applyNumberFormat="1" applyFont="1" applyBorder="1" applyAlignment="1">
      <alignment vertical="center"/>
    </xf>
    <xf numFmtId="194" fontId="67" fillId="0" borderId="76" xfId="0" applyNumberFormat="1" applyFont="1" applyBorder="1" applyAlignment="1">
      <alignment vertical="center"/>
    </xf>
    <xf numFmtId="0" fontId="67" fillId="0" borderId="0" xfId="0" applyFont="1" applyBorder="1" applyAlignment="1">
      <alignment horizontal="center" vertical="center" shrinkToFit="1"/>
    </xf>
    <xf numFmtId="208" fontId="65" fillId="0" borderId="76" xfId="0" applyNumberFormat="1" applyFont="1" applyBorder="1" applyAlignment="1">
      <alignment horizontal="center" vertical="center"/>
    </xf>
    <xf numFmtId="208" fontId="67" fillId="0" borderId="76" xfId="0" applyNumberFormat="1" applyFont="1" applyBorder="1" applyAlignment="1">
      <alignment horizontal="center" vertical="center"/>
    </xf>
    <xf numFmtId="203" fontId="67" fillId="0" borderId="0" xfId="0" applyNumberFormat="1" applyFont="1" applyBorder="1" applyAlignment="1">
      <alignment horizontal="center" vertical="center"/>
    </xf>
    <xf numFmtId="0" fontId="67" fillId="0" borderId="43" xfId="0" applyNumberFormat="1" applyFont="1" applyBorder="1" applyAlignment="1">
      <alignment horizontal="center" vertical="center"/>
    </xf>
    <xf numFmtId="219" fontId="67" fillId="0" borderId="0" xfId="0" applyNumberFormat="1" applyFont="1" applyBorder="1" applyAlignment="1">
      <alignment horizontal="left" vertical="center"/>
    </xf>
    <xf numFmtId="203" fontId="69" fillId="0" borderId="0" xfId="0" applyNumberFormat="1" applyFont="1" applyBorder="1" applyAlignment="1">
      <alignment horizontal="center" vertical="center"/>
    </xf>
    <xf numFmtId="208" fontId="67" fillId="0" borderId="0" xfId="0" applyNumberFormat="1" applyFont="1" applyBorder="1" applyAlignment="1">
      <alignment vertical="center"/>
    </xf>
    <xf numFmtId="2" fontId="67" fillId="0" borderId="0" xfId="0" applyNumberFormat="1" applyFont="1" applyBorder="1" applyAlignment="1">
      <alignment horizontal="right" vertical="center"/>
    </xf>
    <xf numFmtId="188" fontId="67" fillId="0" borderId="76" xfId="0" applyNumberFormat="1" applyFont="1" applyBorder="1" applyAlignment="1">
      <alignment horizontal="center" vertical="center"/>
    </xf>
    <xf numFmtId="208" fontId="67" fillId="0" borderId="0" xfId="0" applyNumberFormat="1" applyFont="1" applyBorder="1" applyAlignment="1">
      <alignment horizontal="center" vertical="center"/>
    </xf>
    <xf numFmtId="215" fontId="67" fillId="0" borderId="0" xfId="0" applyNumberFormat="1" applyFont="1" applyBorder="1" applyAlignment="1">
      <alignment horizontal="center" vertical="center"/>
    </xf>
    <xf numFmtId="214" fontId="67" fillId="0" borderId="0" xfId="0" applyNumberFormat="1" applyFont="1" applyBorder="1" applyAlignment="1">
      <alignment horizontal="left" vertical="center" shrinkToFit="1"/>
    </xf>
    <xf numFmtId="188" fontId="67" fillId="0" borderId="76" xfId="0" applyNumberFormat="1" applyFont="1" applyBorder="1" applyAlignment="1">
      <alignment horizontal="center" vertical="center" shrinkToFit="1"/>
    </xf>
    <xf numFmtId="211" fontId="67" fillId="0" borderId="0" xfId="0" applyNumberFormat="1" applyFont="1" applyBorder="1" applyAlignment="1">
      <alignment horizontal="left" vertical="center"/>
    </xf>
    <xf numFmtId="0" fontId="82" fillId="28" borderId="44" xfId="0" applyNumberFormat="1" applyFont="1" applyFill="1" applyBorder="1" applyAlignment="1">
      <alignment horizontal="center" vertical="center" wrapText="1"/>
    </xf>
    <xf numFmtId="0" fontId="82" fillId="28" borderId="46" xfId="0" applyNumberFormat="1" applyFont="1" applyFill="1" applyBorder="1" applyAlignment="1">
      <alignment horizontal="center" vertical="center" wrapText="1"/>
    </xf>
    <xf numFmtId="0" fontId="82" fillId="28" borderId="45" xfId="0" applyNumberFormat="1" applyFont="1" applyFill="1" applyBorder="1" applyAlignment="1">
      <alignment horizontal="center" vertical="center" wrapText="1"/>
    </xf>
    <xf numFmtId="190" fontId="82" fillId="28" borderId="44" xfId="0" applyNumberFormat="1" applyFont="1" applyFill="1" applyBorder="1" applyAlignment="1">
      <alignment horizontal="center" vertical="center" wrapText="1"/>
    </xf>
    <xf numFmtId="190" fontId="82" fillId="28" borderId="46" xfId="0" applyNumberFormat="1" applyFont="1" applyFill="1" applyBorder="1" applyAlignment="1">
      <alignment horizontal="center" vertical="center" wrapText="1"/>
    </xf>
    <xf numFmtId="0" fontId="82" fillId="28" borderId="68" xfId="0" applyNumberFormat="1" applyFont="1" applyFill="1" applyBorder="1" applyAlignment="1">
      <alignment horizontal="center" vertical="center" wrapText="1"/>
    </xf>
    <xf numFmtId="0" fontId="82" fillId="28" borderId="69" xfId="0" applyNumberFormat="1" applyFont="1" applyFill="1" applyBorder="1" applyAlignment="1">
      <alignment horizontal="center" vertical="center" wrapText="1"/>
    </xf>
    <xf numFmtId="0" fontId="82" fillId="28" borderId="63" xfId="0" applyNumberFormat="1" applyFont="1" applyFill="1" applyBorder="1" applyAlignment="1">
      <alignment horizontal="center" vertical="center" wrapText="1"/>
    </xf>
    <xf numFmtId="0" fontId="82" fillId="28" borderId="52" xfId="0" applyNumberFormat="1" applyFont="1" applyFill="1" applyBorder="1" applyAlignment="1">
      <alignment horizontal="center" vertical="center" wrapText="1"/>
    </xf>
    <xf numFmtId="190" fontId="82" fillId="28" borderId="63" xfId="0" applyNumberFormat="1" applyFont="1" applyFill="1" applyBorder="1" applyAlignment="1">
      <alignment horizontal="center" vertical="center" wrapText="1"/>
    </xf>
    <xf numFmtId="190" fontId="82" fillId="28" borderId="75" xfId="0" applyNumberFormat="1" applyFont="1" applyFill="1" applyBorder="1" applyAlignment="1">
      <alignment horizontal="center" vertical="center" wrapText="1"/>
    </xf>
    <xf numFmtId="0" fontId="82" fillId="28" borderId="62" xfId="0" applyNumberFormat="1" applyFont="1" applyFill="1" applyBorder="1" applyAlignment="1">
      <alignment horizontal="center" vertical="center"/>
    </xf>
    <xf numFmtId="0" fontId="82" fillId="28" borderId="62" xfId="0" applyNumberFormat="1" applyFont="1" applyFill="1" applyBorder="1" applyAlignment="1">
      <alignment horizontal="center" vertical="center" wrapText="1"/>
    </xf>
    <xf numFmtId="0" fontId="82" fillId="28" borderId="63" xfId="0" applyNumberFormat="1" applyFont="1" applyFill="1" applyBorder="1" applyAlignment="1">
      <alignment horizontal="center" vertical="center"/>
    </xf>
    <xf numFmtId="0" fontId="82" fillId="28" borderId="52" xfId="0" applyNumberFormat="1" applyFont="1" applyFill="1" applyBorder="1" applyAlignment="1">
      <alignment horizontal="center" vertical="center"/>
    </xf>
    <xf numFmtId="0" fontId="82" fillId="28" borderId="75" xfId="0" applyNumberFormat="1" applyFont="1" applyFill="1" applyBorder="1" applyAlignment="1">
      <alignment horizontal="center" vertical="center"/>
    </xf>
    <xf numFmtId="41" fontId="52" fillId="0" borderId="59" xfId="87" applyFont="1" applyBorder="1" applyAlignment="1">
      <alignment horizontal="center" vertical="center" wrapText="1"/>
    </xf>
    <xf numFmtId="41" fontId="52" fillId="0" borderId="17" xfId="87" applyFont="1" applyBorder="1" applyAlignment="1">
      <alignment horizontal="center" vertical="center" wrapText="1"/>
    </xf>
    <xf numFmtId="41" fontId="52" fillId="0" borderId="60" xfId="87" applyFont="1" applyBorder="1" applyAlignment="1">
      <alignment horizontal="center" vertical="center" wrapText="1"/>
    </xf>
    <xf numFmtId="217" fontId="52" fillId="0" borderId="59" xfId="87" applyNumberFormat="1" applyFont="1" applyBorder="1" applyAlignment="1">
      <alignment horizontal="center" vertical="center"/>
    </xf>
    <xf numFmtId="217" fontId="52" fillId="0" borderId="17" xfId="87" applyNumberFormat="1" applyFont="1" applyBorder="1" applyAlignment="1">
      <alignment horizontal="center" vertical="center"/>
    </xf>
    <xf numFmtId="217" fontId="52" fillId="0" borderId="60" xfId="87" applyNumberFormat="1" applyFont="1" applyBorder="1" applyAlignment="1">
      <alignment horizontal="center" vertical="center"/>
    </xf>
    <xf numFmtId="0" fontId="82" fillId="28" borderId="51" xfId="0" applyNumberFormat="1" applyFont="1" applyFill="1" applyBorder="1" applyAlignment="1">
      <alignment horizontal="center" vertical="center" wrapText="1"/>
    </xf>
    <xf numFmtId="189" fontId="81" fillId="0" borderId="62" xfId="0" applyNumberFormat="1" applyFont="1" applyFill="1" applyBorder="1" applyAlignment="1">
      <alignment horizontal="center" vertical="center"/>
    </xf>
    <xf numFmtId="188" fontId="81" fillId="32" borderId="62" xfId="86" applyNumberFormat="1" applyFont="1" applyFill="1" applyBorder="1" applyAlignment="1">
      <alignment horizontal="center" vertical="center" wrapText="1"/>
    </xf>
    <xf numFmtId="0" fontId="52" fillId="0" borderId="57" xfId="0" applyNumberFormat="1" applyFont="1" applyBorder="1" applyAlignment="1">
      <alignment horizontal="center" vertical="center"/>
    </xf>
    <xf numFmtId="0" fontId="52" fillId="0" borderId="58" xfId="0" applyNumberFormat="1" applyFont="1" applyBorder="1" applyAlignment="1">
      <alignment horizontal="center" vertical="center"/>
    </xf>
    <xf numFmtId="0" fontId="82" fillId="28" borderId="44" xfId="0" applyNumberFormat="1" applyFont="1" applyFill="1" applyBorder="1" applyAlignment="1">
      <alignment horizontal="center" vertical="center"/>
    </xf>
    <xf numFmtId="0" fontId="82" fillId="28" borderId="46" xfId="0" applyNumberFormat="1" applyFont="1" applyFill="1" applyBorder="1" applyAlignment="1">
      <alignment horizontal="center" vertical="center"/>
    </xf>
    <xf numFmtId="0" fontId="82" fillId="28" borderId="96" xfId="0" applyNumberFormat="1" applyFont="1" applyFill="1" applyBorder="1" applyAlignment="1">
      <alignment horizontal="center" vertical="center" wrapText="1"/>
    </xf>
    <xf numFmtId="0" fontId="82" fillId="28" borderId="97" xfId="0" applyNumberFormat="1" applyFont="1" applyFill="1" applyBorder="1" applyAlignment="1">
      <alignment horizontal="center" vertical="center" wrapText="1"/>
    </xf>
    <xf numFmtId="0" fontId="82" fillId="28" borderId="51" xfId="0" applyNumberFormat="1" applyFont="1" applyFill="1" applyBorder="1" applyAlignment="1">
      <alignment horizontal="center" vertical="center"/>
    </xf>
    <xf numFmtId="193" fontId="81" fillId="0" borderId="44" xfId="0" applyNumberFormat="1" applyFont="1" applyFill="1" applyBorder="1" applyAlignment="1">
      <alignment horizontal="center" vertical="center"/>
    </xf>
    <xf numFmtId="193" fontId="81" fillId="0" borderId="45" xfId="0" applyNumberFormat="1" applyFont="1" applyFill="1" applyBorder="1" applyAlignment="1">
      <alignment horizontal="center" vertical="center"/>
    </xf>
    <xf numFmtId="193" fontId="81" fillId="0" borderId="46" xfId="0" applyNumberFormat="1" applyFont="1" applyFill="1" applyBorder="1" applyAlignment="1">
      <alignment horizontal="center" vertical="center"/>
    </xf>
  </cellXfs>
  <cellStyles count="104">
    <cellStyle name="??&amp;O?&amp;H?_x0008__x000f__x0007_?_x0007__x0001__x0001_" xfId="1"/>
    <cellStyle name="??&amp;O?&amp;H?_x0008_??_x0007__x0001__x0001_" xfId="2"/>
    <cellStyle name="æØè [0.00]_PRODUCT DETAIL Q1" xfId="3"/>
    <cellStyle name="æØè_PRODUCT DETAIL Q1" xfId="4"/>
    <cellStyle name="ÊÝ [0.00]_PRODUCT DETAIL Q1" xfId="5"/>
    <cellStyle name="ÊÝ_PRODUCT DETAIL Q1" xfId="6"/>
    <cellStyle name="W?_BOOKSHIP" xfId="7"/>
    <cellStyle name="W_BOOKSHIP" xfId="8"/>
    <cellStyle name="20% - 강조색1" xfId="9" builtinId="30" customBuiltin="1"/>
    <cellStyle name="20% - 강조색2" xfId="10" builtinId="34" customBuiltin="1"/>
    <cellStyle name="20% - 강조색3" xfId="11" builtinId="38" customBuiltin="1"/>
    <cellStyle name="20% - 강조색4" xfId="12" builtinId="42" customBuiltin="1"/>
    <cellStyle name="20% - 강조색5" xfId="13" builtinId="46" customBuiltin="1"/>
    <cellStyle name="20% - 강조색6" xfId="14" builtinId="50" customBuiltin="1"/>
    <cellStyle name="40% - 강조색1" xfId="15" builtinId="31" customBuiltin="1"/>
    <cellStyle name="40% - 강조색2" xfId="16" builtinId="35" customBuiltin="1"/>
    <cellStyle name="40% - 강조색3" xfId="17" builtinId="39" customBuiltin="1"/>
    <cellStyle name="40% - 강조색4" xfId="18" builtinId="43" customBuiltin="1"/>
    <cellStyle name="40% - 강조색5" xfId="19" builtinId="47" customBuiltin="1"/>
    <cellStyle name="40% - 강조색6" xfId="20" builtinId="51" customBuiltin="1"/>
    <cellStyle name="60% - 강조색1" xfId="21" builtinId="32" customBuiltin="1"/>
    <cellStyle name="60% - 강조색2" xfId="22" builtinId="36" customBuiltin="1"/>
    <cellStyle name="60% - 강조색3" xfId="23" builtinId="40" customBuiltin="1"/>
    <cellStyle name="60% - 강조색4" xfId="24" builtinId="44" customBuiltin="1"/>
    <cellStyle name="60% - 강조색5" xfId="25" builtinId="48" customBuiltin="1"/>
    <cellStyle name="60% - 강조색6" xfId="26" builtinId="52" customBuiltin="1"/>
    <cellStyle name="ÅëÈ­ [0]_¸ÅÃâ" xfId="27"/>
    <cellStyle name="ÅëÈ­_¸ÅÃâ" xfId="28"/>
    <cellStyle name="ÄÞ¸¶ [0]_¸ÅÃâ" xfId="29"/>
    <cellStyle name="ÄÞ¸¶_¸ÅÃâ" xfId="30"/>
    <cellStyle name="Ç¥ÁØ_(Á¤º¸ºÎ¹®)¿ùº°ÀÎ¿ø°èÈ¹" xfId="31"/>
    <cellStyle name="Comma [0]_ SG&amp;A Bridge " xfId="32"/>
    <cellStyle name="Comma_ SG&amp;A Bridge " xfId="33"/>
    <cellStyle name="Currency [0]_ SG&amp;A Bridge " xfId="34"/>
    <cellStyle name="Currency_ SG&amp;A Bridge " xfId="35"/>
    <cellStyle name="Grey" xfId="36"/>
    <cellStyle name="Input [yellow]" xfId="37"/>
    <cellStyle name="Input [yellow] 2" xfId="88"/>
    <cellStyle name="Input [yellow] 3" xfId="97"/>
    <cellStyle name="Normal - Style1" xfId="38"/>
    <cellStyle name="Normal_ SG&amp;A Bridge " xfId="39"/>
    <cellStyle name="Percent [2]" xfId="40"/>
    <cellStyle name="강조색1" xfId="41" builtinId="29" customBuiltin="1"/>
    <cellStyle name="강조색2" xfId="42" builtinId="33" customBuiltin="1"/>
    <cellStyle name="강조색3" xfId="43" builtinId="37" customBuiltin="1"/>
    <cellStyle name="강조색4" xfId="44" builtinId="41" customBuiltin="1"/>
    <cellStyle name="강조색5" xfId="45" builtinId="45" customBuiltin="1"/>
    <cellStyle name="강조색6" xfId="46" builtinId="49" customBuiltin="1"/>
    <cellStyle name="경고문" xfId="47" builtinId="11" customBuiltin="1"/>
    <cellStyle name="계산" xfId="48" builtinId="22" customBuiltin="1"/>
    <cellStyle name="계산 2" xfId="89"/>
    <cellStyle name="계산 3" xfId="98"/>
    <cellStyle name="나쁨" xfId="49" builtinId="27" customBuiltin="1"/>
    <cellStyle name="뒤에 오는 하이퍼링크_불확도(OPM)" xfId="50"/>
    <cellStyle name="메모" xfId="51" builtinId="10" customBuiltin="1"/>
    <cellStyle name="메모 2" xfId="90"/>
    <cellStyle name="메모 3" xfId="99"/>
    <cellStyle name="백분율" xfId="86" builtinId="5"/>
    <cellStyle name="백분율 2" xfId="83"/>
    <cellStyle name="보통" xfId="52" builtinId="28" customBuiltin="1"/>
    <cellStyle name="뷭?_BOOKSHIP" xfId="53"/>
    <cellStyle name="설명 텍스트" xfId="54" builtinId="53" customBuiltin="1"/>
    <cellStyle name="셀 확인" xfId="55" builtinId="23" customBuiltin="1"/>
    <cellStyle name="쉼표 [0]" xfId="87" builtinId="6"/>
    <cellStyle name="쉼표 [0] 2" xfId="94"/>
    <cellStyle name="쉼표 [0] 2 2" xfId="96"/>
    <cellStyle name="쉼표 [0] 3" xfId="95"/>
    <cellStyle name="스타일 1" xfId="56"/>
    <cellStyle name="연결된 셀" xfId="57" builtinId="24" customBuiltin="1"/>
    <cellStyle name="요약" xfId="58" builtinId="25" customBuiltin="1"/>
    <cellStyle name="요약 2" xfId="91"/>
    <cellStyle name="요약 3" xfId="100"/>
    <cellStyle name="입력" xfId="59" builtinId="20" customBuiltin="1"/>
    <cellStyle name="입력 2" xfId="92"/>
    <cellStyle name="입력 3" xfId="101"/>
    <cellStyle name="제목" xfId="60" builtinId="15" customBuiltin="1"/>
    <cellStyle name="제목 1" xfId="61" builtinId="16" customBuiltin="1"/>
    <cellStyle name="제목 2" xfId="62" builtinId="17" customBuiltin="1"/>
    <cellStyle name="제목 3" xfId="63" builtinId="18" customBuiltin="1"/>
    <cellStyle name="제목 4" xfId="64" builtinId="19" customBuiltin="1"/>
    <cellStyle name="좋음" xfId="65" builtinId="26" customBuiltin="1"/>
    <cellStyle name="출력" xfId="66" builtinId="21" customBuiltin="1"/>
    <cellStyle name="출력 2" xfId="93"/>
    <cellStyle name="출력 3" xfId="102"/>
    <cellStyle name="콤마 [0]_  갑 지  " xfId="67"/>
    <cellStyle name="콤마_  갑 지  " xfId="68"/>
    <cellStyle name="표준" xfId="0" builtinId="0" customBuiltin="1"/>
    <cellStyle name="표준 2" xfId="69"/>
    <cellStyle name="표준 2 2" xfId="70"/>
    <cellStyle name="표준 2 3" xfId="84"/>
    <cellStyle name="표준 2 3 2" xfId="85"/>
    <cellStyle name="표준 3" xfId="71"/>
    <cellStyle name="표준 3 2" xfId="72"/>
    <cellStyle name="표준 3 3" xfId="73"/>
    <cellStyle name="표준 4" xfId="74"/>
    <cellStyle name="표준 5" xfId="75"/>
    <cellStyle name="표준 6" xfId="76"/>
    <cellStyle name="표준 7" xfId="77"/>
    <cellStyle name="표준_AGLIENT 34401A(12.22)" xfId="78"/>
    <cellStyle name="표준_ESS-2000" xfId="79"/>
    <cellStyle name="표준_Sheet1" xfId="81"/>
    <cellStyle name="표준_교정결과" xfId="103"/>
    <cellStyle name="표준_영문Reg004-X" xfId="82"/>
    <cellStyle name="표준_최신샘플" xfId="8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0.emf"/></Relationships>
</file>

<file path=xl/drawings/_rels/vmlDrawing1.v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26" Type="http://schemas.openxmlformats.org/officeDocument/2006/relationships/image" Target="../media/image26.emf"/><Relationship Id="rId39" Type="http://schemas.openxmlformats.org/officeDocument/2006/relationships/image" Target="../media/image39.emf"/><Relationship Id="rId21" Type="http://schemas.openxmlformats.org/officeDocument/2006/relationships/image" Target="../media/image21.emf"/><Relationship Id="rId34" Type="http://schemas.openxmlformats.org/officeDocument/2006/relationships/image" Target="../media/image34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33" Type="http://schemas.openxmlformats.org/officeDocument/2006/relationships/image" Target="../media/image33.emf"/><Relationship Id="rId38" Type="http://schemas.openxmlformats.org/officeDocument/2006/relationships/image" Target="../media/image38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29" Type="http://schemas.openxmlformats.org/officeDocument/2006/relationships/image" Target="../media/image29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32" Type="http://schemas.openxmlformats.org/officeDocument/2006/relationships/image" Target="../media/image32.emf"/><Relationship Id="rId37" Type="http://schemas.openxmlformats.org/officeDocument/2006/relationships/image" Target="../media/image37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28" Type="http://schemas.openxmlformats.org/officeDocument/2006/relationships/image" Target="../media/image28.emf"/><Relationship Id="rId36" Type="http://schemas.openxmlformats.org/officeDocument/2006/relationships/image" Target="../media/image36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31" Type="http://schemas.openxmlformats.org/officeDocument/2006/relationships/image" Target="../media/image31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Relationship Id="rId27" Type="http://schemas.openxmlformats.org/officeDocument/2006/relationships/image" Target="../media/image27.emf"/><Relationship Id="rId30" Type="http://schemas.openxmlformats.org/officeDocument/2006/relationships/image" Target="../media/image30.emf"/><Relationship Id="rId35" Type="http://schemas.openxmlformats.org/officeDocument/2006/relationships/image" Target="../media/image35.emf"/><Relationship Id="rId8" Type="http://schemas.openxmlformats.org/officeDocument/2006/relationships/image" Target="../media/image8.emf"/><Relationship Id="rId3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1352550</xdr:colOff>
      <xdr:row>28</xdr:row>
      <xdr:rowOff>4762</xdr:rowOff>
    </xdr:from>
    <xdr:ext cx="258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2971800" y="57483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971800" y="5748337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1352550</xdr:colOff>
      <xdr:row>28</xdr:row>
      <xdr:rowOff>9525</xdr:rowOff>
    </xdr:from>
    <xdr:ext cx="258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4581525" y="5753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4581525" y="5753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27</xdr:row>
      <xdr:rowOff>9525</xdr:rowOff>
    </xdr:from>
    <xdr:to>
      <xdr:col>7</xdr:col>
      <xdr:colOff>267929</xdr:colOff>
      <xdr:row>27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733550" y="765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733550" y="765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28575</xdr:colOff>
          <xdr:row>96</xdr:row>
          <xdr:rowOff>9525</xdr:rowOff>
        </xdr:from>
        <xdr:to>
          <xdr:col>15</xdr:col>
          <xdr:colOff>85725</xdr:colOff>
          <xdr:row>96</xdr:row>
          <xdr:rowOff>209550</xdr:rowOff>
        </xdr:to>
        <xdr:sp macro="" textlink="">
          <xdr:nvSpPr>
            <xdr:cNvPr id="2455" name="Object 407" hidden="1">
              <a:extLst>
                <a:ext uri="{63B3BB69-23CF-44E3-9099-C40C66FF867C}">
                  <a14:compatExt spid="_x0000_s2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123825</xdr:colOff>
          <xdr:row>96</xdr:row>
          <xdr:rowOff>0</xdr:rowOff>
        </xdr:from>
        <xdr:to>
          <xdr:col>20</xdr:col>
          <xdr:colOff>19050</xdr:colOff>
          <xdr:row>96</xdr:row>
          <xdr:rowOff>200025</xdr:rowOff>
        </xdr:to>
        <xdr:sp macro="" textlink="">
          <xdr:nvSpPr>
            <xdr:cNvPr id="2456" name="Object 408" hidden="1">
              <a:extLst>
                <a:ext uri="{63B3BB69-23CF-44E3-9099-C40C66FF867C}">
                  <a14:compatExt spid="_x0000_s2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76</xdr:row>
          <xdr:rowOff>19050</xdr:rowOff>
        </xdr:from>
        <xdr:to>
          <xdr:col>12</xdr:col>
          <xdr:colOff>76200</xdr:colOff>
          <xdr:row>76</xdr:row>
          <xdr:rowOff>219075</xdr:rowOff>
        </xdr:to>
        <xdr:sp macro="" textlink="">
          <xdr:nvSpPr>
            <xdr:cNvPr id="2457" name="Object 409" hidden="1">
              <a:extLst>
                <a:ext uri="{63B3BB69-23CF-44E3-9099-C40C66FF867C}">
                  <a14:compatExt spid="_x0000_s2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24</xdr:row>
          <xdr:rowOff>19050</xdr:rowOff>
        </xdr:from>
        <xdr:to>
          <xdr:col>4</xdr:col>
          <xdr:colOff>0</xdr:colOff>
          <xdr:row>25</xdr:row>
          <xdr:rowOff>0</xdr:rowOff>
        </xdr:to>
        <xdr:sp macro="" textlink="">
          <xdr:nvSpPr>
            <xdr:cNvPr id="2458" name="Object 410" hidden="1">
              <a:extLst>
                <a:ext uri="{63B3BB69-23CF-44E3-9099-C40C66FF867C}">
                  <a14:compatExt spid="_x0000_s2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47</xdr:row>
          <xdr:rowOff>19050</xdr:rowOff>
        </xdr:from>
        <xdr:to>
          <xdr:col>4</xdr:col>
          <xdr:colOff>142875</xdr:colOff>
          <xdr:row>48</xdr:row>
          <xdr:rowOff>0</xdr:rowOff>
        </xdr:to>
        <xdr:sp macro="" textlink="">
          <xdr:nvSpPr>
            <xdr:cNvPr id="2460" name="Object 412" hidden="1">
              <a:extLst>
                <a:ext uri="{63B3BB69-23CF-44E3-9099-C40C66FF867C}">
                  <a14:compatExt spid="_x0000_s2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73</xdr:row>
          <xdr:rowOff>57150</xdr:rowOff>
        </xdr:from>
        <xdr:to>
          <xdr:col>13</xdr:col>
          <xdr:colOff>85725</xdr:colOff>
          <xdr:row>74</xdr:row>
          <xdr:rowOff>209550</xdr:rowOff>
        </xdr:to>
        <xdr:sp macro="" textlink="">
          <xdr:nvSpPr>
            <xdr:cNvPr id="2461" name="Object 413" hidden="1">
              <a:extLst>
                <a:ext uri="{63B3BB69-23CF-44E3-9099-C40C66FF867C}">
                  <a14:compatExt spid="_x0000_s2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101</xdr:row>
          <xdr:rowOff>57150</xdr:rowOff>
        </xdr:from>
        <xdr:to>
          <xdr:col>12</xdr:col>
          <xdr:colOff>0</xdr:colOff>
          <xdr:row>102</xdr:row>
          <xdr:rowOff>200025</xdr:rowOff>
        </xdr:to>
        <xdr:sp macro="" textlink="">
          <xdr:nvSpPr>
            <xdr:cNvPr id="2462" name="Object 414" hidden="1">
              <a:extLst>
                <a:ext uri="{63B3BB69-23CF-44E3-9099-C40C66FF867C}">
                  <a14:compatExt spid="_x0000_s2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31</xdr:col>
      <xdr:colOff>28575</xdr:colOff>
      <xdr:row>106</xdr:row>
      <xdr:rowOff>28575</xdr:rowOff>
    </xdr:from>
    <xdr:to>
      <xdr:col>32</xdr:col>
      <xdr:colOff>19050</xdr:colOff>
      <xdr:row>106</xdr:row>
      <xdr:rowOff>219075</xdr:rowOff>
    </xdr:to>
    <xdr:pic>
      <xdr:nvPicPr>
        <xdr:cNvPr id="67" name="Picture 38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52975" y="25193625"/>
          <a:ext cx="14287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206</xdr:row>
          <xdr:rowOff>9525</xdr:rowOff>
        </xdr:from>
        <xdr:to>
          <xdr:col>8</xdr:col>
          <xdr:colOff>142875</xdr:colOff>
          <xdr:row>208</xdr:row>
          <xdr:rowOff>180975</xdr:rowOff>
        </xdr:to>
        <xdr:sp macro="" textlink="">
          <xdr:nvSpPr>
            <xdr:cNvPr id="2463" name="Object 415" hidden="1">
              <a:extLst>
                <a:ext uri="{63B3BB69-23CF-44E3-9099-C40C66FF867C}">
                  <a14:compatExt spid="_x0000_s2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47625</xdr:colOff>
          <xdr:row>207</xdr:row>
          <xdr:rowOff>0</xdr:rowOff>
        </xdr:from>
        <xdr:to>
          <xdr:col>18</xdr:col>
          <xdr:colOff>19050</xdr:colOff>
          <xdr:row>207</xdr:row>
          <xdr:rowOff>219075</xdr:rowOff>
        </xdr:to>
        <xdr:sp macro="" textlink="">
          <xdr:nvSpPr>
            <xdr:cNvPr id="2464" name="Object 416" hidden="1">
              <a:extLst>
                <a:ext uri="{63B3BB69-23CF-44E3-9099-C40C66FF867C}">
                  <a14:compatExt spid="_x0000_s2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47625</xdr:colOff>
          <xdr:row>207</xdr:row>
          <xdr:rowOff>9525</xdr:rowOff>
        </xdr:from>
        <xdr:to>
          <xdr:col>12</xdr:col>
          <xdr:colOff>133350</xdr:colOff>
          <xdr:row>207</xdr:row>
          <xdr:rowOff>228600</xdr:rowOff>
        </xdr:to>
        <xdr:sp macro="" textlink="">
          <xdr:nvSpPr>
            <xdr:cNvPr id="2465" name="Object 417" hidden="1">
              <a:extLst>
                <a:ext uri="{63B3BB69-23CF-44E3-9099-C40C66FF867C}">
                  <a14:compatExt spid="_x0000_s2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57150</xdr:colOff>
          <xdr:row>207</xdr:row>
          <xdr:rowOff>0</xdr:rowOff>
        </xdr:from>
        <xdr:to>
          <xdr:col>27</xdr:col>
          <xdr:colOff>142875</xdr:colOff>
          <xdr:row>207</xdr:row>
          <xdr:rowOff>219075</xdr:rowOff>
        </xdr:to>
        <xdr:sp macro="" textlink="">
          <xdr:nvSpPr>
            <xdr:cNvPr id="2466" name="Object 418" hidden="1">
              <a:extLst>
                <a:ext uri="{63B3BB69-23CF-44E3-9099-C40C66FF867C}">
                  <a14:compatExt spid="_x0000_s2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57150</xdr:colOff>
          <xdr:row>207</xdr:row>
          <xdr:rowOff>0</xdr:rowOff>
        </xdr:from>
        <xdr:to>
          <xdr:col>22</xdr:col>
          <xdr:colOff>142875</xdr:colOff>
          <xdr:row>207</xdr:row>
          <xdr:rowOff>219075</xdr:rowOff>
        </xdr:to>
        <xdr:sp macro="" textlink="">
          <xdr:nvSpPr>
            <xdr:cNvPr id="2467" name="Object 419" hidden="1">
              <a:extLst>
                <a:ext uri="{63B3BB69-23CF-44E3-9099-C40C66FF867C}">
                  <a14:compatExt spid="_x0000_s2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57150</xdr:colOff>
          <xdr:row>207</xdr:row>
          <xdr:rowOff>0</xdr:rowOff>
        </xdr:from>
        <xdr:to>
          <xdr:col>37</xdr:col>
          <xdr:colOff>142875</xdr:colOff>
          <xdr:row>207</xdr:row>
          <xdr:rowOff>219075</xdr:rowOff>
        </xdr:to>
        <xdr:sp macro="" textlink="">
          <xdr:nvSpPr>
            <xdr:cNvPr id="2468" name="Object 420" hidden="1">
              <a:extLst>
                <a:ext uri="{63B3BB69-23CF-44E3-9099-C40C66FF867C}">
                  <a14:compatExt spid="_x0000_s2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123825</xdr:colOff>
          <xdr:row>206</xdr:row>
          <xdr:rowOff>0</xdr:rowOff>
        </xdr:from>
        <xdr:to>
          <xdr:col>30</xdr:col>
          <xdr:colOff>57150</xdr:colOff>
          <xdr:row>206</xdr:row>
          <xdr:rowOff>219075</xdr:rowOff>
        </xdr:to>
        <xdr:sp macro="" textlink="">
          <xdr:nvSpPr>
            <xdr:cNvPr id="2469" name="Object 421" hidden="1">
              <a:extLst>
                <a:ext uri="{63B3BB69-23CF-44E3-9099-C40C66FF867C}">
                  <a14:compatExt spid="_x0000_s2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</xdr:colOff>
          <xdr:row>117</xdr:row>
          <xdr:rowOff>57150</xdr:rowOff>
        </xdr:from>
        <xdr:to>
          <xdr:col>15</xdr:col>
          <xdr:colOff>66675</xdr:colOff>
          <xdr:row>118</xdr:row>
          <xdr:rowOff>171450</xdr:rowOff>
        </xdr:to>
        <xdr:sp macro="" textlink="">
          <xdr:nvSpPr>
            <xdr:cNvPr id="2470" name="Object 422" hidden="1">
              <a:extLst>
                <a:ext uri="{63B3BB69-23CF-44E3-9099-C40C66FF867C}">
                  <a14:compatExt spid="_x0000_s2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9525</xdr:colOff>
          <xdr:row>109</xdr:row>
          <xdr:rowOff>85725</xdr:rowOff>
        </xdr:from>
        <xdr:to>
          <xdr:col>30</xdr:col>
          <xdr:colOff>142875</xdr:colOff>
          <xdr:row>110</xdr:row>
          <xdr:rowOff>161925</xdr:rowOff>
        </xdr:to>
        <xdr:sp macro="" textlink="">
          <xdr:nvSpPr>
            <xdr:cNvPr id="2471" name="Object 423" hidden="1">
              <a:extLst>
                <a:ext uri="{63B3BB69-23CF-44E3-9099-C40C66FF867C}">
                  <a14:compatExt spid="_x0000_s2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133350</xdr:colOff>
          <xdr:row>112</xdr:row>
          <xdr:rowOff>28575</xdr:rowOff>
        </xdr:from>
        <xdr:to>
          <xdr:col>29</xdr:col>
          <xdr:colOff>28575</xdr:colOff>
          <xdr:row>112</xdr:row>
          <xdr:rowOff>219075</xdr:rowOff>
        </xdr:to>
        <xdr:sp macro="" textlink="">
          <xdr:nvSpPr>
            <xdr:cNvPr id="2472" name="Object 424" hidden="1">
              <a:extLst>
                <a:ext uri="{63B3BB69-23CF-44E3-9099-C40C66FF867C}">
                  <a14:compatExt spid="_x0000_s2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114</xdr:row>
          <xdr:rowOff>47625</xdr:rowOff>
        </xdr:from>
        <xdr:to>
          <xdr:col>25</xdr:col>
          <xdr:colOff>114300</xdr:colOff>
          <xdr:row>115</xdr:row>
          <xdr:rowOff>152400</xdr:rowOff>
        </xdr:to>
        <xdr:sp macro="" textlink="">
          <xdr:nvSpPr>
            <xdr:cNvPr id="2473" name="Object 425" hidden="1">
              <a:extLst>
                <a:ext uri="{63B3BB69-23CF-44E3-9099-C40C66FF867C}">
                  <a14:compatExt spid="_x0000_s2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134</xdr:row>
          <xdr:rowOff>57150</xdr:rowOff>
        </xdr:from>
        <xdr:to>
          <xdr:col>15</xdr:col>
          <xdr:colOff>9525</xdr:colOff>
          <xdr:row>135</xdr:row>
          <xdr:rowOff>171450</xdr:rowOff>
        </xdr:to>
        <xdr:sp macro="" textlink="">
          <xdr:nvSpPr>
            <xdr:cNvPr id="2474" name="Object 426" hidden="1">
              <a:extLst>
                <a:ext uri="{63B3BB69-23CF-44E3-9099-C40C66FF867C}">
                  <a14:compatExt spid="_x0000_s2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</xdr:colOff>
          <xdr:row>148</xdr:row>
          <xdr:rowOff>57150</xdr:rowOff>
        </xdr:from>
        <xdr:to>
          <xdr:col>15</xdr:col>
          <xdr:colOff>133350</xdr:colOff>
          <xdr:row>149</xdr:row>
          <xdr:rowOff>171450</xdr:rowOff>
        </xdr:to>
        <xdr:sp macro="" textlink="">
          <xdr:nvSpPr>
            <xdr:cNvPr id="2475" name="Object 427" hidden="1">
              <a:extLst>
                <a:ext uri="{63B3BB69-23CF-44E3-9099-C40C66FF867C}">
                  <a14:compatExt spid="_x0000_s2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165</xdr:row>
          <xdr:rowOff>57150</xdr:rowOff>
        </xdr:from>
        <xdr:to>
          <xdr:col>15</xdr:col>
          <xdr:colOff>95250</xdr:colOff>
          <xdr:row>166</xdr:row>
          <xdr:rowOff>171450</xdr:rowOff>
        </xdr:to>
        <xdr:sp macro="" textlink="">
          <xdr:nvSpPr>
            <xdr:cNvPr id="2476" name="Object 428" hidden="1">
              <a:extLst>
                <a:ext uri="{63B3BB69-23CF-44E3-9099-C40C66FF867C}">
                  <a14:compatExt spid="_x0000_s2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152400</xdr:colOff>
          <xdr:row>145</xdr:row>
          <xdr:rowOff>228600</xdr:rowOff>
        </xdr:from>
        <xdr:to>
          <xdr:col>29</xdr:col>
          <xdr:colOff>76200</xdr:colOff>
          <xdr:row>146</xdr:row>
          <xdr:rowOff>209550</xdr:rowOff>
        </xdr:to>
        <xdr:sp macro="" textlink="">
          <xdr:nvSpPr>
            <xdr:cNvPr id="2477" name="Object 429" hidden="1">
              <a:extLst>
                <a:ext uri="{63B3BB69-23CF-44E3-9099-C40C66FF867C}">
                  <a14:compatExt spid="_x0000_s2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0</xdr:colOff>
          <xdr:row>106</xdr:row>
          <xdr:rowOff>219075</xdr:rowOff>
        </xdr:from>
        <xdr:to>
          <xdr:col>27</xdr:col>
          <xdr:colOff>47625</xdr:colOff>
          <xdr:row>108</xdr:row>
          <xdr:rowOff>0</xdr:rowOff>
        </xdr:to>
        <xdr:sp macro="" textlink="">
          <xdr:nvSpPr>
            <xdr:cNvPr id="2478" name="Object 430" hidden="1">
              <a:extLst>
                <a:ext uri="{63B3BB69-23CF-44E3-9099-C40C66FF867C}">
                  <a14:compatExt spid="_x0000_s2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199</xdr:row>
          <xdr:rowOff>9525</xdr:rowOff>
        </xdr:from>
        <xdr:to>
          <xdr:col>10</xdr:col>
          <xdr:colOff>85725</xdr:colOff>
          <xdr:row>199</xdr:row>
          <xdr:rowOff>228600</xdr:rowOff>
        </xdr:to>
        <xdr:sp macro="" textlink="">
          <xdr:nvSpPr>
            <xdr:cNvPr id="2479" name="Object 431" hidden="1">
              <a:extLst>
                <a:ext uri="{63B3BB69-23CF-44E3-9099-C40C66FF867C}">
                  <a14:compatExt spid="_x0000_s2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28575</xdr:colOff>
          <xdr:row>132</xdr:row>
          <xdr:rowOff>9525</xdr:rowOff>
        </xdr:from>
        <xdr:to>
          <xdr:col>15</xdr:col>
          <xdr:colOff>104775</xdr:colOff>
          <xdr:row>132</xdr:row>
          <xdr:rowOff>228600</xdr:rowOff>
        </xdr:to>
        <xdr:sp macro="" textlink="">
          <xdr:nvSpPr>
            <xdr:cNvPr id="2480" name="Object 432" hidden="1">
              <a:extLst>
                <a:ext uri="{63B3BB69-23CF-44E3-9099-C40C66FF867C}">
                  <a14:compatExt spid="_x0000_s2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47625</xdr:colOff>
          <xdr:row>207</xdr:row>
          <xdr:rowOff>0</xdr:rowOff>
        </xdr:from>
        <xdr:to>
          <xdr:col>32</xdr:col>
          <xdr:colOff>133350</xdr:colOff>
          <xdr:row>207</xdr:row>
          <xdr:rowOff>219075</xdr:rowOff>
        </xdr:to>
        <xdr:sp macro="" textlink="">
          <xdr:nvSpPr>
            <xdr:cNvPr id="2481" name="Object 433" hidden="1">
              <a:extLst>
                <a:ext uri="{63B3BB69-23CF-44E3-9099-C40C66FF867C}">
                  <a14:compatExt spid="_x0000_s2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9525</xdr:colOff>
          <xdr:row>189</xdr:row>
          <xdr:rowOff>19050</xdr:rowOff>
        </xdr:from>
        <xdr:to>
          <xdr:col>15</xdr:col>
          <xdr:colOff>123825</xdr:colOff>
          <xdr:row>189</xdr:row>
          <xdr:rowOff>209550</xdr:rowOff>
        </xdr:to>
        <xdr:sp macro="" textlink="">
          <xdr:nvSpPr>
            <xdr:cNvPr id="2483" name="Object 435" hidden="1">
              <a:extLst>
                <a:ext uri="{63B3BB69-23CF-44E3-9099-C40C66FF867C}">
                  <a14:compatExt spid="_x0000_s2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</xdr:colOff>
          <xdr:row>176</xdr:row>
          <xdr:rowOff>19050</xdr:rowOff>
        </xdr:from>
        <xdr:to>
          <xdr:col>17</xdr:col>
          <xdr:colOff>0</xdr:colOff>
          <xdr:row>176</xdr:row>
          <xdr:rowOff>209550</xdr:rowOff>
        </xdr:to>
        <xdr:sp macro="" textlink="">
          <xdr:nvSpPr>
            <xdr:cNvPr id="2485" name="Object 437" hidden="1">
              <a:extLst>
                <a:ext uri="{63B3BB69-23CF-44E3-9099-C40C66FF867C}">
                  <a14:compatExt spid="_x0000_s2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176</xdr:row>
          <xdr:rowOff>19050</xdr:rowOff>
        </xdr:from>
        <xdr:to>
          <xdr:col>21</xdr:col>
          <xdr:colOff>123825</xdr:colOff>
          <xdr:row>176</xdr:row>
          <xdr:rowOff>209550</xdr:rowOff>
        </xdr:to>
        <xdr:sp macro="" textlink="">
          <xdr:nvSpPr>
            <xdr:cNvPr id="2486" name="Object 438" hidden="1">
              <a:extLst>
                <a:ext uri="{63B3BB69-23CF-44E3-9099-C40C66FF867C}">
                  <a14:compatExt spid="_x0000_s2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57150</xdr:colOff>
          <xdr:row>207</xdr:row>
          <xdr:rowOff>0</xdr:rowOff>
        </xdr:from>
        <xdr:to>
          <xdr:col>42</xdr:col>
          <xdr:colOff>142875</xdr:colOff>
          <xdr:row>207</xdr:row>
          <xdr:rowOff>219075</xdr:rowOff>
        </xdr:to>
        <xdr:sp macro="" textlink="">
          <xdr:nvSpPr>
            <xdr:cNvPr id="2487" name="Object 439" hidden="1">
              <a:extLst>
                <a:ext uri="{63B3BB69-23CF-44E3-9099-C40C66FF867C}">
                  <a14:compatExt spid="_x0000_s2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44</xdr:col>
          <xdr:colOff>57150</xdr:colOff>
          <xdr:row>207</xdr:row>
          <xdr:rowOff>0</xdr:rowOff>
        </xdr:from>
        <xdr:to>
          <xdr:col>47</xdr:col>
          <xdr:colOff>142875</xdr:colOff>
          <xdr:row>207</xdr:row>
          <xdr:rowOff>219075</xdr:rowOff>
        </xdr:to>
        <xdr:sp macro="" textlink="">
          <xdr:nvSpPr>
            <xdr:cNvPr id="2488" name="Object 440" hidden="1">
              <a:extLst>
                <a:ext uri="{63B3BB69-23CF-44E3-9099-C40C66FF867C}">
                  <a14:compatExt spid="_x0000_s2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137</xdr:row>
          <xdr:rowOff>28575</xdr:rowOff>
        </xdr:from>
        <xdr:to>
          <xdr:col>19</xdr:col>
          <xdr:colOff>133350</xdr:colOff>
          <xdr:row>138</xdr:row>
          <xdr:rowOff>180975</xdr:rowOff>
        </xdr:to>
        <xdr:sp macro="" textlink="">
          <xdr:nvSpPr>
            <xdr:cNvPr id="2489" name="Object 441" hidden="1">
              <a:extLst>
                <a:ext uri="{63B3BB69-23CF-44E3-9099-C40C66FF867C}">
                  <a14:compatExt spid="_x0000_s2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</xdr:colOff>
          <xdr:row>163</xdr:row>
          <xdr:rowOff>9525</xdr:rowOff>
        </xdr:from>
        <xdr:to>
          <xdr:col>15</xdr:col>
          <xdr:colOff>114300</xdr:colOff>
          <xdr:row>163</xdr:row>
          <xdr:rowOff>228600</xdr:rowOff>
        </xdr:to>
        <xdr:sp macro="" textlink="">
          <xdr:nvSpPr>
            <xdr:cNvPr id="2490" name="Object 442" hidden="1">
              <a:extLst>
                <a:ext uri="{63B3BB69-23CF-44E3-9099-C40C66FF867C}">
                  <a14:compatExt spid="_x0000_s2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168</xdr:row>
          <xdr:rowOff>28575</xdr:rowOff>
        </xdr:from>
        <xdr:to>
          <xdr:col>19</xdr:col>
          <xdr:colOff>95250</xdr:colOff>
          <xdr:row>169</xdr:row>
          <xdr:rowOff>180975</xdr:rowOff>
        </xdr:to>
        <xdr:sp macro="" textlink="">
          <xdr:nvSpPr>
            <xdr:cNvPr id="2491" name="Object 443" hidden="1">
              <a:extLst>
                <a:ext uri="{63B3BB69-23CF-44E3-9099-C40C66FF867C}">
                  <a14:compatExt spid="_x0000_s2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194</xdr:row>
          <xdr:rowOff>28575</xdr:rowOff>
        </xdr:from>
        <xdr:to>
          <xdr:col>20</xdr:col>
          <xdr:colOff>47625</xdr:colOff>
          <xdr:row>195</xdr:row>
          <xdr:rowOff>180975</xdr:rowOff>
        </xdr:to>
        <xdr:sp macro="" textlink="">
          <xdr:nvSpPr>
            <xdr:cNvPr id="2493" name="Object 445" hidden="1">
              <a:extLst>
                <a:ext uri="{63B3BB69-23CF-44E3-9099-C40C66FF867C}">
                  <a14:compatExt spid="_x0000_s2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19050</xdr:colOff>
          <xdr:row>199</xdr:row>
          <xdr:rowOff>9525</xdr:rowOff>
        </xdr:from>
        <xdr:to>
          <xdr:col>17</xdr:col>
          <xdr:colOff>85725</xdr:colOff>
          <xdr:row>199</xdr:row>
          <xdr:rowOff>228600</xdr:rowOff>
        </xdr:to>
        <xdr:sp macro="" textlink="">
          <xdr:nvSpPr>
            <xdr:cNvPr id="2495" name="Object 447" hidden="1">
              <a:extLst>
                <a:ext uri="{63B3BB69-23CF-44E3-9099-C40C66FF867C}">
                  <a14:compatExt spid="_x0000_s2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19050</xdr:colOff>
          <xdr:row>199</xdr:row>
          <xdr:rowOff>9525</xdr:rowOff>
        </xdr:from>
        <xdr:to>
          <xdr:col>24</xdr:col>
          <xdr:colOff>85725</xdr:colOff>
          <xdr:row>199</xdr:row>
          <xdr:rowOff>228600</xdr:rowOff>
        </xdr:to>
        <xdr:sp macro="" textlink="">
          <xdr:nvSpPr>
            <xdr:cNvPr id="2496" name="Object 448" hidden="1">
              <a:extLst>
                <a:ext uri="{63B3BB69-23CF-44E3-9099-C40C66FF867C}">
                  <a14:compatExt spid="_x0000_s2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19050</xdr:colOff>
          <xdr:row>199</xdr:row>
          <xdr:rowOff>9525</xdr:rowOff>
        </xdr:from>
        <xdr:to>
          <xdr:col>31</xdr:col>
          <xdr:colOff>85725</xdr:colOff>
          <xdr:row>199</xdr:row>
          <xdr:rowOff>228600</xdr:rowOff>
        </xdr:to>
        <xdr:sp macro="" textlink="">
          <xdr:nvSpPr>
            <xdr:cNvPr id="2497" name="Object 449" hidden="1">
              <a:extLst>
                <a:ext uri="{63B3BB69-23CF-44E3-9099-C40C66FF867C}">
                  <a14:compatExt spid="_x0000_s2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19050</xdr:colOff>
          <xdr:row>199</xdr:row>
          <xdr:rowOff>9525</xdr:rowOff>
        </xdr:from>
        <xdr:to>
          <xdr:col>38</xdr:col>
          <xdr:colOff>85725</xdr:colOff>
          <xdr:row>199</xdr:row>
          <xdr:rowOff>228600</xdr:rowOff>
        </xdr:to>
        <xdr:sp macro="" textlink="">
          <xdr:nvSpPr>
            <xdr:cNvPr id="2498" name="Object 450" hidden="1">
              <a:extLst>
                <a:ext uri="{63B3BB69-23CF-44E3-9099-C40C66FF867C}">
                  <a14:compatExt spid="_x0000_s2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200</xdr:row>
          <xdr:rowOff>9525</xdr:rowOff>
        </xdr:from>
        <xdr:to>
          <xdr:col>12</xdr:col>
          <xdr:colOff>85725</xdr:colOff>
          <xdr:row>200</xdr:row>
          <xdr:rowOff>228600</xdr:rowOff>
        </xdr:to>
        <xdr:sp macro="" textlink="">
          <xdr:nvSpPr>
            <xdr:cNvPr id="2499" name="Object 451" hidden="1">
              <a:extLst>
                <a:ext uri="{63B3BB69-23CF-44E3-9099-C40C66FF867C}">
                  <a14:compatExt spid="_x0000_s2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19050</xdr:colOff>
          <xdr:row>200</xdr:row>
          <xdr:rowOff>9525</xdr:rowOff>
        </xdr:from>
        <xdr:to>
          <xdr:col>19</xdr:col>
          <xdr:colOff>85725</xdr:colOff>
          <xdr:row>200</xdr:row>
          <xdr:rowOff>228600</xdr:rowOff>
        </xdr:to>
        <xdr:sp macro="" textlink="">
          <xdr:nvSpPr>
            <xdr:cNvPr id="2500" name="Object 452" hidden="1">
              <a:extLst>
                <a:ext uri="{63B3BB69-23CF-44E3-9099-C40C66FF867C}">
                  <a14:compatExt spid="_x0000_s2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19050</xdr:colOff>
          <xdr:row>200</xdr:row>
          <xdr:rowOff>9525</xdr:rowOff>
        </xdr:from>
        <xdr:to>
          <xdr:col>26</xdr:col>
          <xdr:colOff>85725</xdr:colOff>
          <xdr:row>200</xdr:row>
          <xdr:rowOff>228600</xdr:rowOff>
        </xdr:to>
        <xdr:sp macro="" textlink="">
          <xdr:nvSpPr>
            <xdr:cNvPr id="2501" name="Object 453" hidden="1">
              <a:extLst>
                <a:ext uri="{63B3BB69-23CF-44E3-9099-C40C66FF867C}">
                  <a14:compatExt spid="_x0000_s2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201</xdr:row>
          <xdr:rowOff>9525</xdr:rowOff>
        </xdr:from>
        <xdr:to>
          <xdr:col>10</xdr:col>
          <xdr:colOff>85725</xdr:colOff>
          <xdr:row>201</xdr:row>
          <xdr:rowOff>228600</xdr:rowOff>
        </xdr:to>
        <xdr:sp macro="" textlink="">
          <xdr:nvSpPr>
            <xdr:cNvPr id="2502" name="Object 454" hidden="1">
              <a:extLst>
                <a:ext uri="{63B3BB69-23CF-44E3-9099-C40C66FF867C}">
                  <a14:compatExt spid="_x0000_s2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28575</xdr:colOff>
          <xdr:row>99</xdr:row>
          <xdr:rowOff>9525</xdr:rowOff>
        </xdr:from>
        <xdr:to>
          <xdr:col>15</xdr:col>
          <xdr:colOff>85725</xdr:colOff>
          <xdr:row>99</xdr:row>
          <xdr:rowOff>209550</xdr:rowOff>
        </xdr:to>
        <xdr:sp macro="" textlink="">
          <xdr:nvSpPr>
            <xdr:cNvPr id="2503" name="Object 455" hidden="1">
              <a:extLst>
                <a:ext uri="{63B3BB69-23CF-44E3-9099-C40C66FF867C}">
                  <a14:compatExt spid="_x0000_s2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123825</xdr:colOff>
          <xdr:row>99</xdr:row>
          <xdr:rowOff>0</xdr:rowOff>
        </xdr:from>
        <xdr:to>
          <xdr:col>20</xdr:col>
          <xdr:colOff>85725</xdr:colOff>
          <xdr:row>99</xdr:row>
          <xdr:rowOff>200025</xdr:rowOff>
        </xdr:to>
        <xdr:sp macro="" textlink="">
          <xdr:nvSpPr>
            <xdr:cNvPr id="2504" name="Object 456" hidden="1">
              <a:extLst>
                <a:ext uri="{63B3BB69-23CF-44E3-9099-C40C66FF867C}">
                  <a14:compatExt spid="_x0000_s2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57</xdr:row>
          <xdr:rowOff>209550</xdr:rowOff>
        </xdr:from>
        <xdr:to>
          <xdr:col>22</xdr:col>
          <xdr:colOff>142875</xdr:colOff>
          <xdr:row>59</xdr:row>
          <xdr:rowOff>9525</xdr:rowOff>
        </xdr:to>
        <xdr:sp macro="" textlink="">
          <xdr:nvSpPr>
            <xdr:cNvPr id="2505" name="Object 457" hidden="1">
              <a:extLst>
                <a:ext uri="{63B3BB69-23CF-44E3-9099-C40C66FF867C}">
                  <a14:compatExt spid="_x0000_s2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60</xdr:row>
          <xdr:rowOff>57150</xdr:rowOff>
        </xdr:from>
        <xdr:to>
          <xdr:col>14</xdr:col>
          <xdr:colOff>9525</xdr:colOff>
          <xdr:row>61</xdr:row>
          <xdr:rowOff>200025</xdr:rowOff>
        </xdr:to>
        <xdr:sp macro="" textlink="">
          <xdr:nvSpPr>
            <xdr:cNvPr id="2506" name="Object 458" hidden="1">
              <a:extLst>
                <a:ext uri="{63B3BB69-23CF-44E3-9099-C40C66FF867C}">
                  <a14:compatExt spid="_x0000_s2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38100</xdr:colOff>
          <xdr:row>57</xdr:row>
          <xdr:rowOff>209550</xdr:rowOff>
        </xdr:from>
        <xdr:to>
          <xdr:col>32</xdr:col>
          <xdr:colOff>0</xdr:colOff>
          <xdr:row>58</xdr:row>
          <xdr:rowOff>228600</xdr:rowOff>
        </xdr:to>
        <xdr:sp macro="" textlink="">
          <xdr:nvSpPr>
            <xdr:cNvPr id="2507" name="Object 459" hidden="1">
              <a:extLst>
                <a:ext uri="{63B3BB69-23CF-44E3-9099-C40C66FF867C}">
                  <a14:compatExt spid="_x0000_s2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84</xdr:row>
          <xdr:rowOff>57150</xdr:rowOff>
        </xdr:from>
        <xdr:to>
          <xdr:col>14</xdr:col>
          <xdr:colOff>95250</xdr:colOff>
          <xdr:row>85</xdr:row>
          <xdr:rowOff>209550</xdr:rowOff>
        </xdr:to>
        <xdr:sp macro="" textlink="">
          <xdr:nvSpPr>
            <xdr:cNvPr id="2508" name="Object 460" hidden="1">
              <a:extLst>
                <a:ext uri="{63B3BB69-23CF-44E3-9099-C40C66FF867C}">
                  <a14:compatExt spid="_x0000_s2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123825</xdr:colOff>
          <xdr:row>82</xdr:row>
          <xdr:rowOff>28575</xdr:rowOff>
        </xdr:from>
        <xdr:to>
          <xdr:col>17</xdr:col>
          <xdr:colOff>19050</xdr:colOff>
          <xdr:row>82</xdr:row>
          <xdr:rowOff>228600</xdr:rowOff>
        </xdr:to>
        <xdr:sp macro="" textlink="">
          <xdr:nvSpPr>
            <xdr:cNvPr id="2509" name="Object 461" hidden="1">
              <a:extLst>
                <a:ext uri="{63B3BB69-23CF-44E3-9099-C40C66FF867C}">
                  <a14:compatExt spid="_x0000_s2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87</xdr:row>
          <xdr:rowOff>47625</xdr:rowOff>
        </xdr:from>
        <xdr:to>
          <xdr:col>19</xdr:col>
          <xdr:colOff>133350</xdr:colOff>
          <xdr:row>88</xdr:row>
          <xdr:rowOff>200025</xdr:rowOff>
        </xdr:to>
        <xdr:sp macro="" textlink="">
          <xdr:nvSpPr>
            <xdr:cNvPr id="2510" name="Object 462" hidden="1">
              <a:extLst>
                <a:ext uri="{63B3BB69-23CF-44E3-9099-C40C66FF867C}">
                  <a14:compatExt spid="_x0000_s2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38100</xdr:colOff>
          <xdr:row>62</xdr:row>
          <xdr:rowOff>228600</xdr:rowOff>
        </xdr:from>
        <xdr:to>
          <xdr:col>18</xdr:col>
          <xdr:colOff>28575</xdr:colOff>
          <xdr:row>63</xdr:row>
          <xdr:rowOff>228600</xdr:rowOff>
        </xdr:to>
        <xdr:sp macro="" textlink="">
          <xdr:nvSpPr>
            <xdr:cNvPr id="2511" name="Object 463" hidden="1">
              <a:extLst>
                <a:ext uri="{63B3BB69-23CF-44E3-9099-C40C66FF867C}">
                  <a14:compatExt spid="_x0000_s2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114300</xdr:colOff>
          <xdr:row>63</xdr:row>
          <xdr:rowOff>228600</xdr:rowOff>
        </xdr:from>
        <xdr:to>
          <xdr:col>15</xdr:col>
          <xdr:colOff>104775</xdr:colOff>
          <xdr:row>64</xdr:row>
          <xdr:rowOff>228600</xdr:rowOff>
        </xdr:to>
        <xdr:sp macro="" textlink="">
          <xdr:nvSpPr>
            <xdr:cNvPr id="2512" name="Object 464" hidden="1">
              <a:extLst>
                <a:ext uri="{63B3BB69-23CF-44E3-9099-C40C66FF867C}">
                  <a14:compatExt spid="_x0000_s2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123825</xdr:colOff>
          <xdr:row>63</xdr:row>
          <xdr:rowOff>228600</xdr:rowOff>
        </xdr:from>
        <xdr:to>
          <xdr:col>19</xdr:col>
          <xdr:colOff>114300</xdr:colOff>
          <xdr:row>64</xdr:row>
          <xdr:rowOff>228600</xdr:rowOff>
        </xdr:to>
        <xdr:sp macro="" textlink="">
          <xdr:nvSpPr>
            <xdr:cNvPr id="2513" name="Object 465" hidden="1">
              <a:extLst>
                <a:ext uri="{63B3BB69-23CF-44E3-9099-C40C66FF867C}">
                  <a14:compatExt spid="_x0000_s2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</xdr:colOff>
          <xdr:row>123</xdr:row>
          <xdr:rowOff>28575</xdr:rowOff>
        </xdr:from>
        <xdr:to>
          <xdr:col>26</xdr:col>
          <xdr:colOff>133350</xdr:colOff>
          <xdr:row>125</xdr:row>
          <xdr:rowOff>123825</xdr:rowOff>
        </xdr:to>
        <xdr:sp macro="" textlink="">
          <xdr:nvSpPr>
            <xdr:cNvPr id="2514" name="Object 466" hidden="1">
              <a:extLst>
                <a:ext uri="{63B3BB69-23CF-44E3-9099-C40C66FF867C}">
                  <a14:compatExt spid="_x0000_s25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9525</xdr:colOff>
          <xdr:row>121</xdr:row>
          <xdr:rowOff>28575</xdr:rowOff>
        </xdr:from>
        <xdr:to>
          <xdr:col>23</xdr:col>
          <xdr:colOff>123825</xdr:colOff>
          <xdr:row>122</xdr:row>
          <xdr:rowOff>219075</xdr:rowOff>
        </xdr:to>
        <xdr:sp macro="" textlink="">
          <xdr:nvSpPr>
            <xdr:cNvPr id="2515" name="Object 467" hidden="1">
              <a:extLst>
                <a:ext uri="{63B3BB69-23CF-44E3-9099-C40C66FF867C}">
                  <a14:compatExt spid="_x0000_s25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38100</xdr:colOff>
          <xdr:row>154</xdr:row>
          <xdr:rowOff>38100</xdr:rowOff>
        </xdr:from>
        <xdr:to>
          <xdr:col>23</xdr:col>
          <xdr:colOff>85725</xdr:colOff>
          <xdr:row>156</xdr:row>
          <xdr:rowOff>142875</xdr:rowOff>
        </xdr:to>
        <xdr:sp macro="" textlink="">
          <xdr:nvSpPr>
            <xdr:cNvPr id="2516" name="Object 468" hidden="1">
              <a:extLst>
                <a:ext uri="{63B3BB69-23CF-44E3-9099-C40C66FF867C}">
                  <a14:compatExt spid="_x0000_s25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38100</xdr:colOff>
          <xdr:row>152</xdr:row>
          <xdr:rowOff>19050</xdr:rowOff>
        </xdr:from>
        <xdr:to>
          <xdr:col>24</xdr:col>
          <xdr:colOff>9525</xdr:colOff>
          <xdr:row>153</xdr:row>
          <xdr:rowOff>219075</xdr:rowOff>
        </xdr:to>
        <xdr:sp macro="" textlink="">
          <xdr:nvSpPr>
            <xdr:cNvPr id="2517" name="Object 469" hidden="1">
              <a:extLst>
                <a:ext uri="{63B3BB69-23CF-44E3-9099-C40C66FF867C}">
                  <a14:compatExt spid="_x0000_s2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38100</xdr:colOff>
      <xdr:row>198</xdr:row>
      <xdr:rowOff>28575</xdr:rowOff>
    </xdr:from>
    <xdr:to>
      <xdr:col>34</xdr:col>
      <xdr:colOff>57150</xdr:colOff>
      <xdr:row>199</xdr:row>
      <xdr:rowOff>9525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8" name="TextBox 2"/>
            <xdr:cNvSpPr txBox="1">
              <a:spLocks/>
            </xdr:cNvSpPr>
          </xdr:nvSpPr>
          <xdr:spPr>
            <a:xfrm>
              <a:off x="190500" y="47101125"/>
              <a:ext cx="5048250" cy="2190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ko-KR" alt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𝛿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𝑀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8" name="TextBox 2"/>
            <xdr:cNvSpPr txBox="1">
              <a:spLocks/>
            </xdr:cNvSpPr>
          </xdr:nvSpPr>
          <xdr:spPr>
            <a:xfrm>
              <a:off x="190500" y="47101125"/>
              <a:ext cx="5048250" cy="2190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(𝐵_𝑥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=𝑢^2 (𝑙_𝑠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̅)+𝑢^2 (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)+𝑢^2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〖𝑢^2 (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𝑙〗_𝑟)+𝑢^2 (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𝑙_𝑀)</a:t>
              </a:r>
              <a:endParaRPr lang="ko-KR" altLang="en-US" sz="1100"/>
            </a:p>
          </xdr:txBody>
        </xdr:sp>
      </mc:Fallback>
    </mc:AlternateContent>
    <xdr:clientData/>
  </xdr:twoCellAnchor>
  <xdr:oneCellAnchor>
    <xdr:from>
      <xdr:col>1</xdr:col>
      <xdr:colOff>9525</xdr:colOff>
      <xdr:row>18</xdr:row>
      <xdr:rowOff>76200</xdr:rowOff>
    </xdr:from>
    <xdr:ext cx="5207323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9" name="TextBox 68"/>
            <xdr:cNvSpPr txBox="1"/>
          </xdr:nvSpPr>
          <xdr:spPr>
            <a:xfrm>
              <a:off x="161925" y="4524375"/>
              <a:ext cx="5207323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bar>
                          <m:barPr>
                            <m:pos m:val="top"/>
                            <m:ctrlPr>
                              <a:rPr lang="en-US" altLang="ko-KR" sz="2000" b="0" i="1">
                                <a:latin typeface="Cambria Math" panose="02040503050406030204" pitchFamily="18" charset="0"/>
                              </a:rPr>
                            </m:ctrlPr>
                          </m:barPr>
                          <m:e>
                            <m:r>
                              <a:rPr lang="ko-KR" altLang="en-US" sz="20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ba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m:rPr>
                            <m:sty m:val="p"/>
                          </m:rPr>
                          <a:rPr lang="el-GR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Δ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</m:t>
                        </m:r>
                        <m:r>
                          <m:rPr>
                            <m:sty m:val="p"/>
                          </m:rPr>
                          <a:rPr lang="el-GR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Δ</m:t>
                        </m:r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20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20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𝑀</m:t>
                        </m:r>
                      </m:sub>
                    </m:sSub>
                  </m:oMath>
                </m:oMathPara>
              </a14:m>
              <a:endParaRPr lang="ko-KR" altLang="en-US" sz="2000"/>
            </a:p>
          </xdr:txBody>
        </xdr:sp>
      </mc:Choice>
      <mc:Fallback xmlns="">
        <xdr:sp macro="" textlink="">
          <xdr:nvSpPr>
            <xdr:cNvPr id="69" name="TextBox 68"/>
            <xdr:cNvSpPr txBox="1"/>
          </xdr:nvSpPr>
          <xdr:spPr>
            <a:xfrm>
              <a:off x="161925" y="4524375"/>
              <a:ext cx="5207323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2000" b="0" i="0">
                  <a:latin typeface="Cambria Math" panose="02040503050406030204" pitchFamily="18" charset="0"/>
                </a:rPr>
                <a:t>𝐵_𝑥=𝑙_𝑠−𝑙_𝑥−(¯</a:t>
              </a:r>
              <a:r>
                <a:rPr lang="ko-KR" altLang="en-US" sz="20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l-GR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Δ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𝑡+</a:t>
              </a:r>
              <a:r>
                <a:rPr lang="el-GR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Δ</a:t>
              </a:r>
              <a:r>
                <a:rPr lang="ko-KR" alt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ko-KR" alt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𝑡) 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𝑙_0+〖</a:t>
              </a:r>
              <a:r>
                <a:rPr lang="ko-KR" altLang="en-US" sz="20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𝑙〗_𝑟+〖</a:t>
              </a:r>
              <a:r>
                <a:rPr lang="ko-KR" altLang="en-US" sz="20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𝑙〗_𝑀</a:t>
              </a:r>
              <a:endParaRPr lang="ko-KR" altLang="en-US" sz="2000"/>
            </a:p>
          </xdr:txBody>
        </xdr:sp>
      </mc:Fallback>
    </mc:AlternateContent>
    <xdr:clientData/>
  </xdr:oneCellAnchor>
  <xdr:oneCellAnchor>
    <xdr:from>
      <xdr:col>2</xdr:col>
      <xdr:colOff>9525</xdr:colOff>
      <xdr:row>32</xdr:row>
      <xdr:rowOff>38100</xdr:rowOff>
    </xdr:from>
    <xdr:ext cx="726173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0" name="TextBox 69"/>
            <xdr:cNvSpPr txBox="1"/>
          </xdr:nvSpPr>
          <xdr:spPr>
            <a:xfrm>
              <a:off x="314325" y="7820025"/>
              <a:ext cx="726173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Sup>
                          <m:sSub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el-G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Δ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⋅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bar>
                          <m:barPr>
                            <m:pos m:val="top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ba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bar>
                              <m:barPr>
                                <m:pos m:val="top"/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barPr>
                              <m:e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</m:e>
                            </m:ba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⋅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m:rPr>
                            <m:sty m:val="p"/>
                          </m:rPr>
                          <a:rPr lang="el-G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Δ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⋅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el-G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Δ</m:t>
                            </m:r>
                            <m:r>
                              <a:rPr lang="ko-KR" altLang="el-G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⋅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0" name="TextBox 69"/>
            <xdr:cNvSpPr txBox="1"/>
          </xdr:nvSpPr>
          <xdr:spPr>
            <a:xfrm>
              <a:off x="314325" y="7820025"/>
              <a:ext cx="726173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𝑢_𝑐^2 (𝐵〗_𝑥)=𝑢^2 (𝑙_𝑠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l-G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Δ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𝑡⋅𝑙_0 )^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𝑢^2 (¯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+(¯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⋅𝑙_0 )^2 𝑢^2 (</a:t>
              </a:r>
              <a:r>
                <a:rPr lang="el-G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Δ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𝑡)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𝑡⋅𝑙_0 )^2 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+(</a:t>
              </a:r>
              <a:r>
                <a:rPr lang="el-G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Δ</a:t>
              </a:r>
              <a:r>
                <a:rPr lang="ko-KR" alt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⋅𝑙_0 )^2 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+𝑢^2 (〖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𝑙〗_𝑟)+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𝑙〗_𝑀)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</xdr:col>
      <xdr:colOff>9525</xdr:colOff>
      <xdr:row>34</xdr:row>
      <xdr:rowOff>57150</xdr:rowOff>
    </xdr:from>
    <xdr:ext cx="5424755" cy="8654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1" name="TextBox 70"/>
            <xdr:cNvSpPr txBox="1"/>
          </xdr:nvSpPr>
          <xdr:spPr>
            <a:xfrm>
              <a:off x="466725" y="8315325"/>
              <a:ext cx="5424755" cy="8654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𝜕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𝜕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=1,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=−1,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bar>
                          <m:barPr>
                            <m:pos m:val="top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ba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bar>
                          <m:barPr>
                            <m:pos m:val="top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ba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bar>
                      <m:barPr>
                        <m:pos m:val="top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bar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ba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71" name="TextBox 70"/>
            <xdr:cNvSpPr txBox="1"/>
          </xdr:nvSpPr>
          <xdr:spPr>
            <a:xfrm>
              <a:off x="466725" y="8315325"/>
              <a:ext cx="5424755" cy="8654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𝑐_(𝑙_𝑠 )=〖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𝐵〗_𝑥/〖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𝑙〗_𝑠 =1,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𝑐_(𝑙_𝑥 )=〖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𝐵〗_𝑥/〖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𝑙〗_𝑥 =−1,  𝑐_¯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𝐵〗_𝑥/(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¯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∆𝑡∙𝑙_0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𝐵〗_𝑥/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𝑡=−¯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∙𝑙_0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</a:t>
              </a:r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𝐵〗_𝑥/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𝑡∙𝑙_0,  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𝐵〗_𝑥/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∙𝑙_0,  𝑐_(〖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 )=〖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𝐵〗_𝑥/〖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 =1,  𝑐_(〖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𝑙〗_𝑀 )=〖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𝐵〗_𝑥/〖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𝑙〗_𝑀 =1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8</xdr:col>
      <xdr:colOff>9525</xdr:colOff>
      <xdr:row>178</xdr:row>
      <xdr:rowOff>57150</xdr:rowOff>
    </xdr:from>
    <xdr:ext cx="957313" cy="3495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2" name="TextBox 71"/>
            <xdr:cNvSpPr txBox="1"/>
          </xdr:nvSpPr>
          <xdr:spPr>
            <a:xfrm>
              <a:off x="1228725" y="42605325"/>
              <a:ext cx="957313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72" name="TextBox 71"/>
            <xdr:cNvSpPr txBox="1"/>
          </xdr:nvSpPr>
          <xdr:spPr>
            <a:xfrm>
              <a:off x="1228725" y="42605325"/>
              <a:ext cx="957313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 )=〖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𝐵〗_𝑥/〖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 =1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7</xdr:col>
      <xdr:colOff>9525</xdr:colOff>
      <xdr:row>181</xdr:row>
      <xdr:rowOff>9525</xdr:rowOff>
    </xdr:from>
    <xdr:ext cx="2249975" cy="4181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3" name="TextBox 72"/>
            <xdr:cNvSpPr txBox="1"/>
          </xdr:nvSpPr>
          <xdr:spPr>
            <a:xfrm>
              <a:off x="1076325" y="43272075"/>
              <a:ext cx="2249975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ko-KR" altLang="en-US" sz="1100" i="1">
                        <a:latin typeface="Cambria Math" panose="02040503050406030204" pitchFamily="18" charset="0"/>
                      </a:rPr>
                      <m:t>𝜈</m:t>
                    </m:r>
                    <m:d>
                      <m:d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latin typeface="Cambria Math" panose="02040503050406030204" pitchFamily="18" charset="0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∞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3" name="TextBox 72"/>
            <xdr:cNvSpPr txBox="1"/>
          </xdr:nvSpPr>
          <xdr:spPr>
            <a:xfrm>
              <a:off x="1076325" y="43272075"/>
              <a:ext cx="2249975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ko-KR" altLang="en-US" sz="1100" i="0">
                  <a:latin typeface="Cambria Math" panose="02040503050406030204" pitchFamily="18" charset="0"/>
                </a:rPr>
                <a:t>𝜈</a:t>
              </a:r>
              <a:r>
                <a:rPr lang="en-US" altLang="ko-KR" sz="1100" i="0">
                  <a:latin typeface="Cambria Math" panose="02040503050406030204" pitchFamily="18" charset="0"/>
                </a:rPr>
                <a:t>(〖</a:t>
              </a:r>
              <a:r>
                <a:rPr lang="ko-KR" altLang="en-US" sz="110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𝑙〗_𝑟 )=1/2 (100/𝑅)^2=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(100/0)^2=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∞</a:t>
              </a:r>
              <a:endParaRPr lang="ko-KR" altLang="en-US" sz="1100"/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191</xdr:row>
          <xdr:rowOff>66675</xdr:rowOff>
        </xdr:from>
        <xdr:to>
          <xdr:col>13</xdr:col>
          <xdr:colOff>114300</xdr:colOff>
          <xdr:row>192</xdr:row>
          <xdr:rowOff>190500</xdr:rowOff>
        </xdr:to>
        <xdr:sp macro="" textlink="">
          <xdr:nvSpPr>
            <xdr:cNvPr id="2518" name="Object 470" hidden="1">
              <a:extLst>
                <a:ext uri="{63B3BB69-23CF-44E3-9099-C40C66FF867C}">
                  <a14:compatExt spid="_x0000_s2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oleObject" Target="../embeddings/oleObject15.bin"/><Relationship Id="rId21" Type="http://schemas.openxmlformats.org/officeDocument/2006/relationships/oleObject" Target="../embeddings/oleObject10.bin"/><Relationship Id="rId42" Type="http://schemas.openxmlformats.org/officeDocument/2006/relationships/oleObject" Target="../embeddings/oleObject23.bin"/><Relationship Id="rId47" Type="http://schemas.openxmlformats.org/officeDocument/2006/relationships/oleObject" Target="../embeddings/oleObject26.bin"/><Relationship Id="rId63" Type="http://schemas.openxmlformats.org/officeDocument/2006/relationships/image" Target="../media/image25.emf"/><Relationship Id="rId68" Type="http://schemas.openxmlformats.org/officeDocument/2006/relationships/oleObject" Target="../embeddings/oleObject40.bin"/><Relationship Id="rId84" Type="http://schemas.openxmlformats.org/officeDocument/2006/relationships/oleObject" Target="../embeddings/oleObject50.bin"/><Relationship Id="rId89" Type="http://schemas.openxmlformats.org/officeDocument/2006/relationships/image" Target="../media/image34.emf"/><Relationship Id="rId16" Type="http://schemas.openxmlformats.org/officeDocument/2006/relationships/image" Target="../media/image6.emf"/><Relationship Id="rId11" Type="http://schemas.openxmlformats.org/officeDocument/2006/relationships/image" Target="../media/image4.emf"/><Relationship Id="rId32" Type="http://schemas.openxmlformats.org/officeDocument/2006/relationships/oleObject" Target="../embeddings/oleObject18.bin"/><Relationship Id="rId37" Type="http://schemas.openxmlformats.org/officeDocument/2006/relationships/image" Target="../media/image14.emf"/><Relationship Id="rId53" Type="http://schemas.openxmlformats.org/officeDocument/2006/relationships/image" Target="../media/image21.emf"/><Relationship Id="rId58" Type="http://schemas.openxmlformats.org/officeDocument/2006/relationships/oleObject" Target="../embeddings/oleObject33.bin"/><Relationship Id="rId74" Type="http://schemas.openxmlformats.org/officeDocument/2006/relationships/oleObject" Target="../embeddings/oleObject45.bin"/><Relationship Id="rId79" Type="http://schemas.openxmlformats.org/officeDocument/2006/relationships/image" Target="../media/image29.emf"/><Relationship Id="rId5" Type="http://schemas.openxmlformats.org/officeDocument/2006/relationships/image" Target="../media/image1.emf"/><Relationship Id="rId90" Type="http://schemas.openxmlformats.org/officeDocument/2006/relationships/oleObject" Target="../embeddings/oleObject53.bin"/><Relationship Id="rId95" Type="http://schemas.openxmlformats.org/officeDocument/2006/relationships/image" Target="../media/image36.emf"/><Relationship Id="rId22" Type="http://schemas.openxmlformats.org/officeDocument/2006/relationships/oleObject" Target="../embeddings/oleObject11.bin"/><Relationship Id="rId27" Type="http://schemas.openxmlformats.org/officeDocument/2006/relationships/image" Target="../media/image9.emf"/><Relationship Id="rId43" Type="http://schemas.openxmlformats.org/officeDocument/2006/relationships/image" Target="../media/image17.emf"/><Relationship Id="rId48" Type="http://schemas.openxmlformats.org/officeDocument/2006/relationships/oleObject" Target="../embeddings/oleObject27.bin"/><Relationship Id="rId64" Type="http://schemas.openxmlformats.org/officeDocument/2006/relationships/oleObject" Target="../embeddings/oleObject36.bin"/><Relationship Id="rId69" Type="http://schemas.openxmlformats.org/officeDocument/2006/relationships/oleObject" Target="../embeddings/oleObject41.bin"/><Relationship Id="rId80" Type="http://schemas.openxmlformats.org/officeDocument/2006/relationships/oleObject" Target="../embeddings/oleObject48.bin"/><Relationship Id="rId85" Type="http://schemas.openxmlformats.org/officeDocument/2006/relationships/image" Target="../media/image32.emf"/><Relationship Id="rId12" Type="http://schemas.openxmlformats.org/officeDocument/2006/relationships/oleObject" Target="../embeddings/oleObject5.bin"/><Relationship Id="rId17" Type="http://schemas.openxmlformats.org/officeDocument/2006/relationships/oleObject" Target="../embeddings/oleObject8.bin"/><Relationship Id="rId25" Type="http://schemas.openxmlformats.org/officeDocument/2006/relationships/oleObject" Target="../embeddings/oleObject14.bin"/><Relationship Id="rId33" Type="http://schemas.openxmlformats.org/officeDocument/2006/relationships/image" Target="../media/image12.emf"/><Relationship Id="rId38" Type="http://schemas.openxmlformats.org/officeDocument/2006/relationships/oleObject" Target="../embeddings/oleObject21.bin"/><Relationship Id="rId46" Type="http://schemas.openxmlformats.org/officeDocument/2006/relationships/oleObject" Target="../embeddings/oleObject25.bin"/><Relationship Id="rId59" Type="http://schemas.openxmlformats.org/officeDocument/2006/relationships/image" Target="../media/image23.emf"/><Relationship Id="rId67" Type="http://schemas.openxmlformats.org/officeDocument/2006/relationships/oleObject" Target="../embeddings/oleObject39.bin"/><Relationship Id="rId20" Type="http://schemas.openxmlformats.org/officeDocument/2006/relationships/image" Target="../media/image8.emf"/><Relationship Id="rId41" Type="http://schemas.openxmlformats.org/officeDocument/2006/relationships/image" Target="../media/image16.emf"/><Relationship Id="rId54" Type="http://schemas.openxmlformats.org/officeDocument/2006/relationships/oleObject" Target="../embeddings/oleObject30.bin"/><Relationship Id="rId62" Type="http://schemas.openxmlformats.org/officeDocument/2006/relationships/oleObject" Target="../embeddings/oleObject35.bin"/><Relationship Id="rId70" Type="http://schemas.openxmlformats.org/officeDocument/2006/relationships/oleObject" Target="../embeddings/oleObject42.bin"/><Relationship Id="rId75" Type="http://schemas.openxmlformats.org/officeDocument/2006/relationships/image" Target="../media/image27.emf"/><Relationship Id="rId83" Type="http://schemas.openxmlformats.org/officeDocument/2006/relationships/image" Target="../media/image31.emf"/><Relationship Id="rId88" Type="http://schemas.openxmlformats.org/officeDocument/2006/relationships/oleObject" Target="../embeddings/oleObject52.bin"/><Relationship Id="rId91" Type="http://schemas.openxmlformats.org/officeDocument/2006/relationships/oleObject" Target="../embeddings/oleObject54.bin"/><Relationship Id="rId96" Type="http://schemas.openxmlformats.org/officeDocument/2006/relationships/oleObject" Target="../embeddings/oleObject57.bin"/><Relationship Id="rId1" Type="http://schemas.openxmlformats.org/officeDocument/2006/relationships/printerSettings" Target="../printerSettings/printerSettings8.bin"/><Relationship Id="rId6" Type="http://schemas.openxmlformats.org/officeDocument/2006/relationships/oleObject" Target="../embeddings/oleObject2.bin"/><Relationship Id="rId15" Type="http://schemas.openxmlformats.org/officeDocument/2006/relationships/oleObject" Target="../embeddings/oleObject7.bin"/><Relationship Id="rId23" Type="http://schemas.openxmlformats.org/officeDocument/2006/relationships/oleObject" Target="../embeddings/oleObject12.bin"/><Relationship Id="rId28" Type="http://schemas.openxmlformats.org/officeDocument/2006/relationships/oleObject" Target="../embeddings/oleObject16.bin"/><Relationship Id="rId36" Type="http://schemas.openxmlformats.org/officeDocument/2006/relationships/oleObject" Target="../embeddings/oleObject20.bin"/><Relationship Id="rId49" Type="http://schemas.openxmlformats.org/officeDocument/2006/relationships/image" Target="../media/image19.emf"/><Relationship Id="rId57" Type="http://schemas.openxmlformats.org/officeDocument/2006/relationships/image" Target="../media/image22.emf"/><Relationship Id="rId10" Type="http://schemas.openxmlformats.org/officeDocument/2006/relationships/oleObject" Target="../embeddings/oleObject4.bin"/><Relationship Id="rId31" Type="http://schemas.openxmlformats.org/officeDocument/2006/relationships/image" Target="../media/image11.emf"/><Relationship Id="rId44" Type="http://schemas.openxmlformats.org/officeDocument/2006/relationships/oleObject" Target="../embeddings/oleObject24.bin"/><Relationship Id="rId52" Type="http://schemas.openxmlformats.org/officeDocument/2006/relationships/oleObject" Target="../embeddings/oleObject29.bin"/><Relationship Id="rId60" Type="http://schemas.openxmlformats.org/officeDocument/2006/relationships/oleObject" Target="../embeddings/oleObject34.bin"/><Relationship Id="rId65" Type="http://schemas.openxmlformats.org/officeDocument/2006/relationships/oleObject" Target="../embeddings/oleObject37.bin"/><Relationship Id="rId73" Type="http://schemas.openxmlformats.org/officeDocument/2006/relationships/image" Target="../media/image26.emf"/><Relationship Id="rId78" Type="http://schemas.openxmlformats.org/officeDocument/2006/relationships/oleObject" Target="../embeddings/oleObject47.bin"/><Relationship Id="rId81" Type="http://schemas.openxmlformats.org/officeDocument/2006/relationships/image" Target="../media/image30.emf"/><Relationship Id="rId86" Type="http://schemas.openxmlformats.org/officeDocument/2006/relationships/oleObject" Target="../embeddings/oleObject51.bin"/><Relationship Id="rId94" Type="http://schemas.openxmlformats.org/officeDocument/2006/relationships/oleObject" Target="../embeddings/oleObject56.bin"/><Relationship Id="rId99" Type="http://schemas.openxmlformats.org/officeDocument/2006/relationships/image" Target="../media/image38.emf"/><Relationship Id="rId101" Type="http://schemas.openxmlformats.org/officeDocument/2006/relationships/image" Target="../media/image39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3" Type="http://schemas.openxmlformats.org/officeDocument/2006/relationships/oleObject" Target="../embeddings/oleObject6.bin"/><Relationship Id="rId18" Type="http://schemas.openxmlformats.org/officeDocument/2006/relationships/image" Target="../media/image7.emf"/><Relationship Id="rId39" Type="http://schemas.openxmlformats.org/officeDocument/2006/relationships/image" Target="../media/image15.emf"/><Relationship Id="rId34" Type="http://schemas.openxmlformats.org/officeDocument/2006/relationships/oleObject" Target="../embeddings/oleObject19.bin"/><Relationship Id="rId50" Type="http://schemas.openxmlformats.org/officeDocument/2006/relationships/oleObject" Target="../embeddings/oleObject28.bin"/><Relationship Id="rId55" Type="http://schemas.openxmlformats.org/officeDocument/2006/relationships/oleObject" Target="../embeddings/oleObject31.bin"/><Relationship Id="rId76" Type="http://schemas.openxmlformats.org/officeDocument/2006/relationships/oleObject" Target="../embeddings/oleObject46.bin"/><Relationship Id="rId97" Type="http://schemas.openxmlformats.org/officeDocument/2006/relationships/image" Target="../media/image37.emf"/><Relationship Id="rId7" Type="http://schemas.openxmlformats.org/officeDocument/2006/relationships/image" Target="../media/image2.emf"/><Relationship Id="rId71" Type="http://schemas.openxmlformats.org/officeDocument/2006/relationships/oleObject" Target="../embeddings/oleObject43.bin"/><Relationship Id="rId92" Type="http://schemas.openxmlformats.org/officeDocument/2006/relationships/oleObject" Target="../embeddings/oleObject55.bin"/><Relationship Id="rId2" Type="http://schemas.openxmlformats.org/officeDocument/2006/relationships/drawing" Target="../drawings/drawing4.xml"/><Relationship Id="rId29" Type="http://schemas.openxmlformats.org/officeDocument/2006/relationships/image" Target="../media/image10.emf"/><Relationship Id="rId24" Type="http://schemas.openxmlformats.org/officeDocument/2006/relationships/oleObject" Target="../embeddings/oleObject13.bin"/><Relationship Id="rId40" Type="http://schemas.openxmlformats.org/officeDocument/2006/relationships/oleObject" Target="../embeddings/oleObject22.bin"/><Relationship Id="rId45" Type="http://schemas.openxmlformats.org/officeDocument/2006/relationships/image" Target="../media/image18.emf"/><Relationship Id="rId66" Type="http://schemas.openxmlformats.org/officeDocument/2006/relationships/oleObject" Target="../embeddings/oleObject38.bin"/><Relationship Id="rId87" Type="http://schemas.openxmlformats.org/officeDocument/2006/relationships/image" Target="../media/image33.emf"/><Relationship Id="rId61" Type="http://schemas.openxmlformats.org/officeDocument/2006/relationships/image" Target="../media/image24.emf"/><Relationship Id="rId82" Type="http://schemas.openxmlformats.org/officeDocument/2006/relationships/oleObject" Target="../embeddings/oleObject49.bin"/><Relationship Id="rId19" Type="http://schemas.openxmlformats.org/officeDocument/2006/relationships/oleObject" Target="../embeddings/oleObject9.bin"/><Relationship Id="rId14" Type="http://schemas.openxmlformats.org/officeDocument/2006/relationships/image" Target="../media/image5.emf"/><Relationship Id="rId30" Type="http://schemas.openxmlformats.org/officeDocument/2006/relationships/oleObject" Target="../embeddings/oleObject17.bin"/><Relationship Id="rId35" Type="http://schemas.openxmlformats.org/officeDocument/2006/relationships/image" Target="../media/image13.emf"/><Relationship Id="rId56" Type="http://schemas.openxmlformats.org/officeDocument/2006/relationships/oleObject" Target="../embeddings/oleObject32.bin"/><Relationship Id="rId77" Type="http://schemas.openxmlformats.org/officeDocument/2006/relationships/image" Target="../media/image28.emf"/><Relationship Id="rId100" Type="http://schemas.openxmlformats.org/officeDocument/2006/relationships/oleObject" Target="../embeddings/oleObject59.bin"/><Relationship Id="rId8" Type="http://schemas.openxmlformats.org/officeDocument/2006/relationships/oleObject" Target="../embeddings/oleObject3.bin"/><Relationship Id="rId51" Type="http://schemas.openxmlformats.org/officeDocument/2006/relationships/image" Target="../media/image20.emf"/><Relationship Id="rId72" Type="http://schemas.openxmlformats.org/officeDocument/2006/relationships/oleObject" Target="../embeddings/oleObject44.bin"/><Relationship Id="rId93" Type="http://schemas.openxmlformats.org/officeDocument/2006/relationships/image" Target="../media/image35.emf"/><Relationship Id="rId98" Type="http://schemas.openxmlformats.org/officeDocument/2006/relationships/oleObject" Target="../embeddings/oleObject58.bin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52"/>
  <sheetViews>
    <sheetView showGridLines="0" tabSelected="1" zoomScaleNormal="100" zoomScaleSheetLayoutView="115" workbookViewId="0">
      <selection sqref="A1:J1"/>
    </sheetView>
  </sheetViews>
  <sheetFormatPr defaultColWidth="8.109375" defaultRowHeight="12.95" customHeight="1"/>
  <cols>
    <col min="1" max="11" width="8.109375" style="1" customWidth="1"/>
    <col min="12" max="16384" width="8.109375" style="1"/>
  </cols>
  <sheetData>
    <row r="1" spans="1:13" ht="51.95" customHeight="1">
      <c r="A1" s="357" t="s">
        <v>0</v>
      </c>
      <c r="B1" s="358"/>
      <c r="C1" s="358"/>
      <c r="D1" s="358"/>
      <c r="E1" s="358"/>
      <c r="F1" s="358"/>
      <c r="G1" s="358"/>
      <c r="H1" s="359"/>
      <c r="I1" s="360"/>
      <c r="J1" s="361"/>
    </row>
    <row r="2" spans="1:13" ht="12.95" customHeight="1">
      <c r="A2" s="337" t="s">
        <v>1</v>
      </c>
      <c r="B2" s="337"/>
      <c r="C2" s="337"/>
      <c r="D2" s="337"/>
      <c r="E2" s="337"/>
      <c r="F2" s="337"/>
      <c r="G2" s="337"/>
      <c r="H2" s="337"/>
      <c r="I2" s="337"/>
      <c r="J2" s="337"/>
    </row>
    <row r="3" spans="1:13" ht="12.95" customHeight="1">
      <c r="A3" s="338" t="s">
        <v>2</v>
      </c>
      <c r="B3" s="339"/>
      <c r="C3" s="362"/>
      <c r="D3" s="362"/>
      <c r="E3" s="362"/>
      <c r="F3" s="339" t="s">
        <v>3</v>
      </c>
      <c r="G3" s="339"/>
      <c r="H3" s="353"/>
      <c r="I3" s="352"/>
      <c r="J3" s="352"/>
    </row>
    <row r="4" spans="1:13" ht="12.95" customHeight="1">
      <c r="A4" s="339" t="s">
        <v>4</v>
      </c>
      <c r="B4" s="339"/>
      <c r="C4" s="363"/>
      <c r="D4" s="339"/>
      <c r="E4" s="339"/>
      <c r="F4" s="339" t="s">
        <v>5</v>
      </c>
      <c r="G4" s="339"/>
      <c r="H4" s="339"/>
      <c r="I4" s="352"/>
      <c r="J4" s="352"/>
    </row>
    <row r="5" spans="1:13" ht="12.95" customHeight="1">
      <c r="A5" s="339" t="s">
        <v>6</v>
      </c>
      <c r="B5" s="339"/>
      <c r="C5" s="339"/>
      <c r="D5" s="352"/>
      <c r="E5" s="352"/>
      <c r="F5" s="338" t="s">
        <v>7</v>
      </c>
      <c r="G5" s="339"/>
      <c r="H5" s="340"/>
      <c r="I5" s="341"/>
      <c r="J5" s="341"/>
    </row>
    <row r="6" spans="1:13" ht="12.95" customHeight="1">
      <c r="A6" s="339" t="s">
        <v>8</v>
      </c>
      <c r="B6" s="339"/>
      <c r="C6" s="339"/>
      <c r="D6" s="352"/>
      <c r="E6" s="352"/>
      <c r="F6" s="338" t="s">
        <v>9</v>
      </c>
      <c r="G6" s="339"/>
      <c r="H6" s="340"/>
      <c r="I6" s="341"/>
      <c r="J6" s="341"/>
    </row>
    <row r="7" spans="1:13" ht="12.95" customHeight="1">
      <c r="A7" s="339" t="s">
        <v>10</v>
      </c>
      <c r="B7" s="339"/>
      <c r="C7" s="355"/>
      <c r="D7" s="352"/>
      <c r="E7" s="352"/>
      <c r="F7" s="338" t="s">
        <v>11</v>
      </c>
      <c r="G7" s="339"/>
      <c r="H7" s="339"/>
      <c r="I7" s="352"/>
      <c r="J7" s="352"/>
    </row>
    <row r="8" spans="1:13" ht="12.95" customHeight="1">
      <c r="A8" s="339" t="s">
        <v>12</v>
      </c>
      <c r="B8" s="339"/>
      <c r="C8" s="353"/>
      <c r="D8" s="354"/>
      <c r="E8" s="354"/>
      <c r="F8" s="338" t="s">
        <v>13</v>
      </c>
      <c r="G8" s="339"/>
      <c r="H8" s="339"/>
      <c r="I8" s="352"/>
      <c r="J8" s="352"/>
    </row>
    <row r="9" spans="1:13" ht="12.95" customHeight="1">
      <c r="A9" s="338" t="s">
        <v>35</v>
      </c>
      <c r="B9" s="339"/>
      <c r="C9" s="340"/>
      <c r="D9" s="341"/>
      <c r="E9" s="341"/>
      <c r="F9" s="356" t="s">
        <v>14</v>
      </c>
      <c r="G9" s="356"/>
      <c r="H9" s="340"/>
      <c r="I9" s="341"/>
      <c r="J9" s="341"/>
    </row>
    <row r="10" spans="1:13" ht="23.25" customHeight="1">
      <c r="A10" s="339" t="s">
        <v>15</v>
      </c>
      <c r="B10" s="339"/>
      <c r="C10" s="340"/>
      <c r="D10" s="341"/>
      <c r="E10" s="341"/>
      <c r="F10" s="339" t="s">
        <v>16</v>
      </c>
      <c r="G10" s="339"/>
      <c r="H10" s="35"/>
      <c r="I10" s="344" t="s">
        <v>17</v>
      </c>
      <c r="J10" s="345"/>
      <c r="K10" s="4"/>
    </row>
    <row r="11" spans="1:13" ht="12.95" customHeight="1">
      <c r="A11" s="337" t="s">
        <v>18</v>
      </c>
      <c r="B11" s="337"/>
      <c r="C11" s="337"/>
      <c r="D11" s="337"/>
      <c r="E11" s="337"/>
      <c r="F11" s="337"/>
      <c r="G11" s="337"/>
      <c r="H11" s="337"/>
      <c r="I11" s="337"/>
      <c r="J11" s="337"/>
      <c r="K11" s="5"/>
    </row>
    <row r="12" spans="1:13" ht="17.25" customHeight="1">
      <c r="A12" s="3" t="s">
        <v>19</v>
      </c>
      <c r="B12" s="89"/>
      <c r="C12" s="6" t="s">
        <v>20</v>
      </c>
      <c r="D12" s="90"/>
      <c r="E12" s="6" t="s">
        <v>21</v>
      </c>
      <c r="F12" s="91"/>
      <c r="G12" s="346" t="s">
        <v>22</v>
      </c>
      <c r="H12" s="342"/>
      <c r="I12" s="348" t="s">
        <v>23</v>
      </c>
      <c r="J12" s="349"/>
      <c r="K12" s="4"/>
      <c r="L12" s="7"/>
      <c r="M12" s="7"/>
    </row>
    <row r="13" spans="1:13" ht="17.25" customHeight="1">
      <c r="A13" s="8" t="s">
        <v>24</v>
      </c>
      <c r="B13" s="89"/>
      <c r="C13" s="8" t="s">
        <v>25</v>
      </c>
      <c r="D13" s="90"/>
      <c r="E13" s="6" t="s">
        <v>26</v>
      </c>
      <c r="F13" s="91"/>
      <c r="G13" s="347"/>
      <c r="H13" s="343"/>
      <c r="I13" s="350"/>
      <c r="J13" s="351"/>
      <c r="K13" s="5"/>
    </row>
    <row r="14" spans="1:13" ht="12.95" customHeight="1">
      <c r="A14" s="337" t="s">
        <v>27</v>
      </c>
      <c r="B14" s="337"/>
      <c r="C14" s="337"/>
      <c r="D14" s="337"/>
      <c r="E14" s="337"/>
      <c r="F14" s="337"/>
      <c r="G14" s="337"/>
      <c r="H14" s="337"/>
      <c r="I14" s="337"/>
      <c r="J14" s="337"/>
      <c r="K14" s="5"/>
    </row>
    <row r="15" spans="1:13" ht="39" customHeight="1">
      <c r="A15" s="334"/>
      <c r="B15" s="335"/>
      <c r="C15" s="335"/>
      <c r="D15" s="335"/>
      <c r="E15" s="335"/>
      <c r="F15" s="335"/>
      <c r="G15" s="335"/>
      <c r="H15" s="335"/>
      <c r="I15" s="335"/>
      <c r="J15" s="336"/>
    </row>
    <row r="16" spans="1:13" ht="12.95" customHeight="1">
      <c r="A16" s="337" t="s">
        <v>28</v>
      </c>
      <c r="B16" s="337"/>
      <c r="C16" s="337"/>
      <c r="D16" s="337"/>
      <c r="E16" s="337"/>
      <c r="F16" s="337"/>
      <c r="G16" s="337"/>
      <c r="H16" s="337"/>
      <c r="I16" s="337"/>
      <c r="J16" s="337"/>
    </row>
    <row r="17" spans="1:12" ht="12.95" customHeight="1">
      <c r="A17" s="3" t="s">
        <v>29</v>
      </c>
      <c r="B17" s="338" t="s">
        <v>30</v>
      </c>
      <c r="C17" s="339"/>
      <c r="D17" s="339"/>
      <c r="E17" s="339"/>
      <c r="F17" s="338" t="s">
        <v>31</v>
      </c>
      <c r="G17" s="339"/>
      <c r="H17" s="3" t="s">
        <v>10</v>
      </c>
      <c r="I17" s="2" t="s">
        <v>32</v>
      </c>
      <c r="J17" s="2" t="s">
        <v>33</v>
      </c>
      <c r="L17" s="5"/>
    </row>
    <row r="18" spans="1:12" ht="12.95" customHeight="1">
      <c r="A18" s="36"/>
      <c r="B18" s="332"/>
      <c r="C18" s="333"/>
      <c r="D18" s="333"/>
      <c r="E18" s="333"/>
      <c r="F18" s="332"/>
      <c r="G18" s="333"/>
      <c r="H18" s="41"/>
      <c r="I18" s="18"/>
      <c r="J18" s="88"/>
      <c r="L18" s="5"/>
    </row>
    <row r="19" spans="1:12" ht="12.95" customHeight="1">
      <c r="A19" s="36"/>
      <c r="B19" s="332"/>
      <c r="C19" s="333"/>
      <c r="D19" s="333"/>
      <c r="E19" s="333"/>
      <c r="F19" s="332"/>
      <c r="G19" s="333"/>
      <c r="H19" s="21"/>
      <c r="I19" s="21"/>
      <c r="J19" s="88"/>
      <c r="L19" s="5"/>
    </row>
    <row r="20" spans="1:12" ht="12.95" customHeight="1">
      <c r="A20" s="36"/>
      <c r="B20" s="332"/>
      <c r="C20" s="333"/>
      <c r="D20" s="333"/>
      <c r="E20" s="333"/>
      <c r="F20" s="332"/>
      <c r="G20" s="333"/>
      <c r="H20" s="32"/>
      <c r="I20" s="32"/>
      <c r="J20" s="88"/>
      <c r="L20" s="5"/>
    </row>
    <row r="21" spans="1:12" ht="12.95" customHeight="1">
      <c r="A21" s="36"/>
      <c r="B21" s="332"/>
      <c r="C21" s="333"/>
      <c r="D21" s="333"/>
      <c r="E21" s="333"/>
      <c r="F21" s="332"/>
      <c r="G21" s="333"/>
      <c r="H21" s="32"/>
      <c r="I21" s="9"/>
      <c r="J21" s="88"/>
      <c r="L21" s="5"/>
    </row>
    <row r="22" spans="1:12" ht="12.95" customHeight="1">
      <c r="A22" s="36"/>
      <c r="B22" s="332"/>
      <c r="C22" s="333"/>
      <c r="D22" s="333"/>
      <c r="E22" s="333"/>
      <c r="F22" s="332"/>
      <c r="G22" s="333"/>
      <c r="H22" s="20"/>
      <c r="I22" s="11"/>
      <c r="J22" s="88"/>
      <c r="L22" s="5"/>
    </row>
    <row r="23" spans="1:12" ht="12.95" customHeight="1">
      <c r="A23" s="36"/>
      <c r="B23" s="332"/>
      <c r="C23" s="333"/>
      <c r="D23" s="333"/>
      <c r="E23" s="333"/>
      <c r="F23" s="332"/>
      <c r="G23" s="333"/>
      <c r="H23" s="11"/>
      <c r="I23" s="9"/>
      <c r="J23" s="88"/>
      <c r="L23" s="5"/>
    </row>
    <row r="24" spans="1:12" ht="12.95" customHeight="1">
      <c r="A24" s="36"/>
      <c r="B24" s="332"/>
      <c r="C24" s="333"/>
      <c r="D24" s="333"/>
      <c r="E24" s="333"/>
      <c r="F24" s="332"/>
      <c r="G24" s="333"/>
      <c r="H24" s="16"/>
      <c r="I24" s="9"/>
      <c r="J24" s="88"/>
      <c r="L24" s="5"/>
    </row>
    <row r="25" spans="1:12" ht="12.95" customHeight="1">
      <c r="A25" s="36"/>
      <c r="B25" s="332"/>
      <c r="C25" s="333"/>
      <c r="D25" s="333"/>
      <c r="E25" s="333"/>
      <c r="F25" s="332"/>
      <c r="G25" s="333"/>
      <c r="H25" s="16"/>
      <c r="I25" s="9"/>
      <c r="J25" s="88"/>
      <c r="L25" s="5"/>
    </row>
    <row r="26" spans="1:12" ht="12.95" customHeight="1">
      <c r="A26" s="36"/>
      <c r="B26" s="332"/>
      <c r="C26" s="333"/>
      <c r="D26" s="333"/>
      <c r="E26" s="333"/>
      <c r="F26" s="332"/>
      <c r="G26" s="333"/>
      <c r="H26" s="16"/>
      <c r="I26" s="9"/>
      <c r="J26" s="88"/>
      <c r="L26" s="5"/>
    </row>
    <row r="27" spans="1:12" ht="12.95" customHeight="1">
      <c r="A27" s="36"/>
      <c r="B27" s="332"/>
      <c r="C27" s="333"/>
      <c r="D27" s="333"/>
      <c r="E27" s="333"/>
      <c r="F27" s="332"/>
      <c r="G27" s="333"/>
      <c r="H27" s="9"/>
      <c r="I27" s="9"/>
      <c r="J27" s="88"/>
    </row>
    <row r="28" spans="1:12" ht="12.95" customHeight="1">
      <c r="A28" s="36"/>
      <c r="B28" s="332"/>
      <c r="C28" s="333"/>
      <c r="D28" s="333"/>
      <c r="E28" s="333"/>
      <c r="F28" s="332"/>
      <c r="G28" s="333"/>
      <c r="H28" s="9"/>
      <c r="I28" s="9"/>
      <c r="J28" s="88"/>
    </row>
    <row r="29" spans="1:12" ht="12.95" customHeight="1">
      <c r="A29" s="36"/>
      <c r="B29" s="332"/>
      <c r="C29" s="333"/>
      <c r="D29" s="333"/>
      <c r="E29" s="333"/>
      <c r="F29" s="332"/>
      <c r="G29" s="333"/>
      <c r="H29" s="9"/>
      <c r="I29" s="9"/>
      <c r="J29" s="88"/>
    </row>
    <row r="30" spans="1:12" ht="12.95" customHeight="1">
      <c r="A30" s="36"/>
      <c r="B30" s="332"/>
      <c r="C30" s="333"/>
      <c r="D30" s="333"/>
      <c r="E30" s="333"/>
      <c r="F30" s="332"/>
      <c r="G30" s="333"/>
      <c r="H30" s="9"/>
      <c r="I30" s="9"/>
      <c r="J30" s="88"/>
    </row>
    <row r="31" spans="1:12" ht="12.95" customHeight="1">
      <c r="A31" s="36"/>
      <c r="B31" s="332"/>
      <c r="C31" s="333"/>
      <c r="D31" s="333"/>
      <c r="E31" s="333"/>
      <c r="F31" s="332"/>
      <c r="G31" s="333"/>
      <c r="H31" s="9"/>
      <c r="I31" s="9"/>
      <c r="J31" s="88"/>
    </row>
    <row r="32" spans="1:12" ht="12.95" customHeight="1">
      <c r="A32" s="36"/>
      <c r="B32" s="332"/>
      <c r="C32" s="333"/>
      <c r="D32" s="333"/>
      <c r="E32" s="333"/>
      <c r="F32" s="332"/>
      <c r="G32" s="333"/>
      <c r="H32" s="9"/>
      <c r="I32" s="9"/>
      <c r="J32" s="88"/>
    </row>
    <row r="33" spans="1:10" ht="12.95" customHeight="1">
      <c r="A33" s="36"/>
      <c r="B33" s="332"/>
      <c r="C33" s="333"/>
      <c r="D33" s="333"/>
      <c r="E33" s="333"/>
      <c r="F33" s="332"/>
      <c r="G33" s="333"/>
      <c r="H33" s="9"/>
      <c r="I33" s="9"/>
      <c r="J33" s="88"/>
    </row>
    <row r="34" spans="1:10" ht="12.95" customHeight="1">
      <c r="A34" s="36"/>
      <c r="B34" s="332"/>
      <c r="C34" s="333"/>
      <c r="D34" s="333"/>
      <c r="E34" s="333"/>
      <c r="F34" s="332"/>
      <c r="G34" s="333"/>
      <c r="H34" s="9"/>
      <c r="I34" s="9"/>
      <c r="J34" s="88"/>
    </row>
    <row r="35" spans="1:10" ht="12.95" customHeight="1">
      <c r="A35" s="36"/>
      <c r="B35" s="332"/>
      <c r="C35" s="333"/>
      <c r="D35" s="333"/>
      <c r="E35" s="333"/>
      <c r="F35" s="332"/>
      <c r="G35" s="333"/>
      <c r="H35" s="9"/>
      <c r="I35" s="9"/>
      <c r="J35" s="88"/>
    </row>
    <row r="36" spans="1:10" ht="12.95" customHeight="1">
      <c r="A36" s="36"/>
      <c r="B36" s="332"/>
      <c r="C36" s="333"/>
      <c r="D36" s="333"/>
      <c r="E36" s="333"/>
      <c r="F36" s="332"/>
      <c r="G36" s="333"/>
      <c r="H36" s="9"/>
      <c r="I36" s="9"/>
      <c r="J36" s="88"/>
    </row>
    <row r="37" spans="1:10" ht="12.95" customHeight="1">
      <c r="A37" s="36"/>
      <c r="B37" s="332"/>
      <c r="C37" s="333"/>
      <c r="D37" s="333"/>
      <c r="E37" s="333"/>
      <c r="F37" s="332"/>
      <c r="G37" s="333"/>
      <c r="H37" s="9"/>
      <c r="I37" s="9"/>
      <c r="J37" s="88"/>
    </row>
    <row r="38" spans="1:10" ht="12.95" customHeight="1">
      <c r="A38" s="40" t="s">
        <v>36</v>
      </c>
      <c r="B38" s="5"/>
      <c r="C38" s="5"/>
      <c r="D38" s="5"/>
      <c r="E38" s="5"/>
      <c r="J38" s="10"/>
    </row>
    <row r="39" spans="1:10" ht="12.95" customHeight="1">
      <c r="A39" s="318" t="s">
        <v>37</v>
      </c>
      <c r="B39" s="318"/>
      <c r="C39" s="318"/>
      <c r="D39" s="318"/>
      <c r="E39" s="318"/>
      <c r="F39" s="319" t="s">
        <v>38</v>
      </c>
      <c r="G39" s="322"/>
      <c r="H39" s="323"/>
      <c r="I39" s="323"/>
      <c r="J39" s="324"/>
    </row>
    <row r="40" spans="1:10" ht="12.95" customHeight="1">
      <c r="A40" s="318" t="s">
        <v>39</v>
      </c>
      <c r="B40" s="318"/>
      <c r="C40" s="318"/>
      <c r="D40" s="318"/>
      <c r="E40" s="318"/>
      <c r="F40" s="320"/>
      <c r="G40" s="325"/>
      <c r="H40" s="326"/>
      <c r="I40" s="326"/>
      <c r="J40" s="327"/>
    </row>
    <row r="41" spans="1:10" ht="12.95" customHeight="1">
      <c r="A41" s="318" t="s">
        <v>40</v>
      </c>
      <c r="B41" s="318"/>
      <c r="C41" s="318"/>
      <c r="D41" s="318"/>
      <c r="E41" s="318"/>
      <c r="F41" s="320"/>
      <c r="G41" s="325"/>
      <c r="H41" s="326"/>
      <c r="I41" s="326"/>
      <c r="J41" s="327"/>
    </row>
    <row r="42" spans="1:10" ht="12.95" customHeight="1">
      <c r="A42" s="318" t="s">
        <v>41</v>
      </c>
      <c r="B42" s="318"/>
      <c r="C42" s="331" t="s">
        <v>42</v>
      </c>
      <c r="D42" s="331"/>
      <c r="E42" s="331"/>
      <c r="F42" s="321"/>
      <c r="G42" s="328"/>
      <c r="H42" s="329"/>
      <c r="I42" s="329"/>
      <c r="J42" s="330"/>
    </row>
    <row r="43" spans="1:10" ht="12.95" customHeight="1">
      <c r="A43" s="317" t="s">
        <v>52</v>
      </c>
      <c r="B43" s="317"/>
      <c r="C43" s="317" t="e">
        <f ca="1">Calcu!R3</f>
        <v>#VALUE!</v>
      </c>
      <c r="D43" s="317"/>
      <c r="E43" s="317"/>
    </row>
    <row r="46" spans="1:10" ht="12.95" customHeight="1">
      <c r="B46" s="1" t="s">
        <v>402</v>
      </c>
    </row>
    <row r="47" spans="1:10" ht="12.95" customHeight="1">
      <c r="B47" s="1" t="s">
        <v>403</v>
      </c>
    </row>
    <row r="48" spans="1:10" ht="12.95" customHeight="1">
      <c r="A48" s="1">
        <f>Calcu!R55</f>
        <v>35500</v>
      </c>
      <c r="B48" s="1" t="s">
        <v>405</v>
      </c>
    </row>
    <row r="49" spans="1:2" ht="12.95" customHeight="1">
      <c r="A49" s="117"/>
    </row>
    <row r="50" spans="1:2" ht="12.95" customHeight="1">
      <c r="A50" s="1" t="str">
        <f>Calcu!S3</f>
        <v>PASS</v>
      </c>
      <c r="B50" s="1" t="s">
        <v>406</v>
      </c>
    </row>
    <row r="52" spans="1:2" ht="12.95" customHeight="1">
      <c r="B52" s="1" t="s">
        <v>497</v>
      </c>
    </row>
  </sheetData>
  <sheetProtection selectLockedCells="1"/>
  <mergeCells count="95">
    <mergeCell ref="A4:B4"/>
    <mergeCell ref="C4:E4"/>
    <mergeCell ref="F4:G4"/>
    <mergeCell ref="H4:J4"/>
    <mergeCell ref="A5:B5"/>
    <mergeCell ref="C5:E5"/>
    <mergeCell ref="F5:G5"/>
    <mergeCell ref="H5:J5"/>
    <mergeCell ref="A1:J1"/>
    <mergeCell ref="A2:J2"/>
    <mergeCell ref="A3:B3"/>
    <mergeCell ref="C3:E3"/>
    <mergeCell ref="F3:G3"/>
    <mergeCell ref="H3:J3"/>
    <mergeCell ref="A6:B6"/>
    <mergeCell ref="C6:E6"/>
    <mergeCell ref="F6:G6"/>
    <mergeCell ref="H6:J6"/>
    <mergeCell ref="F10:G10"/>
    <mergeCell ref="A8:B8"/>
    <mergeCell ref="C8:E8"/>
    <mergeCell ref="F8:G8"/>
    <mergeCell ref="H8:J8"/>
    <mergeCell ref="A9:B9"/>
    <mergeCell ref="A7:B7"/>
    <mergeCell ref="C7:E7"/>
    <mergeCell ref="F7:G7"/>
    <mergeCell ref="H7:J7"/>
    <mergeCell ref="C9:E9"/>
    <mergeCell ref="F9:G9"/>
    <mergeCell ref="B22:E22"/>
    <mergeCell ref="F22:G22"/>
    <mergeCell ref="B20:E20"/>
    <mergeCell ref="F18:G18"/>
    <mergeCell ref="F19:G19"/>
    <mergeCell ref="B18:E18"/>
    <mergeCell ref="B19:E19"/>
    <mergeCell ref="F20:G20"/>
    <mergeCell ref="B21:E21"/>
    <mergeCell ref="F21:G21"/>
    <mergeCell ref="A15:J15"/>
    <mergeCell ref="A16:J16"/>
    <mergeCell ref="B17:E17"/>
    <mergeCell ref="H9:J9"/>
    <mergeCell ref="F17:G17"/>
    <mergeCell ref="C10:E10"/>
    <mergeCell ref="A10:B10"/>
    <mergeCell ref="H12:H13"/>
    <mergeCell ref="A14:J14"/>
    <mergeCell ref="I10:J10"/>
    <mergeCell ref="A11:J11"/>
    <mergeCell ref="G12:G13"/>
    <mergeCell ref="I12:J13"/>
    <mergeCell ref="B32:E32"/>
    <mergeCell ref="F32:G32"/>
    <mergeCell ref="B31:E31"/>
    <mergeCell ref="F24:G24"/>
    <mergeCell ref="B25:E25"/>
    <mergeCell ref="F25:G25"/>
    <mergeCell ref="B26:E26"/>
    <mergeCell ref="B27:E27"/>
    <mergeCell ref="F27:G27"/>
    <mergeCell ref="B29:E29"/>
    <mergeCell ref="F29:G29"/>
    <mergeCell ref="B30:E30"/>
    <mergeCell ref="B24:E24"/>
    <mergeCell ref="F30:G30"/>
    <mergeCell ref="B23:E23"/>
    <mergeCell ref="F23:G23"/>
    <mergeCell ref="F26:G26"/>
    <mergeCell ref="B37:E37"/>
    <mergeCell ref="F37:G37"/>
    <mergeCell ref="B34:E34"/>
    <mergeCell ref="F34:G34"/>
    <mergeCell ref="B35:E35"/>
    <mergeCell ref="B36:E36"/>
    <mergeCell ref="F35:G35"/>
    <mergeCell ref="F36:G36"/>
    <mergeCell ref="B33:E33"/>
    <mergeCell ref="F33:G33"/>
    <mergeCell ref="B28:E28"/>
    <mergeCell ref="F28:G28"/>
    <mergeCell ref="F31:G31"/>
    <mergeCell ref="G39:J42"/>
    <mergeCell ref="A40:B40"/>
    <mergeCell ref="C40:E40"/>
    <mergeCell ref="A41:B41"/>
    <mergeCell ref="C41:E41"/>
    <mergeCell ref="A42:B42"/>
    <mergeCell ref="C42:E42"/>
    <mergeCell ref="A43:B43"/>
    <mergeCell ref="C43:E43"/>
    <mergeCell ref="A39:B39"/>
    <mergeCell ref="C39:E39"/>
    <mergeCell ref="F39:F42"/>
  </mergeCells>
  <phoneticPr fontId="4" type="noConversion"/>
  <dataValidations count="1">
    <dataValidation type="list" allowBlank="1" showInputMessage="1" showErrorMessage="1" sqref="C42:E42">
      <formula1>"확인전,확인완료,수정"</formula1>
    </dataValidation>
  </dataValidations>
  <pageMargins left="0.39370078740157483" right="0.35433070866141736" top="0.39370078740157483" bottom="0.59055118110236227" header="0" footer="0.31496062992125984"/>
  <pageSetup paperSize="9" orientation="portrait" r:id="rId1"/>
  <headerFooter alignWithMargins="0">
    <oddFooter>&amp;R&amp;"휴먼엑스포,보통"&amp;9(주)에이치시티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J1"/>
  <sheetViews>
    <sheetView workbookViewId="0"/>
  </sheetViews>
  <sheetFormatPr defaultColWidth="8.88671875" defaultRowHeight="12"/>
  <cols>
    <col min="1" max="1" width="5.21875" style="97" bestFit="1" customWidth="1"/>
    <col min="2" max="2" width="6.6640625" style="97" bestFit="1" customWidth="1"/>
    <col min="3" max="3" width="8.88671875" style="97"/>
    <col min="4" max="4" width="6.6640625" style="97" bestFit="1" customWidth="1"/>
    <col min="5" max="13" width="1.77734375" style="97" customWidth="1"/>
    <col min="14" max="15" width="6" style="97" bestFit="1" customWidth="1"/>
    <col min="16" max="16" width="7.5546875" style="97" bestFit="1" customWidth="1"/>
    <col min="17" max="17" width="4" style="97" bestFit="1" customWidth="1"/>
    <col min="18" max="18" width="5.33203125" style="97" bestFit="1" customWidth="1"/>
    <col min="19" max="19" width="4" style="97" bestFit="1" customWidth="1"/>
    <col min="20" max="20" width="6.5546875" style="97" bestFit="1" customWidth="1"/>
    <col min="21" max="21" width="1.77734375" style="97" customWidth="1"/>
    <col min="22" max="22" width="8.44140625" style="97" bestFit="1" customWidth="1"/>
    <col min="23" max="23" width="6.6640625" style="97" bestFit="1" customWidth="1"/>
    <col min="24" max="24" width="5.33203125" style="97" bestFit="1" customWidth="1"/>
    <col min="25" max="25" width="8.33203125" style="97" bestFit="1" customWidth="1"/>
    <col min="26" max="26" width="5.33203125" style="97" customWidth="1"/>
    <col min="27" max="27" width="4" style="97" bestFit="1" customWidth="1"/>
    <col min="28" max="28" width="8.33203125" style="97" customWidth="1"/>
    <col min="29" max="34" width="1.77734375" style="97" customWidth="1"/>
    <col min="35" max="35" width="7.5546875" style="97" bestFit="1" customWidth="1"/>
    <col min="36" max="16384" width="8.88671875" style="97"/>
  </cols>
  <sheetData>
    <row r="1" spans="1:36">
      <c r="A1" s="177" t="s">
        <v>117</v>
      </c>
      <c r="B1" s="177" t="s">
        <v>66</v>
      </c>
      <c r="C1" s="177" t="s">
        <v>67</v>
      </c>
      <c r="D1" s="177" t="s">
        <v>118</v>
      </c>
      <c r="E1" s="177"/>
      <c r="F1" s="177"/>
      <c r="G1" s="177"/>
      <c r="H1" s="177"/>
      <c r="I1" s="177"/>
      <c r="J1" s="177"/>
      <c r="K1" s="177"/>
      <c r="L1" s="177"/>
      <c r="M1" s="177"/>
      <c r="N1" s="177" t="s">
        <v>119</v>
      </c>
      <c r="O1" s="177" t="s">
        <v>120</v>
      </c>
      <c r="P1" s="177" t="s">
        <v>68</v>
      </c>
      <c r="Q1" s="177" t="s">
        <v>69</v>
      </c>
      <c r="R1" s="177" t="s">
        <v>70</v>
      </c>
      <c r="S1" s="177" t="s">
        <v>69</v>
      </c>
      <c r="T1" s="177" t="s">
        <v>337</v>
      </c>
      <c r="U1" s="177"/>
      <c r="V1" s="177" t="s">
        <v>71</v>
      </c>
      <c r="W1" s="177" t="s">
        <v>72</v>
      </c>
      <c r="X1" s="177" t="s">
        <v>121</v>
      </c>
      <c r="Y1" s="177" t="s">
        <v>338</v>
      </c>
      <c r="Z1" s="177" t="s">
        <v>339</v>
      </c>
      <c r="AA1" s="177" t="s">
        <v>60</v>
      </c>
      <c r="AB1" s="177" t="s">
        <v>352</v>
      </c>
      <c r="AC1" s="177"/>
      <c r="AD1" s="177"/>
      <c r="AE1" s="177"/>
      <c r="AF1" s="177"/>
      <c r="AG1" s="177"/>
      <c r="AH1" s="177"/>
      <c r="AI1" s="177" t="s">
        <v>122</v>
      </c>
      <c r="AJ1" s="177" t="s">
        <v>325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7"/>
  <sheetViews>
    <sheetView zoomScaleNormal="100" workbookViewId="0"/>
  </sheetViews>
  <sheetFormatPr defaultColWidth="9" defaultRowHeight="17.100000000000001" customHeight="1"/>
  <cols>
    <col min="1" max="36" width="10.44140625" style="33" customWidth="1"/>
    <col min="37" max="16384" width="9" style="33"/>
  </cols>
  <sheetData>
    <row r="1" spans="1:29" s="12" customFormat="1" ht="33" customHeight="1">
      <c r="A1" s="15" t="s">
        <v>111</v>
      </c>
    </row>
    <row r="2" spans="1:29" s="12" customFormat="1" ht="17.100000000000001" customHeight="1">
      <c r="A2" s="17" t="s">
        <v>43</v>
      </c>
      <c r="B2" s="17"/>
      <c r="C2" s="98" t="s">
        <v>63</v>
      </c>
      <c r="F2" s="98" t="s">
        <v>74</v>
      </c>
      <c r="K2" s="17" t="s">
        <v>44</v>
      </c>
      <c r="N2" s="17" t="s">
        <v>45</v>
      </c>
    </row>
    <row r="3" spans="1:29" s="12" customFormat="1" ht="13.5">
      <c r="A3" s="14" t="s">
        <v>112</v>
      </c>
      <c r="B3" s="14" t="s">
        <v>60</v>
      </c>
      <c r="C3" s="14" t="s">
        <v>55</v>
      </c>
      <c r="D3" s="14" t="s">
        <v>56</v>
      </c>
      <c r="E3" s="14" t="s">
        <v>51</v>
      </c>
      <c r="F3" s="13" t="s">
        <v>46</v>
      </c>
      <c r="G3" s="14" t="s">
        <v>62</v>
      </c>
      <c r="H3" s="14" t="s">
        <v>75</v>
      </c>
      <c r="I3" s="14" t="s">
        <v>47</v>
      </c>
      <c r="J3" s="14" t="s">
        <v>330</v>
      </c>
      <c r="K3" s="14" t="s">
        <v>48</v>
      </c>
      <c r="L3" s="42" t="s">
        <v>49</v>
      </c>
      <c r="M3" s="42" t="s">
        <v>50</v>
      </c>
      <c r="N3" s="42" t="s">
        <v>64</v>
      </c>
      <c r="O3" s="42" t="s">
        <v>65</v>
      </c>
      <c r="P3" s="119" t="s">
        <v>113</v>
      </c>
      <c r="Q3" s="119" t="s">
        <v>114</v>
      </c>
      <c r="R3" s="42" t="s">
        <v>115</v>
      </c>
    </row>
    <row r="4" spans="1:29" s="12" customFormat="1" ht="17.100000000000001" customHeight="1">
      <c r="A4" s="34"/>
      <c r="B4" s="118"/>
      <c r="C4" s="23"/>
      <c r="D4" s="56"/>
      <c r="E4" s="43"/>
      <c r="F4" s="23"/>
      <c r="G4" s="23"/>
      <c r="H4" s="100"/>
      <c r="I4" s="43"/>
      <c r="J4" s="23"/>
      <c r="K4" s="23"/>
      <c r="L4" s="23"/>
      <c r="M4" s="23"/>
      <c r="N4" s="23"/>
      <c r="O4" s="23"/>
      <c r="P4" s="120"/>
      <c r="Q4" s="120"/>
      <c r="R4" s="23"/>
    </row>
    <row r="5" spans="1:29" s="12" customFormat="1" ht="17.100000000000001" customHeight="1">
      <c r="A5" s="34"/>
      <c r="B5" s="118"/>
      <c r="C5" s="23"/>
      <c r="D5" s="56"/>
      <c r="E5" s="43"/>
      <c r="F5" s="23"/>
      <c r="G5" s="23"/>
      <c r="H5" s="100"/>
      <c r="I5" s="43"/>
      <c r="J5" s="23"/>
      <c r="K5" s="23"/>
      <c r="L5" s="24"/>
      <c r="M5" s="24"/>
      <c r="N5" s="24"/>
      <c r="O5" s="24"/>
      <c r="P5" s="121"/>
      <c r="Q5" s="121"/>
      <c r="R5" s="24"/>
    </row>
    <row r="6" spans="1:29" s="12" customFormat="1" ht="17.100000000000001" customHeight="1">
      <c r="A6" s="34"/>
      <c r="B6" s="118"/>
      <c r="C6" s="23"/>
      <c r="D6" s="56"/>
      <c r="E6" s="43"/>
      <c r="F6" s="23"/>
      <c r="G6" s="23"/>
      <c r="H6" s="100"/>
      <c r="I6" s="43"/>
      <c r="J6" s="23"/>
      <c r="K6" s="23"/>
      <c r="L6" s="24"/>
      <c r="M6" s="24"/>
      <c r="N6" s="24"/>
      <c r="O6" s="24"/>
      <c r="P6" s="121"/>
      <c r="Q6" s="121"/>
      <c r="R6" s="24"/>
    </row>
    <row r="7" spans="1:29" s="12" customFormat="1" ht="17.100000000000001" customHeight="1">
      <c r="A7" s="34"/>
      <c r="B7" s="118"/>
      <c r="C7" s="23"/>
      <c r="D7" s="56"/>
      <c r="E7" s="43"/>
      <c r="F7" s="23"/>
      <c r="G7" s="23"/>
      <c r="H7" s="100"/>
      <c r="I7" s="43"/>
      <c r="J7" s="23"/>
      <c r="K7" s="23"/>
      <c r="L7" s="24"/>
      <c r="M7" s="24"/>
      <c r="N7" s="24"/>
      <c r="O7" s="24"/>
      <c r="P7" s="121"/>
      <c r="Q7" s="121"/>
      <c r="R7" s="24"/>
    </row>
    <row r="8" spans="1:29" s="12" customFormat="1" ht="17.100000000000001" customHeight="1">
      <c r="A8" s="34"/>
      <c r="B8" s="118"/>
      <c r="C8" s="23"/>
      <c r="D8" s="56"/>
      <c r="E8" s="43"/>
      <c r="F8" s="23"/>
      <c r="G8" s="23"/>
      <c r="H8" s="100"/>
      <c r="I8" s="43"/>
      <c r="J8" s="23"/>
      <c r="K8" s="23"/>
      <c r="L8" s="24"/>
      <c r="M8" s="24"/>
      <c r="N8" s="24"/>
      <c r="O8" s="24"/>
      <c r="P8" s="121"/>
      <c r="Q8" s="121"/>
      <c r="R8" s="24"/>
    </row>
    <row r="9" spans="1:29" s="12" customFormat="1" ht="17.100000000000001" customHeight="1">
      <c r="A9" s="34"/>
      <c r="B9" s="118"/>
      <c r="C9" s="23"/>
      <c r="D9" s="56"/>
      <c r="E9" s="43"/>
      <c r="F9" s="23"/>
      <c r="G9" s="23"/>
      <c r="H9" s="100"/>
      <c r="I9" s="43"/>
      <c r="J9" s="23"/>
      <c r="K9" s="23"/>
      <c r="L9" s="24"/>
      <c r="M9" s="24"/>
      <c r="N9" s="24"/>
      <c r="O9" s="24"/>
      <c r="P9" s="121"/>
      <c r="Q9" s="121"/>
      <c r="R9" s="24"/>
    </row>
    <row r="10" spans="1:29" s="12" customFormat="1" ht="17.100000000000001" customHeight="1">
      <c r="A10" s="34"/>
      <c r="B10" s="118"/>
      <c r="C10" s="23"/>
      <c r="D10" s="56"/>
      <c r="E10" s="43"/>
      <c r="F10" s="23"/>
      <c r="G10" s="23"/>
      <c r="H10" s="100"/>
      <c r="I10" s="43"/>
      <c r="J10" s="23"/>
      <c r="K10" s="23"/>
      <c r="L10" s="24"/>
      <c r="M10" s="24"/>
      <c r="N10" s="24"/>
      <c r="O10" s="24"/>
      <c r="P10" s="121"/>
      <c r="Q10" s="121"/>
      <c r="R10" s="24"/>
    </row>
    <row r="11" spans="1:29" s="12" customFormat="1" ht="17.100000000000001" customHeight="1">
      <c r="A11" s="34"/>
      <c r="B11" s="118"/>
      <c r="C11" s="23"/>
      <c r="D11" s="56"/>
      <c r="E11" s="43"/>
      <c r="F11" s="23"/>
      <c r="G11" s="23"/>
      <c r="H11" s="100"/>
      <c r="I11" s="43"/>
      <c r="J11" s="23"/>
      <c r="K11" s="23"/>
      <c r="L11" s="24"/>
      <c r="M11" s="24"/>
      <c r="N11" s="24"/>
      <c r="O11" s="24"/>
      <c r="P11" s="121"/>
      <c r="Q11" s="121"/>
      <c r="R11" s="24"/>
    </row>
    <row r="12" spans="1:29" s="12" customFormat="1" ht="17.100000000000001" customHeight="1">
      <c r="A12" s="34"/>
      <c r="B12" s="118"/>
      <c r="C12" s="23"/>
      <c r="D12" s="56"/>
      <c r="E12" s="43"/>
      <c r="F12" s="23"/>
      <c r="G12" s="23"/>
      <c r="H12" s="100"/>
      <c r="I12" s="43"/>
      <c r="J12" s="23"/>
      <c r="K12" s="23"/>
      <c r="L12" s="24"/>
      <c r="M12" s="24"/>
      <c r="N12" s="24"/>
      <c r="O12" s="24"/>
      <c r="P12" s="121"/>
      <c r="Q12" s="121"/>
      <c r="R12" s="24"/>
    </row>
    <row r="13" spans="1:29" s="12" customFormat="1" ht="17.100000000000001" customHeight="1">
      <c r="A13" s="34"/>
      <c r="B13" s="118"/>
      <c r="C13" s="23"/>
      <c r="D13" s="56"/>
      <c r="E13" s="43"/>
      <c r="F13" s="23"/>
      <c r="G13" s="23"/>
      <c r="H13" s="100"/>
      <c r="I13" s="43"/>
      <c r="J13" s="23"/>
      <c r="K13" s="23"/>
      <c r="L13" s="24"/>
      <c r="M13" s="24"/>
      <c r="N13" s="24"/>
      <c r="O13" s="24"/>
      <c r="P13" s="121"/>
      <c r="Q13" s="121"/>
      <c r="R13" s="24"/>
    </row>
    <row r="14" spans="1:29" s="12" customFormat="1" ht="17.100000000000001" customHeight="1"/>
    <row r="15" spans="1:29" s="12" customFormat="1" ht="17.100000000000001" customHeight="1">
      <c r="A15" s="17" t="s">
        <v>116</v>
      </c>
    </row>
    <row r="16" spans="1:29" s="19" customFormat="1" ht="18" customHeight="1">
      <c r="A16" s="122" t="s">
        <v>2</v>
      </c>
      <c r="B16" s="122" t="s">
        <v>112</v>
      </c>
      <c r="C16" s="122" t="s">
        <v>331</v>
      </c>
      <c r="D16" s="122" t="s">
        <v>109</v>
      </c>
      <c r="E16" s="122" t="s">
        <v>331</v>
      </c>
      <c r="F16" s="122" t="s">
        <v>332</v>
      </c>
      <c r="G16" s="122" t="s">
        <v>333</v>
      </c>
      <c r="H16" s="122" t="s">
        <v>334</v>
      </c>
      <c r="I16" s="122" t="s">
        <v>335</v>
      </c>
      <c r="J16" s="122" t="s">
        <v>32</v>
      </c>
      <c r="K16" s="122" t="s">
        <v>336</v>
      </c>
      <c r="L16" s="122" t="s">
        <v>333</v>
      </c>
      <c r="M16" s="122" t="s">
        <v>341</v>
      </c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</row>
    <row r="17" spans="1:36" ht="17.100000000000001" customHeight="1">
      <c r="A17" s="99"/>
      <c r="B17" s="99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</row>
    <row r="18" spans="1:36" ht="17.100000000000001" customHeight="1">
      <c r="A18" s="99"/>
      <c r="B18" s="99"/>
      <c r="C18" s="99"/>
      <c r="D18" s="99"/>
      <c r="E18" s="99"/>
      <c r="F18" s="99"/>
      <c r="G18" s="99"/>
      <c r="H18" s="99"/>
      <c r="I18" s="99"/>
      <c r="J18" s="99"/>
      <c r="K18" s="99"/>
      <c r="L18" s="99"/>
      <c r="M18" s="99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 spans="1:36" ht="17.100000000000001" customHeight="1">
      <c r="A19" s="99"/>
      <c r="B19" s="99"/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</row>
    <row r="20" spans="1:36" ht="17.100000000000001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</row>
    <row r="21" spans="1:36" ht="17.100000000000001" customHeight="1">
      <c r="A21" s="99"/>
      <c r="B21" s="99"/>
      <c r="C21" s="99"/>
      <c r="D21" s="99"/>
      <c r="E21" s="99"/>
      <c r="F21" s="99"/>
      <c r="G21" s="99"/>
      <c r="H21" s="99"/>
      <c r="I21" s="99"/>
      <c r="J21" s="99"/>
      <c r="K21" s="99"/>
      <c r="L21" s="99"/>
      <c r="M21" s="99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</row>
    <row r="22" spans="1:36" ht="17.100000000000001" customHeight="1">
      <c r="A22" s="99"/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</row>
    <row r="23" spans="1:36" ht="17.100000000000001" customHeight="1">
      <c r="A23" s="99"/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</row>
    <row r="24" spans="1:36" ht="17.100000000000001" customHeight="1">
      <c r="A24" s="99"/>
      <c r="B24" s="99"/>
      <c r="C24" s="99"/>
      <c r="D24" s="99"/>
      <c r="E24" s="99"/>
      <c r="F24" s="99"/>
      <c r="G24" s="99"/>
      <c r="H24" s="99"/>
      <c r="I24" s="99"/>
      <c r="J24" s="99"/>
      <c r="K24" s="99"/>
      <c r="L24" s="99"/>
      <c r="M24" s="99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</row>
    <row r="25" spans="1:36" ht="17.100000000000001" customHeight="1">
      <c r="A25" s="99"/>
      <c r="B25" s="99"/>
      <c r="C25" s="99"/>
      <c r="D25" s="99"/>
      <c r="E25" s="99"/>
      <c r="F25" s="99"/>
      <c r="G25" s="99"/>
      <c r="H25" s="99"/>
      <c r="I25" s="99"/>
      <c r="J25" s="99"/>
      <c r="K25" s="99"/>
      <c r="L25" s="99"/>
      <c r="M25" s="99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</row>
    <row r="26" spans="1:36" ht="17.100000000000001" customHeight="1">
      <c r="A26" s="99"/>
      <c r="B26" s="99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</row>
    <row r="27" spans="1:36" ht="17.100000000000001" customHeight="1">
      <c r="AE27" s="12"/>
      <c r="AF27" s="12"/>
      <c r="AG27" s="12"/>
      <c r="AH27" s="12"/>
      <c r="AI27" s="12"/>
      <c r="AJ27" s="12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0"/>
  <sheetViews>
    <sheetView showGridLines="0" showWhiteSpace="0" zoomScaleNormal="100" zoomScaleSheetLayoutView="100" workbookViewId="0">
      <selection sqref="A1:L2"/>
    </sheetView>
  </sheetViews>
  <sheetFormatPr defaultColWidth="10.77734375" defaultRowHeight="15" customHeight="1"/>
  <cols>
    <col min="1" max="5" width="3.77734375" style="38" customWidth="1"/>
    <col min="6" max="7" width="18.77734375" style="38" customWidth="1"/>
    <col min="8" max="12" width="3.77734375" style="38" customWidth="1"/>
    <col min="13" max="16384" width="10.77734375" style="38"/>
  </cols>
  <sheetData>
    <row r="1" spans="1:12" s="48" customFormat="1" ht="33" customHeight="1">
      <c r="A1" s="364" t="s">
        <v>34</v>
      </c>
      <c r="B1" s="364"/>
      <c r="C1" s="364"/>
      <c r="D1" s="364"/>
      <c r="E1" s="364"/>
      <c r="F1" s="364"/>
      <c r="G1" s="364"/>
      <c r="H1" s="364"/>
      <c r="I1" s="364"/>
      <c r="J1" s="364"/>
      <c r="K1" s="364"/>
      <c r="L1" s="364"/>
    </row>
    <row r="2" spans="1:12" s="48" customFormat="1" ht="33" customHeight="1">
      <c r="A2" s="364"/>
      <c r="B2" s="364"/>
      <c r="C2" s="364"/>
      <c r="D2" s="364"/>
      <c r="E2" s="364"/>
      <c r="F2" s="364"/>
      <c r="G2" s="364"/>
      <c r="H2" s="364"/>
      <c r="I2" s="364"/>
      <c r="J2" s="364"/>
      <c r="K2" s="364"/>
      <c r="L2" s="364"/>
    </row>
    <row r="3" spans="1:12" s="48" customFormat="1" ht="12.75" customHeight="1">
      <c r="A3" s="49" t="s">
        <v>101</v>
      </c>
      <c r="B3" s="49"/>
      <c r="C3" s="49"/>
      <c r="D3" s="22"/>
      <c r="E3" s="22"/>
      <c r="F3" s="22"/>
      <c r="G3" s="22"/>
      <c r="H3" s="22"/>
      <c r="I3" s="22"/>
      <c r="J3" s="22"/>
      <c r="K3" s="22"/>
      <c r="L3" s="22"/>
    </row>
    <row r="4" spans="1:12" s="50" customFormat="1" ht="13.5" customHeight="1">
      <c r="A4" s="92" t="str">
        <f>" 교   정   번   호(Calibration No) : "&amp;기본정보!H3</f>
        <v xml:space="preserve"> 교   정   번   호(Calibration No) : </v>
      </c>
      <c r="B4" s="92"/>
      <c r="C4" s="224"/>
      <c r="D4" s="93"/>
      <c r="E4" s="93"/>
      <c r="F4" s="93"/>
      <c r="G4" s="253"/>
      <c r="H4" s="102"/>
      <c r="I4" s="103"/>
      <c r="J4" s="103"/>
      <c r="K4" s="94"/>
      <c r="L4" s="102"/>
    </row>
    <row r="5" spans="1:12" s="37" customFormat="1" ht="15" customHeight="1"/>
    <row r="6" spans="1:12" ht="15" customHeight="1">
      <c r="F6" s="55" t="str">
        <f>"○ 품명 : "&amp;기본정보!C$5</f>
        <v xml:space="preserve">○ 품명 : </v>
      </c>
      <c r="G6" s="55"/>
    </row>
    <row r="7" spans="1:12" ht="15" customHeight="1">
      <c r="F7" s="55" t="str">
        <f>"○ 제작회사 : "&amp;기본정보!C$6</f>
        <v xml:space="preserve">○ 제작회사 : </v>
      </c>
      <c r="G7" s="55"/>
    </row>
    <row r="8" spans="1:12" ht="15" customHeight="1">
      <c r="F8" s="55" t="str">
        <f>"○ 형식 : "&amp;기본정보!C$7</f>
        <v xml:space="preserve">○ 형식 : </v>
      </c>
      <c r="G8" s="55"/>
    </row>
    <row r="9" spans="1:12" ht="15" customHeight="1">
      <c r="F9" s="55" t="str">
        <f>"○ 기기번호 : "&amp;기본정보!C$8</f>
        <v xml:space="preserve">○ 기기번호 : </v>
      </c>
      <c r="G9" s="55"/>
    </row>
    <row r="11" spans="1:12" ht="15" customHeight="1">
      <c r="F11" s="39" t="s">
        <v>102</v>
      </c>
      <c r="G11" s="39"/>
    </row>
    <row r="12" spans="1:12" ht="15" customHeight="1">
      <c r="F12" s="55" t="e">
        <f ca="1">"○ 교정범위 : ("&amp;ROUND(Calcu!J3,Calcu!M37)&amp;" ~ "&amp;ROUND(Calcu!K3,Calcu!M37)&amp;") mm"</f>
        <v>#VALUE!</v>
      </c>
      <c r="G12" s="55"/>
    </row>
    <row r="13" spans="1:12" ht="15" customHeight="1">
      <c r="A13" s="45"/>
      <c r="B13" s="45"/>
      <c r="C13" s="45"/>
      <c r="F13" s="55" t="str">
        <f ca="1">"○ 최소눈금 : "&amp;Calcu!M3&amp;" mm"</f>
        <v>○ 최소눈금 : 0 mm</v>
      </c>
      <c r="G13" s="55"/>
    </row>
    <row r="14" spans="1:12" ht="15" customHeight="1">
      <c r="A14" s="45"/>
      <c r="B14" s="45"/>
      <c r="C14" s="45"/>
    </row>
    <row r="15" spans="1:12" ht="15" customHeight="1">
      <c r="A15" s="45"/>
      <c r="B15" s="44"/>
      <c r="C15" s="44"/>
      <c r="F15" s="141" t="s">
        <v>218</v>
      </c>
      <c r="G15" s="257" t="s">
        <v>219</v>
      </c>
    </row>
    <row r="16" spans="1:12" ht="15" customHeight="1">
      <c r="A16" s="45"/>
      <c r="B16" s="44"/>
      <c r="C16" s="44"/>
      <c r="F16" s="142" t="s">
        <v>220</v>
      </c>
      <c r="G16" s="258" t="s">
        <v>220</v>
      </c>
    </row>
    <row r="17" spans="1:10" ht="15" customHeight="1">
      <c r="A17" s="45" t="str">
        <f>IF(Calcu!B9=TRUE,"","삭제")</f>
        <v>삭제</v>
      </c>
      <c r="B17" s="44"/>
      <c r="C17" s="44"/>
      <c r="F17" s="145" t="e">
        <f ca="1">Calcu!AA9</f>
        <v>#VALUE!</v>
      </c>
      <c r="G17" s="145" t="e">
        <f ca="1">Calcu!AC9</f>
        <v>#VALUE!</v>
      </c>
    </row>
    <row r="18" spans="1:10" ht="15" customHeight="1">
      <c r="A18" s="45" t="str">
        <f>IF(Calcu!B10=TRUE,"","삭제")</f>
        <v>삭제</v>
      </c>
      <c r="B18" s="44"/>
      <c r="C18" s="44"/>
      <c r="F18" s="145" t="e">
        <f ca="1">Calcu!AA10</f>
        <v>#VALUE!</v>
      </c>
      <c r="G18" s="145" t="e">
        <f ca="1">Calcu!AC10</f>
        <v>#VALUE!</v>
      </c>
    </row>
    <row r="19" spans="1:10" ht="15" customHeight="1">
      <c r="A19" s="45" t="str">
        <f>IF(Calcu!B11=TRUE,"","삭제")</f>
        <v>삭제</v>
      </c>
      <c r="B19" s="44"/>
      <c r="C19" s="44"/>
      <c r="F19" s="145" t="e">
        <f ca="1">Calcu!AA11</f>
        <v>#VALUE!</v>
      </c>
      <c r="G19" s="145" t="e">
        <f ca="1">Calcu!AC11</f>
        <v>#VALUE!</v>
      </c>
    </row>
    <row r="20" spans="1:10" ht="15" customHeight="1">
      <c r="A20" s="45" t="str">
        <f>IF(Calcu!B12=TRUE,"","삭제")</f>
        <v>삭제</v>
      </c>
      <c r="B20" s="44"/>
      <c r="C20" s="44"/>
      <c r="F20" s="145" t="e">
        <f ca="1">Calcu!AA12</f>
        <v>#VALUE!</v>
      </c>
      <c r="G20" s="145" t="e">
        <f ca="1">Calcu!AC12</f>
        <v>#VALUE!</v>
      </c>
    </row>
    <row r="21" spans="1:10" ht="15" customHeight="1">
      <c r="A21" s="45" t="str">
        <f>IF(Calcu!B13=TRUE,"","삭제")</f>
        <v>삭제</v>
      </c>
      <c r="B21" s="44"/>
      <c r="C21" s="44"/>
      <c r="F21" s="145" t="e">
        <f ca="1">Calcu!AA13</f>
        <v>#VALUE!</v>
      </c>
      <c r="G21" s="145" t="e">
        <f ca="1">Calcu!AC13</f>
        <v>#VALUE!</v>
      </c>
    </row>
    <row r="22" spans="1:10" ht="15" customHeight="1">
      <c r="A22" s="45" t="str">
        <f>IF(Calcu!B14=TRUE,"","삭제")</f>
        <v>삭제</v>
      </c>
      <c r="B22" s="44"/>
      <c r="C22" s="44"/>
      <c r="F22" s="145" t="e">
        <f ca="1">Calcu!AA14</f>
        <v>#VALUE!</v>
      </c>
      <c r="G22" s="145" t="e">
        <f ca="1">Calcu!AC14</f>
        <v>#VALUE!</v>
      </c>
    </row>
    <row r="23" spans="1:10" ht="15" customHeight="1">
      <c r="A23" s="45" t="str">
        <f>IF(Calcu!B15=TRUE,"","삭제")</f>
        <v>삭제</v>
      </c>
      <c r="B23" s="44"/>
      <c r="C23" s="44"/>
      <c r="F23" s="145" t="e">
        <f ca="1">Calcu!AA15</f>
        <v>#VALUE!</v>
      </c>
      <c r="G23" s="145" t="e">
        <f ca="1">Calcu!AC15</f>
        <v>#VALUE!</v>
      </c>
    </row>
    <row r="24" spans="1:10" ht="15" customHeight="1">
      <c r="A24" s="45" t="str">
        <f>IF(Calcu!B16=TRUE,"","삭제")</f>
        <v>삭제</v>
      </c>
      <c r="B24" s="44"/>
      <c r="C24" s="44"/>
      <c r="F24" s="145" t="e">
        <f ca="1">Calcu!AA16</f>
        <v>#VALUE!</v>
      </c>
      <c r="G24" s="145" t="e">
        <f ca="1">Calcu!AC16</f>
        <v>#VALUE!</v>
      </c>
    </row>
    <row r="25" spans="1:10" ht="15" customHeight="1">
      <c r="A25" s="45" t="str">
        <f>IF(Calcu!B17=TRUE,"","삭제")</f>
        <v>삭제</v>
      </c>
      <c r="B25" s="44"/>
      <c r="C25" s="44"/>
      <c r="F25" s="145" t="e">
        <f ca="1">Calcu!AA17</f>
        <v>#VALUE!</v>
      </c>
      <c r="G25" s="145" t="e">
        <f ca="1">Calcu!AC17</f>
        <v>#VALUE!</v>
      </c>
    </row>
    <row r="26" spans="1:10" ht="15" customHeight="1">
      <c r="A26" s="45" t="str">
        <f>IF(Calcu!B18=TRUE,"","삭제")</f>
        <v>삭제</v>
      </c>
      <c r="B26" s="44"/>
      <c r="C26" s="44"/>
      <c r="F26" s="145" t="e">
        <f ca="1">Calcu!AA18</f>
        <v>#VALUE!</v>
      </c>
      <c r="G26" s="145" t="e">
        <f ca="1">Calcu!AC18</f>
        <v>#VALUE!</v>
      </c>
    </row>
    <row r="27" spans="1:10" ht="15" customHeight="1">
      <c r="A27" s="45"/>
      <c r="F27" s="104"/>
      <c r="G27" s="254"/>
      <c r="H27" s="52"/>
    </row>
    <row r="28" spans="1:10" ht="15" customHeight="1">
      <c r="A28" s="45"/>
      <c r="F28" s="39" t="e">
        <f ca="1">"● 측정불확도 : "&amp;Calcu!T37</f>
        <v>#VALUE!</v>
      </c>
      <c r="G28" s="39"/>
      <c r="H28" s="39"/>
    </row>
    <row r="29" spans="1:10" ht="15" customHeight="1">
      <c r="A29" s="45"/>
      <c r="F29" s="259" t="e">
        <f>IF(Calcu!E47="사다리꼴","(신뢰수준 95 %, k=","(신뢰수준 약 95 %, k=")</f>
        <v>#VALUE!</v>
      </c>
      <c r="G29" s="51" t="e">
        <f ca="1">Calcu!E48&amp;IF(Calcu!E47="사다리꼴",", 사다리꼴 확률분포)",")")</f>
        <v>#VALUE!</v>
      </c>
      <c r="I29" s="51"/>
      <c r="J29" s="51"/>
    </row>
    <row r="30" spans="1:10" ht="15" customHeight="1">
      <c r="F30" s="75"/>
      <c r="G30" s="75"/>
      <c r="H30" s="75"/>
    </row>
  </sheetData>
  <mergeCells count="1">
    <mergeCell ref="A1:L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7"/>
  <sheetViews>
    <sheetView showGridLines="0" showWhiteSpace="0" zoomScaleNormal="100" zoomScaleSheetLayoutView="100" workbookViewId="0">
      <selection sqref="A1:L2"/>
    </sheetView>
  </sheetViews>
  <sheetFormatPr defaultColWidth="10.77734375" defaultRowHeight="15" customHeight="1"/>
  <cols>
    <col min="1" max="5" width="3.77734375" style="38" customWidth="1"/>
    <col min="6" max="7" width="18.77734375" style="38" customWidth="1"/>
    <col min="8" max="12" width="3.77734375" style="38" customWidth="1"/>
    <col min="13" max="15" width="4.77734375" style="38" customWidth="1"/>
    <col min="16" max="16384" width="10.77734375" style="38"/>
  </cols>
  <sheetData>
    <row r="1" spans="1:12" s="82" customFormat="1" ht="33" customHeight="1">
      <c r="A1" s="365" t="s">
        <v>58</v>
      </c>
      <c r="B1" s="365"/>
      <c r="C1" s="365"/>
      <c r="D1" s="365"/>
      <c r="E1" s="365"/>
      <c r="F1" s="365"/>
      <c r="G1" s="365"/>
      <c r="H1" s="365"/>
      <c r="I1" s="365"/>
      <c r="J1" s="365"/>
      <c r="K1" s="365"/>
      <c r="L1" s="365"/>
    </row>
    <row r="2" spans="1:12" s="82" customFormat="1" ht="33" customHeight="1">
      <c r="A2" s="365"/>
      <c r="B2" s="365"/>
      <c r="C2" s="365"/>
      <c r="D2" s="365"/>
      <c r="E2" s="365"/>
      <c r="F2" s="365"/>
      <c r="G2" s="365"/>
      <c r="H2" s="365"/>
      <c r="I2" s="365"/>
      <c r="J2" s="365"/>
      <c r="K2" s="365"/>
      <c r="L2" s="365"/>
    </row>
    <row r="3" spans="1:12" s="48" customFormat="1" ht="12.75" customHeight="1">
      <c r="A3" s="49" t="s">
        <v>57</v>
      </c>
      <c r="B3" s="49"/>
      <c r="C3" s="49"/>
      <c r="D3" s="22"/>
      <c r="E3" s="22"/>
      <c r="F3" s="22"/>
      <c r="G3" s="22"/>
      <c r="H3" s="22"/>
      <c r="I3" s="22"/>
      <c r="J3" s="22"/>
      <c r="K3" s="22"/>
      <c r="L3" s="22"/>
    </row>
    <row r="4" spans="1:12" s="50" customFormat="1" ht="13.5" customHeight="1">
      <c r="A4" s="81" t="str">
        <f>" 교   정   번   호(Calibration No) : "&amp;기본정보!H3</f>
        <v xml:space="preserve"> 교   정   번   호(Calibration No) : </v>
      </c>
      <c r="B4" s="81"/>
      <c r="C4" s="224"/>
      <c r="D4" s="80"/>
      <c r="E4" s="80"/>
      <c r="F4" s="80"/>
      <c r="G4" s="77"/>
      <c r="H4" s="80"/>
      <c r="I4" s="80"/>
      <c r="J4" s="79"/>
      <c r="K4" s="78"/>
      <c r="L4" s="77"/>
    </row>
    <row r="5" spans="1:12" s="37" customFormat="1" ht="15" customHeight="1"/>
    <row r="6" spans="1:12" ht="15" customHeight="1">
      <c r="F6" s="55" t="str">
        <f>"○ Description : "&amp;기본정보!C$5</f>
        <v xml:space="preserve">○ Description : </v>
      </c>
    </row>
    <row r="7" spans="1:12" ht="15" customHeight="1">
      <c r="F7" s="55" t="str">
        <f>"○ Manufacturer  : "&amp;기본정보!C$6</f>
        <v xml:space="preserve">○ Manufacturer  : </v>
      </c>
    </row>
    <row r="8" spans="1:12" ht="15" customHeight="1">
      <c r="F8" s="55" t="str">
        <f>"○ Model Name : "&amp;기본정보!C$7</f>
        <v xml:space="preserve">○ Model Name : </v>
      </c>
    </row>
    <row r="9" spans="1:12" ht="15" customHeight="1">
      <c r="F9" s="55" t="str">
        <f>"○ Serial Number : "&amp;기본정보!C$8</f>
        <v xml:space="preserve">○ Serial Number : </v>
      </c>
    </row>
    <row r="11" spans="1:12" ht="15" customHeight="1">
      <c r="F11" s="39" t="s">
        <v>100</v>
      </c>
    </row>
    <row r="12" spans="1:12" ht="15" customHeight="1">
      <c r="F12" s="55" t="e">
        <f ca="1">"○ Range : ("&amp;ROUND(Calcu!J3,Calcu!M37)&amp;" ~ "&amp;ROUND(Calcu!K3,Calcu!M37)&amp;") mm"</f>
        <v>#VALUE!</v>
      </c>
    </row>
    <row r="13" spans="1:12" ht="15" customHeight="1">
      <c r="A13" s="45"/>
      <c r="B13" s="45"/>
      <c r="C13" s="45"/>
      <c r="F13" s="55" t="str">
        <f ca="1">"○ Resolution : "&amp;Calcu!M3&amp;" mm"</f>
        <v>○ Resolution : 0 mm</v>
      </c>
    </row>
    <row r="14" spans="1:12" ht="15" customHeight="1">
      <c r="A14" s="45"/>
      <c r="B14" s="45"/>
      <c r="C14" s="45"/>
    </row>
    <row r="15" spans="1:12" ht="15" customHeight="1">
      <c r="A15" s="45"/>
      <c r="B15" s="44"/>
      <c r="C15" s="44"/>
      <c r="F15" s="222" t="s">
        <v>221</v>
      </c>
      <c r="G15" s="222" t="s">
        <v>222</v>
      </c>
    </row>
    <row r="16" spans="1:12" ht="15" customHeight="1">
      <c r="A16" s="45"/>
      <c r="B16" s="44"/>
      <c r="C16" s="44"/>
      <c r="F16" s="223" t="s">
        <v>220</v>
      </c>
      <c r="G16" s="223" t="s">
        <v>220</v>
      </c>
    </row>
    <row r="17" spans="1:10" ht="15" customHeight="1">
      <c r="A17" s="45" t="str">
        <f>IF(Calcu!B9=TRUE,"","삭제")</f>
        <v>삭제</v>
      </c>
      <c r="B17" s="44"/>
      <c r="C17" s="44"/>
      <c r="F17" s="145" t="e">
        <f ca="1">Calcu!AA9</f>
        <v>#VALUE!</v>
      </c>
      <c r="G17" s="145" t="e">
        <f ca="1">Calcu!AC9</f>
        <v>#VALUE!</v>
      </c>
    </row>
    <row r="18" spans="1:10" ht="15" customHeight="1">
      <c r="A18" s="45" t="str">
        <f>IF(Calcu!B10=TRUE,"","삭제")</f>
        <v>삭제</v>
      </c>
      <c r="B18" s="44"/>
      <c r="C18" s="44"/>
      <c r="F18" s="145" t="e">
        <f ca="1">Calcu!AA10</f>
        <v>#VALUE!</v>
      </c>
      <c r="G18" s="145" t="e">
        <f ca="1">Calcu!AC10</f>
        <v>#VALUE!</v>
      </c>
    </row>
    <row r="19" spans="1:10" ht="15" customHeight="1">
      <c r="A19" s="45" t="str">
        <f>IF(Calcu!B11=TRUE,"","삭제")</f>
        <v>삭제</v>
      </c>
      <c r="B19" s="44"/>
      <c r="C19" s="44"/>
      <c r="F19" s="145" t="e">
        <f ca="1">Calcu!AA11</f>
        <v>#VALUE!</v>
      </c>
      <c r="G19" s="145" t="e">
        <f ca="1">Calcu!AC11</f>
        <v>#VALUE!</v>
      </c>
    </row>
    <row r="20" spans="1:10" ht="15" customHeight="1">
      <c r="A20" s="45" t="str">
        <f>IF(Calcu!B12=TRUE,"","삭제")</f>
        <v>삭제</v>
      </c>
      <c r="B20" s="44"/>
      <c r="C20" s="44"/>
      <c r="F20" s="145" t="e">
        <f ca="1">Calcu!AA12</f>
        <v>#VALUE!</v>
      </c>
      <c r="G20" s="145" t="e">
        <f ca="1">Calcu!AC12</f>
        <v>#VALUE!</v>
      </c>
    </row>
    <row r="21" spans="1:10" ht="15" customHeight="1">
      <c r="A21" s="45" t="str">
        <f>IF(Calcu!B13=TRUE,"","삭제")</f>
        <v>삭제</v>
      </c>
      <c r="B21" s="44"/>
      <c r="C21" s="44"/>
      <c r="F21" s="145" t="e">
        <f ca="1">Calcu!AA13</f>
        <v>#VALUE!</v>
      </c>
      <c r="G21" s="145" t="e">
        <f ca="1">Calcu!AC13</f>
        <v>#VALUE!</v>
      </c>
    </row>
    <row r="22" spans="1:10" ht="15" customHeight="1">
      <c r="A22" s="45" t="str">
        <f>IF(Calcu!B14=TRUE,"","삭제")</f>
        <v>삭제</v>
      </c>
      <c r="B22" s="44"/>
      <c r="C22" s="44"/>
      <c r="F22" s="145" t="e">
        <f ca="1">Calcu!AA14</f>
        <v>#VALUE!</v>
      </c>
      <c r="G22" s="145" t="e">
        <f ca="1">Calcu!AC14</f>
        <v>#VALUE!</v>
      </c>
    </row>
    <row r="23" spans="1:10" ht="15" customHeight="1">
      <c r="A23" s="45" t="str">
        <f>IF(Calcu!B15=TRUE,"","삭제")</f>
        <v>삭제</v>
      </c>
      <c r="B23" s="44"/>
      <c r="C23" s="44"/>
      <c r="F23" s="145" t="e">
        <f ca="1">Calcu!AA15</f>
        <v>#VALUE!</v>
      </c>
      <c r="G23" s="145" t="e">
        <f ca="1">Calcu!AC15</f>
        <v>#VALUE!</v>
      </c>
    </row>
    <row r="24" spans="1:10" ht="15" customHeight="1">
      <c r="A24" s="45" t="str">
        <f>IF(Calcu!B16=TRUE,"","삭제")</f>
        <v>삭제</v>
      </c>
      <c r="B24" s="44"/>
      <c r="C24" s="44"/>
      <c r="F24" s="145" t="e">
        <f ca="1">Calcu!AA16</f>
        <v>#VALUE!</v>
      </c>
      <c r="G24" s="145" t="e">
        <f ca="1">Calcu!AC16</f>
        <v>#VALUE!</v>
      </c>
    </row>
    <row r="25" spans="1:10" ht="15" customHeight="1">
      <c r="A25" s="45" t="str">
        <f>IF(Calcu!B17=TRUE,"","삭제")</f>
        <v>삭제</v>
      </c>
      <c r="B25" s="44"/>
      <c r="C25" s="44"/>
      <c r="F25" s="145" t="e">
        <f ca="1">Calcu!AA17</f>
        <v>#VALUE!</v>
      </c>
      <c r="G25" s="145" t="e">
        <f ca="1">Calcu!AC17</f>
        <v>#VALUE!</v>
      </c>
    </row>
    <row r="26" spans="1:10" ht="15" customHeight="1">
      <c r="A26" s="45" t="str">
        <f>IF(Calcu!B18=TRUE,"","삭제")</f>
        <v>삭제</v>
      </c>
      <c r="B26" s="44"/>
      <c r="C26" s="44"/>
      <c r="F26" s="145" t="e">
        <f ca="1">Calcu!AA18</f>
        <v>#VALUE!</v>
      </c>
      <c r="G26" s="145" t="e">
        <f ca="1">Calcu!AC18</f>
        <v>#VALUE!</v>
      </c>
    </row>
    <row r="27" spans="1:10" ht="15" customHeight="1">
      <c r="A27" s="45"/>
      <c r="F27" s="104"/>
      <c r="G27" s="104"/>
      <c r="H27" s="52"/>
    </row>
    <row r="28" spans="1:10" ht="15" customHeight="1">
      <c r="A28" s="45"/>
      <c r="F28" s="39" t="e">
        <f ca="1">"● Measurement uncertainty : "&amp;Calcu!T37</f>
        <v>#VALUE!</v>
      </c>
      <c r="H28" s="39"/>
    </row>
    <row r="29" spans="1:10" ht="15" customHeight="1">
      <c r="A29" s="45"/>
      <c r="G29" s="259" t="e">
        <f>IF(Calcu!E47="사다리꼴","(Confidence level 95 %,","(Confidence level about 95 %,")</f>
        <v>#VALUE!</v>
      </c>
      <c r="H29" s="51" t="e">
        <f ca="1">Calcu!E48&amp;")"</f>
        <v>#VALUE!</v>
      </c>
      <c r="J29" s="51"/>
    </row>
    <row r="30" spans="1:10" ht="15" customHeight="1">
      <c r="A30" s="45"/>
      <c r="F30" s="39" t="e">
        <f>IF(Calcu!E47="사다리꼴","※ Trapezoid probability distribution","")</f>
        <v>#VALUE!</v>
      </c>
      <c r="G30" s="54"/>
      <c r="H30" s="51"/>
      <c r="I30" s="51"/>
      <c r="J30" s="51"/>
    </row>
    <row r="31" spans="1:10" ht="15" customHeight="1">
      <c r="F31" s="75"/>
      <c r="G31" s="75"/>
      <c r="H31" s="75"/>
      <c r="I31" s="76"/>
    </row>
    <row r="34" spans="13:13" ht="15" customHeight="1">
      <c r="M34" s="52"/>
    </row>
    <row r="35" spans="13:13" ht="15" customHeight="1">
      <c r="M35" s="52"/>
    </row>
    <row r="37" spans="13:13" ht="15" customHeight="1">
      <c r="M37" s="51"/>
    </row>
  </sheetData>
  <mergeCells count="1">
    <mergeCell ref="A1:L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9"/>
  <sheetViews>
    <sheetView showGridLines="0" showWhiteSpace="0" zoomScaleNormal="100" zoomScaleSheetLayoutView="100" workbookViewId="0">
      <selection sqref="A1:Q2"/>
    </sheetView>
  </sheetViews>
  <sheetFormatPr defaultColWidth="8.77734375" defaultRowHeight="15" customHeight="1"/>
  <cols>
    <col min="1" max="1" width="3.77734375" style="38" customWidth="1"/>
    <col min="2" max="5" width="1.77734375" style="38" hidden="1" customWidth="1"/>
    <col min="6" max="6" width="9.21875" style="38" customWidth="1"/>
    <col min="7" max="7" width="4.44140625" style="38" bestFit="1" customWidth="1"/>
    <col min="8" max="8" width="8.77734375" style="38"/>
    <col min="9" max="9" width="1.77734375" style="38" customWidth="1"/>
    <col min="10" max="10" width="7.5546875" style="38" bestFit="1" customWidth="1"/>
    <col min="11" max="11" width="9.109375" style="38" bestFit="1" customWidth="1"/>
    <col min="12" max="12" width="5.21875" style="38" bestFit="1" customWidth="1"/>
    <col min="13" max="13" width="7.5546875" style="38" bestFit="1" customWidth="1"/>
    <col min="14" max="14" width="9.109375" style="38" bestFit="1" customWidth="1"/>
    <col min="15" max="15" width="5.21875" style="38" bestFit="1" customWidth="1"/>
    <col min="16" max="16" width="1.77734375" style="38" customWidth="1"/>
    <col min="17" max="17" width="10.33203125" style="38" customWidth="1"/>
    <col min="18" max="16384" width="8.77734375" style="38"/>
  </cols>
  <sheetData>
    <row r="1" spans="1:17" s="48" customFormat="1" ht="33" customHeight="1">
      <c r="A1" s="364" t="s">
        <v>472</v>
      </c>
      <c r="B1" s="364"/>
      <c r="C1" s="364"/>
      <c r="D1" s="364"/>
      <c r="E1" s="364"/>
      <c r="F1" s="364"/>
      <c r="G1" s="364"/>
      <c r="H1" s="364"/>
      <c r="I1" s="364"/>
      <c r="J1" s="364"/>
      <c r="K1" s="364"/>
      <c r="L1" s="364"/>
      <c r="M1" s="364"/>
      <c r="N1" s="364"/>
      <c r="O1" s="364"/>
      <c r="P1" s="364"/>
      <c r="Q1" s="364"/>
    </row>
    <row r="2" spans="1:17" s="48" customFormat="1" ht="33" customHeight="1">
      <c r="A2" s="364"/>
      <c r="B2" s="364"/>
      <c r="C2" s="364"/>
      <c r="D2" s="364"/>
      <c r="E2" s="364"/>
      <c r="F2" s="364"/>
      <c r="G2" s="364"/>
      <c r="H2" s="364"/>
      <c r="I2" s="364"/>
      <c r="J2" s="364"/>
      <c r="K2" s="364"/>
      <c r="L2" s="364"/>
      <c r="M2" s="364"/>
      <c r="N2" s="364"/>
      <c r="O2" s="364"/>
      <c r="P2" s="364"/>
      <c r="Q2" s="364"/>
    </row>
    <row r="3" spans="1:17" s="48" customFormat="1" ht="12.75" customHeight="1">
      <c r="A3" s="49" t="s">
        <v>473</v>
      </c>
      <c r="B3" s="49"/>
      <c r="C3" s="49"/>
      <c r="D3" s="49"/>
      <c r="E3" s="49"/>
      <c r="F3" s="22"/>
      <c r="G3" s="22"/>
      <c r="H3" s="22"/>
      <c r="I3" s="22"/>
      <c r="J3" s="22"/>
      <c r="K3" s="22"/>
      <c r="L3" s="22"/>
      <c r="M3" s="22"/>
    </row>
    <row r="4" spans="1:17" s="50" customFormat="1" ht="13.5" customHeight="1">
      <c r="A4" s="224" t="str">
        <f>" 교   정   번   호(Calibration No) : "&amp;기본정보!H3</f>
        <v xml:space="preserve"> 교   정   번   호(Calibration No) : </v>
      </c>
      <c r="B4" s="224"/>
      <c r="C4" s="224"/>
      <c r="D4" s="224"/>
      <c r="E4" s="224"/>
      <c r="F4" s="253"/>
      <c r="G4" s="253"/>
      <c r="H4" s="253"/>
      <c r="I4" s="253"/>
      <c r="J4" s="253"/>
      <c r="K4" s="284"/>
      <c r="L4" s="285"/>
      <c r="M4" s="286"/>
      <c r="N4" s="286"/>
      <c r="O4" s="286"/>
      <c r="P4" s="286"/>
      <c r="Q4" s="286"/>
    </row>
    <row r="5" spans="1:17" s="37" customFormat="1" ht="15" customHeight="1"/>
    <row r="6" spans="1:17" ht="15" customHeight="1">
      <c r="F6" s="55" t="str">
        <f>"○ 품명 : "&amp;기본정보!C$5</f>
        <v xml:space="preserve">○ 품명 : </v>
      </c>
      <c r="G6" s="55"/>
    </row>
    <row r="7" spans="1:17" ht="15" customHeight="1">
      <c r="F7" s="55" t="str">
        <f>"○ 제작회사 : "&amp;기본정보!C$6</f>
        <v xml:space="preserve">○ 제작회사 : </v>
      </c>
      <c r="G7" s="55"/>
    </row>
    <row r="8" spans="1:17" ht="15" customHeight="1">
      <c r="F8" s="55" t="str">
        <f>"○ 형식 : "&amp;기본정보!C$7</f>
        <v xml:space="preserve">○ 형식 : </v>
      </c>
      <c r="G8" s="55"/>
    </row>
    <row r="9" spans="1:17" ht="15" customHeight="1">
      <c r="F9" s="55" t="str">
        <f>"○ 기기번호 : "&amp;기본정보!C$8</f>
        <v xml:space="preserve">○ 기기번호 : </v>
      </c>
      <c r="G9" s="55"/>
    </row>
    <row r="11" spans="1:17" ht="15" customHeight="1">
      <c r="F11" s="39" t="s">
        <v>474</v>
      </c>
      <c r="G11" s="39"/>
    </row>
    <row r="12" spans="1:17" ht="15" customHeight="1">
      <c r="F12" s="55" t="e">
        <f ca="1">"○ 교정범위 : ("&amp;ROUND(Calcu!J3,Calcu!M37)&amp;" ~ "&amp;ROUND(Calcu!K3,Calcu!M37)&amp;") mm"</f>
        <v>#VALUE!</v>
      </c>
      <c r="G12" s="55"/>
    </row>
    <row r="13" spans="1:17" ht="15" customHeight="1">
      <c r="A13" s="45"/>
      <c r="C13" s="45"/>
      <c r="D13" s="45"/>
      <c r="E13" s="45"/>
      <c r="F13" s="55" t="str">
        <f ca="1">"○ 최소눈금 : "&amp;Calcu!M3&amp;" mm"</f>
        <v>○ 최소눈금 : 0 mm</v>
      </c>
      <c r="G13" s="55"/>
    </row>
    <row r="14" spans="1:17" ht="15" customHeight="1">
      <c r="A14" s="45"/>
      <c r="B14" s="45"/>
      <c r="C14" s="45"/>
      <c r="D14" s="45"/>
      <c r="E14" s="45"/>
    </row>
    <row r="15" spans="1:17" s="287" customFormat="1" ht="15" customHeight="1">
      <c r="B15" s="371"/>
      <c r="C15" s="373"/>
      <c r="D15" s="373"/>
      <c r="E15" s="373"/>
      <c r="F15" s="375" t="s">
        <v>493</v>
      </c>
      <c r="G15" s="377" t="s">
        <v>475</v>
      </c>
      <c r="H15" s="379" t="s">
        <v>476</v>
      </c>
      <c r="I15" s="381"/>
      <c r="J15" s="382" t="s">
        <v>477</v>
      </c>
      <c r="K15" s="382"/>
      <c r="L15" s="382"/>
      <c r="M15" s="366" t="s">
        <v>478</v>
      </c>
      <c r="N15" s="366"/>
      <c r="O15" s="366"/>
      <c r="P15" s="367"/>
      <c r="Q15" s="369" t="s">
        <v>479</v>
      </c>
    </row>
    <row r="16" spans="1:17" s="288" customFormat="1" ht="22.5">
      <c r="B16" s="372"/>
      <c r="C16" s="374"/>
      <c r="D16" s="374"/>
      <c r="E16" s="374"/>
      <c r="F16" s="376"/>
      <c r="G16" s="378"/>
      <c r="H16" s="380"/>
      <c r="I16" s="374"/>
      <c r="J16" s="290" t="s">
        <v>494</v>
      </c>
      <c r="K16" s="291" t="s">
        <v>495</v>
      </c>
      <c r="L16" s="291" t="s">
        <v>496</v>
      </c>
      <c r="M16" s="290" t="s">
        <v>494</v>
      </c>
      <c r="N16" s="291" t="s">
        <v>495</v>
      </c>
      <c r="O16" s="291" t="s">
        <v>496</v>
      </c>
      <c r="P16" s="368"/>
      <c r="Q16" s="370"/>
    </row>
    <row r="17" spans="1:17" ht="15" customHeight="1">
      <c r="A17" s="45" t="str">
        <f>IF(Calcu!B9=TRUE,"","삭제")</f>
        <v>삭제</v>
      </c>
      <c r="B17" s="44"/>
      <c r="C17" s="44"/>
      <c r="D17" s="44"/>
      <c r="E17" s="44"/>
      <c r="F17" s="52" t="e">
        <f ca="1">Calcu!AA9</f>
        <v>#VALUE!</v>
      </c>
      <c r="G17" s="52" t="s">
        <v>480</v>
      </c>
      <c r="H17" s="52" t="e">
        <f ca="1">Calcu!AD9</f>
        <v>#VALUE!</v>
      </c>
      <c r="J17" s="38" t="e">
        <f ca="1">Calcu!AB9</f>
        <v>#VALUE!</v>
      </c>
      <c r="K17" s="38" t="e">
        <f ca="1">Calcu!AC9</f>
        <v>#VALUE!</v>
      </c>
      <c r="L17" s="38" t="str">
        <f>LEFT(Calcu!AE9)</f>
        <v/>
      </c>
      <c r="M17" s="38" t="s">
        <v>481</v>
      </c>
      <c r="N17" s="38" t="s">
        <v>481</v>
      </c>
      <c r="O17" s="38" t="s">
        <v>482</v>
      </c>
      <c r="Q17" s="38" t="e">
        <f ca="1">Calcu!AF9</f>
        <v>#VALUE!</v>
      </c>
    </row>
    <row r="18" spans="1:17" ht="15" customHeight="1">
      <c r="A18" s="45" t="str">
        <f>IF(Calcu!B10=TRUE,"","삭제")</f>
        <v>삭제</v>
      </c>
      <c r="B18" s="44"/>
      <c r="C18" s="44"/>
      <c r="D18" s="44"/>
      <c r="E18" s="44"/>
      <c r="F18" s="52" t="e">
        <f ca="1">Calcu!AA10</f>
        <v>#VALUE!</v>
      </c>
      <c r="G18" s="52" t="s">
        <v>480</v>
      </c>
      <c r="H18" s="52" t="e">
        <f ca="1">Calcu!AD10</f>
        <v>#VALUE!</v>
      </c>
      <c r="J18" s="38" t="e">
        <f ca="1">Calcu!AB10</f>
        <v>#VALUE!</v>
      </c>
      <c r="K18" s="38" t="e">
        <f ca="1">Calcu!AC10</f>
        <v>#VALUE!</v>
      </c>
      <c r="L18" s="38" t="str">
        <f>LEFT(Calcu!AE10)</f>
        <v/>
      </c>
      <c r="M18" s="38" t="s">
        <v>481</v>
      </c>
      <c r="N18" s="38" t="s">
        <v>483</v>
      </c>
      <c r="O18" s="38" t="s">
        <v>484</v>
      </c>
      <c r="Q18" s="38" t="e">
        <f ca="1">Calcu!AF10</f>
        <v>#VALUE!</v>
      </c>
    </row>
    <row r="19" spans="1:17" ht="15" customHeight="1">
      <c r="A19" s="45" t="str">
        <f>IF(Calcu!B11=TRUE,"","삭제")</f>
        <v>삭제</v>
      </c>
      <c r="B19" s="44"/>
      <c r="C19" s="44"/>
      <c r="D19" s="44"/>
      <c r="E19" s="44"/>
      <c r="F19" s="52" t="e">
        <f ca="1">Calcu!AA11</f>
        <v>#VALUE!</v>
      </c>
      <c r="G19" s="52" t="s">
        <v>485</v>
      </c>
      <c r="H19" s="52" t="e">
        <f ca="1">Calcu!AD11</f>
        <v>#VALUE!</v>
      </c>
      <c r="J19" s="38" t="e">
        <f ca="1">Calcu!AB11</f>
        <v>#VALUE!</v>
      </c>
      <c r="K19" s="38" t="e">
        <f ca="1">Calcu!AC11</f>
        <v>#VALUE!</v>
      </c>
      <c r="L19" s="38" t="str">
        <f>LEFT(Calcu!AE11)</f>
        <v/>
      </c>
      <c r="M19" s="38" t="s">
        <v>483</v>
      </c>
      <c r="N19" s="38" t="s">
        <v>486</v>
      </c>
      <c r="O19" s="38" t="s">
        <v>487</v>
      </c>
      <c r="Q19" s="38" t="e">
        <f ca="1">Calcu!AF11</f>
        <v>#VALUE!</v>
      </c>
    </row>
    <row r="20" spans="1:17" ht="15" customHeight="1">
      <c r="A20" s="45" t="str">
        <f>IF(Calcu!B12=TRUE,"","삭제")</f>
        <v>삭제</v>
      </c>
      <c r="B20" s="44"/>
      <c r="C20" s="44"/>
      <c r="D20" s="44"/>
      <c r="E20" s="44"/>
      <c r="F20" s="52" t="e">
        <f ca="1">Calcu!AA12</f>
        <v>#VALUE!</v>
      </c>
      <c r="G20" s="52" t="s">
        <v>485</v>
      </c>
      <c r="H20" s="52" t="e">
        <f ca="1">Calcu!AD12</f>
        <v>#VALUE!</v>
      </c>
      <c r="J20" s="38" t="e">
        <f ca="1">Calcu!AB12</f>
        <v>#VALUE!</v>
      </c>
      <c r="K20" s="38" t="e">
        <f ca="1">Calcu!AC12</f>
        <v>#VALUE!</v>
      </c>
      <c r="L20" s="38" t="str">
        <f>LEFT(Calcu!AE12)</f>
        <v/>
      </c>
      <c r="M20" s="38" t="s">
        <v>488</v>
      </c>
      <c r="N20" s="38" t="s">
        <v>483</v>
      </c>
      <c r="O20" s="38" t="s">
        <v>481</v>
      </c>
      <c r="Q20" s="38" t="e">
        <f ca="1">Calcu!AF12</f>
        <v>#VALUE!</v>
      </c>
    </row>
    <row r="21" spans="1:17" ht="15" customHeight="1">
      <c r="A21" s="45" t="str">
        <f>IF(Calcu!B13=TRUE,"","삭제")</f>
        <v>삭제</v>
      </c>
      <c r="B21" s="44"/>
      <c r="C21" s="44"/>
      <c r="D21" s="44"/>
      <c r="E21" s="44"/>
      <c r="F21" s="52" t="e">
        <f ca="1">Calcu!AA13</f>
        <v>#VALUE!</v>
      </c>
      <c r="G21" s="52" t="s">
        <v>480</v>
      </c>
      <c r="H21" s="52" t="e">
        <f ca="1">Calcu!AD13</f>
        <v>#VALUE!</v>
      </c>
      <c r="J21" s="38" t="e">
        <f ca="1">Calcu!AB13</f>
        <v>#VALUE!</v>
      </c>
      <c r="K21" s="38" t="e">
        <f ca="1">Calcu!AC13</f>
        <v>#VALUE!</v>
      </c>
      <c r="L21" s="38" t="str">
        <f>LEFT(Calcu!AE13)</f>
        <v/>
      </c>
      <c r="M21" s="38" t="s">
        <v>486</v>
      </c>
      <c r="N21" s="38" t="s">
        <v>486</v>
      </c>
      <c r="O21" s="38" t="s">
        <v>483</v>
      </c>
      <c r="Q21" s="38" t="e">
        <f ca="1">Calcu!AF13</f>
        <v>#VALUE!</v>
      </c>
    </row>
    <row r="22" spans="1:17" ht="15" customHeight="1">
      <c r="A22" s="45" t="str">
        <f>IF(Calcu!B14=TRUE,"","삭제")</f>
        <v>삭제</v>
      </c>
      <c r="B22" s="44"/>
      <c r="C22" s="44"/>
      <c r="D22" s="44"/>
      <c r="E22" s="44"/>
      <c r="F22" s="52" t="e">
        <f ca="1">Calcu!AA14</f>
        <v>#VALUE!</v>
      </c>
      <c r="G22" s="52" t="s">
        <v>480</v>
      </c>
      <c r="H22" s="52" t="e">
        <f ca="1">Calcu!AD14</f>
        <v>#VALUE!</v>
      </c>
      <c r="J22" s="38" t="e">
        <f ca="1">Calcu!AB14</f>
        <v>#VALUE!</v>
      </c>
      <c r="K22" s="38" t="e">
        <f ca="1">Calcu!AC14</f>
        <v>#VALUE!</v>
      </c>
      <c r="L22" s="38" t="str">
        <f>LEFT(Calcu!AE14)</f>
        <v/>
      </c>
      <c r="M22" s="38" t="s">
        <v>486</v>
      </c>
      <c r="N22" s="38" t="s">
        <v>486</v>
      </c>
      <c r="O22" s="38" t="s">
        <v>486</v>
      </c>
      <c r="Q22" s="38" t="e">
        <f ca="1">Calcu!AF14</f>
        <v>#VALUE!</v>
      </c>
    </row>
    <row r="23" spans="1:17" ht="15" customHeight="1">
      <c r="A23" s="45" t="str">
        <f>IF(Calcu!B15=TRUE,"","삭제")</f>
        <v>삭제</v>
      </c>
      <c r="B23" s="44"/>
      <c r="C23" s="44"/>
      <c r="D23" s="44"/>
      <c r="E23" s="44"/>
      <c r="F23" s="52" t="e">
        <f ca="1">Calcu!AA15</f>
        <v>#VALUE!</v>
      </c>
      <c r="G23" s="52" t="s">
        <v>471</v>
      </c>
      <c r="H23" s="52" t="e">
        <f ca="1">Calcu!AD15</f>
        <v>#VALUE!</v>
      </c>
      <c r="J23" s="38" t="e">
        <f ca="1">Calcu!AB15</f>
        <v>#VALUE!</v>
      </c>
      <c r="K23" s="38" t="e">
        <f ca="1">Calcu!AC15</f>
        <v>#VALUE!</v>
      </c>
      <c r="L23" s="38" t="str">
        <f>LEFT(Calcu!AE15)</f>
        <v/>
      </c>
      <c r="M23" s="38" t="s">
        <v>489</v>
      </c>
      <c r="N23" s="38" t="s">
        <v>484</v>
      </c>
      <c r="O23" s="38" t="s">
        <v>489</v>
      </c>
      <c r="Q23" s="38" t="e">
        <f ca="1">Calcu!AF15</f>
        <v>#VALUE!</v>
      </c>
    </row>
    <row r="24" spans="1:17" ht="15" customHeight="1">
      <c r="A24" s="45" t="str">
        <f>IF(Calcu!B16=TRUE,"","삭제")</f>
        <v>삭제</v>
      </c>
      <c r="B24" s="44"/>
      <c r="C24" s="44"/>
      <c r="D24" s="44"/>
      <c r="E24" s="44"/>
      <c r="F24" s="52" t="e">
        <f ca="1">Calcu!AA16</f>
        <v>#VALUE!</v>
      </c>
      <c r="G24" s="52" t="s">
        <v>490</v>
      </c>
      <c r="H24" s="52" t="e">
        <f ca="1">Calcu!AD16</f>
        <v>#VALUE!</v>
      </c>
      <c r="J24" s="38" t="e">
        <f ca="1">Calcu!AB16</f>
        <v>#VALUE!</v>
      </c>
      <c r="K24" s="38" t="e">
        <f ca="1">Calcu!AC16</f>
        <v>#VALUE!</v>
      </c>
      <c r="L24" s="38" t="str">
        <f>LEFT(Calcu!AE16)</f>
        <v/>
      </c>
      <c r="M24" s="38" t="s">
        <v>481</v>
      </c>
      <c r="N24" s="38" t="s">
        <v>481</v>
      </c>
      <c r="O24" s="38" t="s">
        <v>481</v>
      </c>
      <c r="Q24" s="38" t="e">
        <f ca="1">Calcu!AF16</f>
        <v>#VALUE!</v>
      </c>
    </row>
    <row r="25" spans="1:17" ht="15" customHeight="1">
      <c r="A25" s="45" t="str">
        <f>IF(Calcu!B17=TRUE,"","삭제")</f>
        <v>삭제</v>
      </c>
      <c r="B25" s="44"/>
      <c r="C25" s="44"/>
      <c r="D25" s="44"/>
      <c r="E25" s="44"/>
      <c r="F25" s="52" t="e">
        <f ca="1">Calcu!AA17</f>
        <v>#VALUE!</v>
      </c>
      <c r="G25" s="52" t="s">
        <v>485</v>
      </c>
      <c r="H25" s="52" t="e">
        <f ca="1">Calcu!AD17</f>
        <v>#VALUE!</v>
      </c>
      <c r="J25" s="38" t="e">
        <f ca="1">Calcu!AB17</f>
        <v>#VALUE!</v>
      </c>
      <c r="K25" s="38" t="e">
        <f ca="1">Calcu!AC17</f>
        <v>#VALUE!</v>
      </c>
      <c r="L25" s="38" t="str">
        <f>LEFT(Calcu!AE17)</f>
        <v/>
      </c>
      <c r="M25" s="38" t="s">
        <v>481</v>
      </c>
      <c r="N25" s="38" t="s">
        <v>486</v>
      </c>
      <c r="O25" s="38" t="s">
        <v>481</v>
      </c>
      <c r="Q25" s="38" t="e">
        <f ca="1">Calcu!AF17</f>
        <v>#VALUE!</v>
      </c>
    </row>
    <row r="26" spans="1:17" ht="15" customHeight="1">
      <c r="A26" s="45" t="str">
        <f>IF(Calcu!B18=TRUE,"","삭제")</f>
        <v>삭제</v>
      </c>
      <c r="B26" s="44"/>
      <c r="C26" s="44"/>
      <c r="D26" s="44"/>
      <c r="E26" s="44"/>
      <c r="F26" s="52" t="e">
        <f ca="1">Calcu!AA18</f>
        <v>#VALUE!</v>
      </c>
      <c r="G26" s="52" t="s">
        <v>491</v>
      </c>
      <c r="H26" s="52" t="e">
        <f ca="1">Calcu!AD18</f>
        <v>#VALUE!</v>
      </c>
      <c r="J26" s="38" t="e">
        <f ca="1">Calcu!AB18</f>
        <v>#VALUE!</v>
      </c>
      <c r="K26" s="38" t="e">
        <f ca="1">Calcu!AC18</f>
        <v>#VALUE!</v>
      </c>
      <c r="L26" s="38" t="str">
        <f>LEFT(Calcu!AE18)</f>
        <v/>
      </c>
      <c r="M26" s="38" t="s">
        <v>484</v>
      </c>
      <c r="N26" s="38" t="s">
        <v>492</v>
      </c>
      <c r="O26" s="38" t="s">
        <v>486</v>
      </c>
      <c r="Q26" s="38" t="e">
        <f ca="1">Calcu!AF18</f>
        <v>#VALUE!</v>
      </c>
    </row>
    <row r="27" spans="1:17" ht="15" customHeight="1">
      <c r="A27" s="45"/>
      <c r="F27" s="52"/>
      <c r="G27" s="52"/>
      <c r="H27" s="52"/>
    </row>
    <row r="28" spans="1:17" ht="15" customHeight="1">
      <c r="A28" s="45"/>
      <c r="G28" s="54" t="str">
        <f>IF(Calcu!J47="사다리꼴","※ 신뢰수준 95 %,","※ 신뢰수준 약 95 %,")</f>
        <v>※ 신뢰수준 약 95 %,</v>
      </c>
      <c r="H28" s="289" t="e">
        <f ca="1">Calcu!E48&amp;IF(Calcu!E47="사다리꼴",", 사다리꼴 확률분포","")</f>
        <v>#VALUE!</v>
      </c>
      <c r="K28" s="51"/>
      <c r="Q28" s="54"/>
    </row>
    <row r="29" spans="1:17" ht="15" customHeight="1"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6"/>
    </row>
  </sheetData>
  <mergeCells count="13">
    <mergeCell ref="M15:O15"/>
    <mergeCell ref="P15:P16"/>
    <mergeCell ref="Q15:Q16"/>
    <mergeCell ref="A1:Q2"/>
    <mergeCell ref="B15:B16"/>
    <mergeCell ref="C15:C16"/>
    <mergeCell ref="D15:D16"/>
    <mergeCell ref="E15:E16"/>
    <mergeCell ref="F15:F16"/>
    <mergeCell ref="G15:G16"/>
    <mergeCell ref="H15:H16"/>
    <mergeCell ref="I15:I16"/>
    <mergeCell ref="J15:L15"/>
  </mergeCells>
  <phoneticPr fontId="4" type="noConversion"/>
  <printOptions horizontalCentered="1"/>
  <pageMargins left="0" right="0" top="0.35433070866141736" bottom="0.59055118110236227" header="0" footer="0"/>
  <pageSetup paperSize="9" fitToHeight="0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21"/>
  <sheetViews>
    <sheetView showGridLines="0" showWhiteSpace="0" zoomScaleNormal="100" zoomScaleSheetLayoutView="100" workbookViewId="0">
      <selection sqref="A1:L2"/>
    </sheetView>
  </sheetViews>
  <sheetFormatPr defaultColWidth="10.77734375" defaultRowHeight="15" customHeight="1"/>
  <cols>
    <col min="1" max="4" width="5.21875" style="38" customWidth="1"/>
    <col min="5" max="9" width="9.77734375" style="38" customWidth="1"/>
    <col min="10" max="11" width="4.109375" style="38" customWidth="1"/>
    <col min="12" max="12" width="4.109375" style="95" customWidth="1"/>
    <col min="13" max="13" width="6.77734375" style="112" customWidth="1"/>
    <col min="14" max="16384" width="10.77734375" style="95"/>
  </cols>
  <sheetData>
    <row r="1" spans="1:13" s="82" customFormat="1" ht="33" customHeight="1">
      <c r="A1" s="385" t="s">
        <v>73</v>
      </c>
      <c r="B1" s="385"/>
      <c r="C1" s="385"/>
      <c r="D1" s="385"/>
      <c r="E1" s="385"/>
      <c r="F1" s="385"/>
      <c r="G1" s="385"/>
      <c r="H1" s="385"/>
      <c r="I1" s="385"/>
      <c r="J1" s="385"/>
      <c r="K1" s="385"/>
      <c r="L1" s="385"/>
      <c r="M1" s="84"/>
    </row>
    <row r="2" spans="1:13" s="82" customFormat="1" ht="33" customHeight="1">
      <c r="A2" s="385"/>
      <c r="B2" s="385"/>
      <c r="C2" s="385"/>
      <c r="D2" s="385"/>
      <c r="E2" s="385"/>
      <c r="F2" s="385"/>
      <c r="G2" s="385"/>
      <c r="H2" s="385"/>
      <c r="I2" s="385"/>
      <c r="J2" s="385"/>
      <c r="K2" s="385"/>
      <c r="L2" s="385"/>
      <c r="M2" s="84"/>
    </row>
    <row r="3" spans="1:13" s="82" customFormat="1" ht="12.75" customHeight="1">
      <c r="A3" s="49"/>
      <c r="B3" s="49"/>
      <c r="C3" s="49"/>
      <c r="D3" s="22"/>
      <c r="E3" s="22"/>
      <c r="F3" s="22"/>
      <c r="G3" s="22"/>
      <c r="H3" s="22"/>
      <c r="I3" s="22"/>
      <c r="J3" s="22"/>
      <c r="K3" s="22"/>
      <c r="L3" s="83"/>
      <c r="M3" s="111"/>
    </row>
    <row r="4" spans="1:13" s="84" customFormat="1" ht="13.5" customHeight="1">
      <c r="A4" s="92"/>
      <c r="B4" s="92"/>
      <c r="C4" s="224"/>
      <c r="D4" s="93"/>
      <c r="E4" s="93"/>
      <c r="F4" s="102"/>
      <c r="G4" s="93"/>
      <c r="H4" s="93"/>
      <c r="I4" s="103"/>
      <c r="J4" s="94"/>
      <c r="K4" s="102"/>
      <c r="L4" s="92"/>
      <c r="M4" s="37"/>
    </row>
    <row r="5" spans="1:13" s="85" customFormat="1" ht="15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</row>
    <row r="6" spans="1:13" s="87" customFormat="1" ht="15" customHeight="1">
      <c r="A6" s="44"/>
      <c r="D6" s="44"/>
      <c r="E6" s="39" t="s">
        <v>223</v>
      </c>
      <c r="F6" s="38"/>
      <c r="G6" s="53"/>
      <c r="H6" s="53"/>
      <c r="I6" s="53"/>
      <c r="J6" s="52"/>
      <c r="K6" s="38"/>
      <c r="L6" s="96"/>
    </row>
    <row r="7" spans="1:13" s="87" customFormat="1" ht="15" customHeight="1">
      <c r="A7" s="44"/>
      <c r="D7" s="44"/>
      <c r="E7" s="144" t="s">
        <v>174</v>
      </c>
      <c r="F7" s="144" t="s">
        <v>109</v>
      </c>
      <c r="G7" s="178" t="s">
        <v>108</v>
      </c>
      <c r="H7" s="383" t="s">
        <v>110</v>
      </c>
      <c r="I7" s="52"/>
    </row>
    <row r="8" spans="1:13" s="87" customFormat="1" ht="15" customHeight="1">
      <c r="A8" s="44"/>
      <c r="D8" s="44"/>
      <c r="E8" s="143" t="s">
        <v>224</v>
      </c>
      <c r="F8" s="143" t="s">
        <v>224</v>
      </c>
      <c r="G8" s="143" t="s">
        <v>224</v>
      </c>
      <c r="H8" s="384"/>
      <c r="I8" s="52"/>
    </row>
    <row r="9" spans="1:13" s="87" customFormat="1" ht="15" customHeight="1">
      <c r="A9" s="44" t="str">
        <f>IF(Calcu!B9=TRUE,"","삭제")</f>
        <v>삭제</v>
      </c>
      <c r="D9" s="44"/>
      <c r="E9" s="144" t="e">
        <f ca="1">Calcu!AA9</f>
        <v>#VALUE!</v>
      </c>
      <c r="F9" s="144" t="e">
        <f ca="1">Calcu!AB9</f>
        <v>#VALUE!</v>
      </c>
      <c r="G9" s="144" t="e">
        <f ca="1">Calcu!AD9</f>
        <v>#VALUE!</v>
      </c>
      <c r="H9" s="225" t="str">
        <f>Calcu!AE9</f>
        <v/>
      </c>
      <c r="I9" s="52"/>
    </row>
    <row r="10" spans="1:13" s="87" customFormat="1" ht="15" customHeight="1">
      <c r="A10" s="44" t="str">
        <f>IF(Calcu!B10=TRUE,"","삭제")</f>
        <v>삭제</v>
      </c>
      <c r="D10" s="44"/>
      <c r="E10" s="144" t="e">
        <f ca="1">Calcu!AA10</f>
        <v>#VALUE!</v>
      </c>
      <c r="F10" s="144" t="e">
        <f ca="1">Calcu!AB10</f>
        <v>#VALUE!</v>
      </c>
      <c r="G10" s="144" t="e">
        <f ca="1">Calcu!AD10</f>
        <v>#VALUE!</v>
      </c>
      <c r="H10" s="225" t="str">
        <f>Calcu!AE10</f>
        <v/>
      </c>
      <c r="I10" s="52"/>
    </row>
    <row r="11" spans="1:13" s="87" customFormat="1" ht="15" customHeight="1">
      <c r="A11" s="44" t="str">
        <f>IF(Calcu!B11=TRUE,"","삭제")</f>
        <v>삭제</v>
      </c>
      <c r="D11" s="44"/>
      <c r="E11" s="144" t="e">
        <f ca="1">Calcu!AA11</f>
        <v>#VALUE!</v>
      </c>
      <c r="F11" s="144" t="e">
        <f ca="1">Calcu!AB11</f>
        <v>#VALUE!</v>
      </c>
      <c r="G11" s="144" t="e">
        <f ca="1">Calcu!AD11</f>
        <v>#VALUE!</v>
      </c>
      <c r="H11" s="225" t="str">
        <f>Calcu!AE11</f>
        <v/>
      </c>
      <c r="I11" s="52"/>
    </row>
    <row r="12" spans="1:13" s="87" customFormat="1" ht="15" customHeight="1">
      <c r="A12" s="44" t="str">
        <f>IF(Calcu!B12=TRUE,"","삭제")</f>
        <v>삭제</v>
      </c>
      <c r="D12" s="44"/>
      <c r="E12" s="144" t="e">
        <f ca="1">Calcu!AA12</f>
        <v>#VALUE!</v>
      </c>
      <c r="F12" s="144" t="e">
        <f ca="1">Calcu!AB12</f>
        <v>#VALUE!</v>
      </c>
      <c r="G12" s="144" t="e">
        <f ca="1">Calcu!AD12</f>
        <v>#VALUE!</v>
      </c>
      <c r="H12" s="225" t="str">
        <f>Calcu!AE12</f>
        <v/>
      </c>
      <c r="I12" s="52"/>
    </row>
    <row r="13" spans="1:13" s="87" customFormat="1" ht="15" customHeight="1">
      <c r="A13" s="44" t="str">
        <f>IF(Calcu!B13=TRUE,"","삭제")</f>
        <v>삭제</v>
      </c>
      <c r="D13" s="44"/>
      <c r="E13" s="144" t="e">
        <f ca="1">Calcu!AA13</f>
        <v>#VALUE!</v>
      </c>
      <c r="F13" s="144" t="e">
        <f ca="1">Calcu!AB13</f>
        <v>#VALUE!</v>
      </c>
      <c r="G13" s="144" t="e">
        <f ca="1">Calcu!AD13</f>
        <v>#VALUE!</v>
      </c>
      <c r="H13" s="225" t="str">
        <f>Calcu!AE13</f>
        <v/>
      </c>
      <c r="I13" s="52"/>
    </row>
    <row r="14" spans="1:13" s="87" customFormat="1" ht="15" customHeight="1">
      <c r="A14" s="44" t="str">
        <f>IF(Calcu!B14=TRUE,"","삭제")</f>
        <v>삭제</v>
      </c>
      <c r="D14" s="44"/>
      <c r="E14" s="144" t="e">
        <f ca="1">Calcu!AA14</f>
        <v>#VALUE!</v>
      </c>
      <c r="F14" s="144" t="e">
        <f ca="1">Calcu!AB14</f>
        <v>#VALUE!</v>
      </c>
      <c r="G14" s="144" t="e">
        <f ca="1">Calcu!AD14</f>
        <v>#VALUE!</v>
      </c>
      <c r="H14" s="225" t="str">
        <f>Calcu!AE14</f>
        <v/>
      </c>
      <c r="I14" s="52"/>
    </row>
    <row r="15" spans="1:13" s="87" customFormat="1" ht="15" customHeight="1">
      <c r="A15" s="44" t="str">
        <f>IF(Calcu!B15=TRUE,"","삭제")</f>
        <v>삭제</v>
      </c>
      <c r="D15" s="44"/>
      <c r="E15" s="144" t="e">
        <f ca="1">Calcu!AA15</f>
        <v>#VALUE!</v>
      </c>
      <c r="F15" s="144" t="e">
        <f ca="1">Calcu!AB15</f>
        <v>#VALUE!</v>
      </c>
      <c r="G15" s="144" t="e">
        <f ca="1">Calcu!AD15</f>
        <v>#VALUE!</v>
      </c>
      <c r="H15" s="225" t="str">
        <f>Calcu!AE15</f>
        <v/>
      </c>
      <c r="I15" s="52"/>
    </row>
    <row r="16" spans="1:13" s="87" customFormat="1" ht="15" customHeight="1">
      <c r="A16" s="44" t="str">
        <f>IF(Calcu!B16=TRUE,"","삭제")</f>
        <v>삭제</v>
      </c>
      <c r="D16" s="44"/>
      <c r="E16" s="144" t="e">
        <f ca="1">Calcu!AA16</f>
        <v>#VALUE!</v>
      </c>
      <c r="F16" s="144" t="e">
        <f ca="1">Calcu!AB16</f>
        <v>#VALUE!</v>
      </c>
      <c r="G16" s="144" t="e">
        <f ca="1">Calcu!AD16</f>
        <v>#VALUE!</v>
      </c>
      <c r="H16" s="225" t="str">
        <f>Calcu!AE16</f>
        <v/>
      </c>
      <c r="I16" s="52"/>
    </row>
    <row r="17" spans="1:13" s="87" customFormat="1" ht="15" customHeight="1">
      <c r="A17" s="44" t="str">
        <f>IF(Calcu!B17=TRUE,"","삭제")</f>
        <v>삭제</v>
      </c>
      <c r="D17" s="44"/>
      <c r="E17" s="144" t="e">
        <f ca="1">Calcu!AA17</f>
        <v>#VALUE!</v>
      </c>
      <c r="F17" s="144" t="e">
        <f ca="1">Calcu!AB17</f>
        <v>#VALUE!</v>
      </c>
      <c r="G17" s="144" t="e">
        <f ca="1">Calcu!AD17</f>
        <v>#VALUE!</v>
      </c>
      <c r="H17" s="225" t="str">
        <f>Calcu!AE17</f>
        <v/>
      </c>
      <c r="I17" s="52"/>
    </row>
    <row r="18" spans="1:13" s="87" customFormat="1" ht="15" customHeight="1">
      <c r="A18" s="44" t="str">
        <f>IF(Calcu!B18=TRUE,"","삭제")</f>
        <v>삭제</v>
      </c>
      <c r="D18" s="44"/>
      <c r="E18" s="144" t="e">
        <f ca="1">Calcu!AA18</f>
        <v>#VALUE!</v>
      </c>
      <c r="F18" s="144" t="e">
        <f ca="1">Calcu!AB18</f>
        <v>#VALUE!</v>
      </c>
      <c r="G18" s="144" t="e">
        <f ca="1">Calcu!AD18</f>
        <v>#VALUE!</v>
      </c>
      <c r="H18" s="145" t="str">
        <f>Calcu!AE18</f>
        <v/>
      </c>
      <c r="I18" s="52"/>
    </row>
    <row r="19" spans="1:13" ht="15" customHeight="1">
      <c r="B19" s="95"/>
      <c r="C19" s="95"/>
      <c r="D19" s="75"/>
      <c r="E19" s="113"/>
      <c r="F19" s="113"/>
      <c r="G19" s="113"/>
      <c r="H19" s="113"/>
      <c r="I19" s="75"/>
      <c r="J19" s="95"/>
      <c r="K19" s="95"/>
      <c r="M19" s="95"/>
    </row>
    <row r="20" spans="1:13" ht="15" customHeight="1">
      <c r="J20" s="95"/>
      <c r="K20" s="95"/>
      <c r="M20" s="95"/>
    </row>
    <row r="21" spans="1:13" ht="15" customHeight="1">
      <c r="J21" s="95"/>
      <c r="K21" s="95"/>
      <c r="M21" s="95"/>
    </row>
  </sheetData>
  <mergeCells count="2">
    <mergeCell ref="H7:H8"/>
    <mergeCell ref="A1:L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1"/>
  <sheetViews>
    <sheetView showGridLines="0" showWhiteSpace="0" zoomScaleSheetLayoutView="100" workbookViewId="0">
      <selection sqref="A1:L2"/>
    </sheetView>
  </sheetViews>
  <sheetFormatPr defaultColWidth="10.77734375" defaultRowHeight="15" customHeight="1"/>
  <cols>
    <col min="1" max="2" width="5" style="38" customWidth="1"/>
    <col min="3" max="10" width="7.5546875" style="38" customWidth="1"/>
    <col min="11" max="11" width="5" style="38" customWidth="1"/>
    <col min="12" max="12" width="5" style="95" customWidth="1"/>
    <col min="13" max="16384" width="10.77734375" style="87"/>
  </cols>
  <sheetData>
    <row r="1" spans="1:12" s="82" customFormat="1" ht="33" customHeight="1">
      <c r="A1" s="385" t="s">
        <v>59</v>
      </c>
      <c r="B1" s="385"/>
      <c r="C1" s="385"/>
      <c r="D1" s="385"/>
      <c r="E1" s="385"/>
      <c r="F1" s="385"/>
      <c r="G1" s="385"/>
      <c r="H1" s="385"/>
      <c r="I1" s="385"/>
      <c r="J1" s="385"/>
      <c r="K1" s="385"/>
      <c r="L1" s="385"/>
    </row>
    <row r="2" spans="1:12" s="82" customFormat="1" ht="33" customHeight="1">
      <c r="A2" s="385"/>
      <c r="B2" s="385"/>
      <c r="C2" s="385"/>
      <c r="D2" s="385"/>
      <c r="E2" s="385"/>
      <c r="F2" s="385"/>
      <c r="G2" s="385"/>
      <c r="H2" s="385"/>
      <c r="I2" s="385"/>
      <c r="J2" s="385"/>
      <c r="K2" s="385"/>
      <c r="L2" s="385"/>
    </row>
    <row r="3" spans="1:12" s="82" customFormat="1" ht="12.75" customHeight="1">
      <c r="A3" s="49"/>
      <c r="B3" s="49"/>
      <c r="C3" s="22"/>
      <c r="D3" s="22"/>
      <c r="E3" s="22"/>
      <c r="F3" s="22"/>
      <c r="G3" s="22"/>
      <c r="H3" s="22"/>
      <c r="I3" s="22"/>
      <c r="J3" s="22"/>
      <c r="K3" s="22"/>
      <c r="L3" s="83"/>
    </row>
    <row r="4" spans="1:12" s="84" customFormat="1" ht="13.5" customHeight="1">
      <c r="A4" s="92"/>
      <c r="B4" s="92"/>
      <c r="C4" s="93"/>
      <c r="D4" s="93"/>
      <c r="E4" s="102"/>
      <c r="F4" s="93"/>
      <c r="G4" s="93"/>
      <c r="H4" s="103"/>
      <c r="I4" s="94"/>
      <c r="J4" s="102"/>
      <c r="K4" s="102"/>
      <c r="L4" s="92"/>
    </row>
    <row r="5" spans="1:12" s="86" customFormat="1" ht="15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85"/>
    </row>
    <row r="6" spans="1:12" s="38" customFormat="1" ht="15" customHeight="1">
      <c r="C6" s="55" t="str">
        <f>"○ 품명 : "&amp;기본정보!C$5</f>
        <v xml:space="preserve">○ 품명 : </v>
      </c>
      <c r="L6" s="95"/>
    </row>
    <row r="7" spans="1:12" s="38" customFormat="1" ht="15" customHeight="1">
      <c r="C7" s="55" t="str">
        <f>"○ 제작회사 : "&amp;기본정보!C$6</f>
        <v xml:space="preserve">○ 제작회사 : </v>
      </c>
      <c r="L7" s="95"/>
    </row>
    <row r="8" spans="1:12" s="38" customFormat="1" ht="15" customHeight="1">
      <c r="C8" s="55" t="str">
        <f>"○ 형식 : "&amp;기본정보!C$7</f>
        <v xml:space="preserve">○ 형식 : </v>
      </c>
      <c r="L8" s="95"/>
    </row>
    <row r="9" spans="1:12" s="38" customFormat="1" ht="15" customHeight="1">
      <c r="C9" s="55" t="str">
        <f>"○ 기기번호 : "&amp;기본정보!C$8</f>
        <v xml:space="preserve">○ 기기번호 : </v>
      </c>
      <c r="L9" s="95"/>
    </row>
    <row r="10" spans="1:12" s="38" customFormat="1" ht="15" customHeight="1">
      <c r="L10" s="95"/>
    </row>
    <row r="11" spans="1:12" ht="15" customHeight="1">
      <c r="B11" s="75"/>
      <c r="C11" s="113"/>
      <c r="D11" s="113"/>
      <c r="E11" s="113"/>
      <c r="F11" s="113"/>
      <c r="G11" s="113"/>
      <c r="H11" s="114"/>
      <c r="I11" s="114"/>
      <c r="J11" s="113"/>
      <c r="K11" s="75"/>
    </row>
  </sheetData>
  <mergeCells count="1">
    <mergeCell ref="A1:L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D23"/>
  <sheetViews>
    <sheetView showGridLines="0" zoomScaleNormal="100" workbookViewId="0"/>
  </sheetViews>
  <sheetFormatPr defaultColWidth="8.88671875" defaultRowHeight="13.5" customHeight="1"/>
  <cols>
    <col min="1" max="1" width="3.77734375" style="30" customWidth="1"/>
    <col min="2" max="2" width="8.77734375" style="30" customWidth="1"/>
    <col min="3" max="4" width="8.77734375" style="31" customWidth="1"/>
    <col min="5" max="5" width="8.77734375" style="26" customWidth="1"/>
    <col min="6" max="8" width="8.77734375" style="27" customWidth="1"/>
    <col min="9" max="9" width="10.44140625" style="27" customWidth="1"/>
    <col min="10" max="10" width="3.77734375" style="46" customWidth="1"/>
    <col min="11" max="12" width="10.44140625" style="46" customWidth="1"/>
    <col min="13" max="16" width="8.88671875" style="46" customWidth="1"/>
    <col min="17" max="19" width="8.88671875" style="46"/>
    <col min="20" max="16384" width="8.88671875" style="29"/>
  </cols>
  <sheetData>
    <row r="1" spans="1:30" s="69" customFormat="1" ht="25.5">
      <c r="A1" s="65" t="s">
        <v>61</v>
      </c>
      <c r="B1" s="31"/>
      <c r="C1" s="31"/>
      <c r="D1" s="31"/>
      <c r="E1" s="66"/>
      <c r="F1" s="27"/>
      <c r="G1" s="27"/>
      <c r="H1" s="27"/>
      <c r="I1" s="27"/>
      <c r="J1" s="27"/>
      <c r="K1" s="67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</row>
    <row r="2" spans="1:30" s="28" customFormat="1" ht="15" customHeight="1">
      <c r="A2" s="25"/>
      <c r="B2" s="25"/>
      <c r="C2" s="25"/>
      <c r="D2" s="25"/>
      <c r="E2" s="25"/>
      <c r="F2" s="25"/>
      <c r="G2" s="25"/>
      <c r="H2" s="25"/>
      <c r="I2" s="25"/>
    </row>
    <row r="3" spans="1:30" s="28" customFormat="1" ht="15" customHeight="1">
      <c r="A3" s="47"/>
      <c r="B3" s="105" t="s">
        <v>2</v>
      </c>
      <c r="C3" s="106">
        <f>기본정보!C3</f>
        <v>0</v>
      </c>
      <c r="D3" s="105" t="s">
        <v>103</v>
      </c>
      <c r="E3" s="394">
        <f>기본정보!H3</f>
        <v>0</v>
      </c>
      <c r="F3" s="395"/>
      <c r="G3" s="105" t="s">
        <v>107</v>
      </c>
      <c r="H3" s="108">
        <f>기본정보!H8</f>
        <v>0</v>
      </c>
      <c r="I3" s="25"/>
    </row>
    <row r="4" spans="1:30" s="28" customFormat="1" ht="15" customHeight="1">
      <c r="A4" s="47"/>
      <c r="B4" s="105" t="s">
        <v>32</v>
      </c>
      <c r="C4" s="107">
        <f>기본정보!C8</f>
        <v>0</v>
      </c>
      <c r="D4" s="105" t="s">
        <v>104</v>
      </c>
      <c r="E4" s="392">
        <f>기본정보!H4</f>
        <v>0</v>
      </c>
      <c r="F4" s="393"/>
      <c r="G4" s="105" t="s">
        <v>14</v>
      </c>
      <c r="H4" s="108">
        <f>기본정보!H9</f>
        <v>0</v>
      </c>
      <c r="I4" s="25"/>
    </row>
    <row r="5" spans="1:30" s="28" customFormat="1" ht="15" customHeight="1">
      <c r="A5" s="47"/>
      <c r="D5" s="25"/>
      <c r="E5" s="25"/>
      <c r="F5" s="25"/>
      <c r="G5" s="25"/>
      <c r="H5" s="25"/>
      <c r="I5" s="25"/>
    </row>
    <row r="6" spans="1:30" s="28" customFormat="1" ht="15" customHeight="1">
      <c r="A6" s="47"/>
      <c r="B6" s="47" t="s">
        <v>105</v>
      </c>
      <c r="D6" s="25"/>
      <c r="E6" s="25"/>
      <c r="F6" s="25"/>
      <c r="G6" s="25"/>
      <c r="H6" s="25"/>
      <c r="I6" s="25"/>
    </row>
    <row r="7" spans="1:30" s="28" customFormat="1" ht="15" customHeight="1">
      <c r="A7" s="47"/>
      <c r="B7" s="105" t="s">
        <v>123</v>
      </c>
      <c r="C7" s="105" t="s">
        <v>62</v>
      </c>
      <c r="D7" s="105" t="s">
        <v>60</v>
      </c>
      <c r="E7" s="25"/>
      <c r="F7" s="25"/>
      <c r="G7" s="25"/>
      <c r="H7" s="25"/>
      <c r="I7" s="25"/>
    </row>
    <row r="8" spans="1:30" s="28" customFormat="1" ht="15" customHeight="1">
      <c r="A8" s="47"/>
      <c r="B8" s="106">
        <f>Calcu!E3</f>
        <v>0</v>
      </c>
      <c r="C8" s="106">
        <f>Calcu!F3</f>
        <v>0</v>
      </c>
      <c r="D8" s="106">
        <f>Calcu!H3</f>
        <v>0</v>
      </c>
      <c r="E8" s="25"/>
      <c r="F8" s="25"/>
      <c r="G8" s="25"/>
      <c r="H8" s="25"/>
      <c r="I8" s="25"/>
    </row>
    <row r="9" spans="1:30" s="28" customFormat="1" ht="15" customHeight="1">
      <c r="A9" s="47"/>
      <c r="B9" s="25"/>
      <c r="C9" s="25"/>
      <c r="D9" s="25"/>
      <c r="E9" s="25"/>
      <c r="F9" s="25"/>
      <c r="G9" s="25"/>
      <c r="H9" s="25"/>
      <c r="I9" s="25"/>
    </row>
    <row r="10" spans="1:30" s="28" customFormat="1" ht="15" customHeight="1">
      <c r="A10" s="47"/>
      <c r="B10" s="109" t="s">
        <v>106</v>
      </c>
      <c r="C10" s="25"/>
      <c r="D10" s="25"/>
      <c r="E10" s="25"/>
      <c r="F10" s="25"/>
      <c r="G10" s="25"/>
      <c r="H10" s="25"/>
      <c r="I10" s="25"/>
    </row>
    <row r="11" spans="1:30" ht="13.5" customHeight="1">
      <c r="A11" s="29"/>
      <c r="B11" s="110" t="s">
        <v>215</v>
      </c>
      <c r="F11" s="25"/>
      <c r="G11" s="25"/>
      <c r="H11" s="25"/>
      <c r="I11" s="25"/>
      <c r="J11" s="28"/>
      <c r="K11" s="28"/>
      <c r="L11" s="28"/>
      <c r="M11" s="28"/>
    </row>
    <row r="12" spans="1:30" ht="13.5" customHeight="1">
      <c r="B12" s="386" t="s">
        <v>353</v>
      </c>
      <c r="C12" s="391" t="s">
        <v>60</v>
      </c>
      <c r="D12" s="388" t="s">
        <v>355</v>
      </c>
      <c r="E12" s="389"/>
      <c r="F12" s="389"/>
      <c r="G12" s="389"/>
      <c r="H12" s="390"/>
      <c r="I12" s="25"/>
      <c r="J12" s="25"/>
      <c r="K12" s="28"/>
      <c r="L12" s="28"/>
      <c r="M12" s="28"/>
      <c r="N12" s="28"/>
      <c r="T12" s="46"/>
    </row>
    <row r="13" spans="1:30" ht="13.5" customHeight="1">
      <c r="B13" s="387"/>
      <c r="C13" s="387"/>
      <c r="D13" s="105" t="s">
        <v>99</v>
      </c>
      <c r="E13" s="105" t="s">
        <v>76</v>
      </c>
      <c r="F13" s="105" t="s">
        <v>77</v>
      </c>
      <c r="G13" s="105" t="s">
        <v>216</v>
      </c>
      <c r="H13" s="105" t="s">
        <v>217</v>
      </c>
      <c r="I13" s="25"/>
      <c r="J13" s="25"/>
      <c r="K13" s="28"/>
      <c r="L13" s="28"/>
      <c r="M13" s="28"/>
      <c r="N13" s="28"/>
      <c r="T13" s="46"/>
    </row>
    <row r="14" spans="1:30" ht="13.5" customHeight="1">
      <c r="B14" s="106" t="str">
        <f>Calcu!C9</f>
        <v/>
      </c>
      <c r="C14" s="106" t="str">
        <f>Calcu!D9</f>
        <v/>
      </c>
      <c r="D14" s="106" t="str">
        <f>IF(Calcu!$B9=FALSE,"",TEXT(Calcu!F9,Calcu!$Q$37))</f>
        <v/>
      </c>
      <c r="E14" s="106" t="str">
        <f>IF(Calcu!$B9=FALSE,"",TEXT(Calcu!G9,Calcu!$Q$37))</f>
        <v/>
      </c>
      <c r="F14" s="106" t="str">
        <f>IF(Calcu!$B9=FALSE,"",TEXT(Calcu!H9,Calcu!$Q$37))</f>
        <v/>
      </c>
      <c r="G14" s="106" t="str">
        <f>IF(Calcu!$B9=FALSE,"",TEXT(Calcu!I9,Calcu!$Q$37))</f>
        <v/>
      </c>
      <c r="H14" s="106" t="str">
        <f>IF(Calcu!$B9=FALSE,"",TEXT(Calcu!J9,Calcu!$Q$37))</f>
        <v/>
      </c>
      <c r="I14" s="25"/>
      <c r="J14" s="25"/>
      <c r="K14" s="28"/>
      <c r="L14" s="28"/>
      <c r="M14" s="28"/>
      <c r="N14" s="28"/>
      <c r="T14" s="46"/>
    </row>
    <row r="15" spans="1:30" ht="13.5" customHeight="1">
      <c r="B15" s="106" t="str">
        <f>Calcu!C10</f>
        <v/>
      </c>
      <c r="C15" s="106" t="str">
        <f>Calcu!D10</f>
        <v/>
      </c>
      <c r="D15" s="106" t="str">
        <f>IF(Calcu!$B10=FALSE,"",TEXT(Calcu!F10,Calcu!$Q$37))</f>
        <v/>
      </c>
      <c r="E15" s="106" t="str">
        <f>IF(Calcu!$B10=FALSE,"",TEXT(Calcu!G10,Calcu!$Q$37))</f>
        <v/>
      </c>
      <c r="F15" s="106" t="str">
        <f>IF(Calcu!$B10=FALSE,"",TEXT(Calcu!H10,Calcu!$Q$37))</f>
        <v/>
      </c>
      <c r="G15" s="106" t="str">
        <f>IF(Calcu!$B10=FALSE,"",TEXT(Calcu!I10,Calcu!$Q$37))</f>
        <v/>
      </c>
      <c r="H15" s="106" t="str">
        <f>IF(Calcu!$B10=FALSE,"",TEXT(Calcu!J10,Calcu!$Q$37))</f>
        <v/>
      </c>
      <c r="I15" s="25"/>
      <c r="J15" s="25"/>
      <c r="K15" s="28"/>
      <c r="L15" s="28"/>
      <c r="M15" s="28"/>
      <c r="N15" s="28"/>
      <c r="T15" s="46"/>
    </row>
    <row r="16" spans="1:30" ht="13.5" customHeight="1">
      <c r="B16" s="106" t="str">
        <f>Calcu!C11</f>
        <v/>
      </c>
      <c r="C16" s="106" t="str">
        <f>Calcu!D11</f>
        <v/>
      </c>
      <c r="D16" s="106" t="str">
        <f>IF(Calcu!$B11=FALSE,"",TEXT(Calcu!F11,Calcu!$Q$37))</f>
        <v/>
      </c>
      <c r="E16" s="106" t="str">
        <f>IF(Calcu!$B11=FALSE,"",TEXT(Calcu!G11,Calcu!$Q$37))</f>
        <v/>
      </c>
      <c r="F16" s="106" t="str">
        <f>IF(Calcu!$B11=FALSE,"",TEXT(Calcu!H11,Calcu!$Q$37))</f>
        <v/>
      </c>
      <c r="G16" s="106" t="str">
        <f>IF(Calcu!$B11=FALSE,"",TEXT(Calcu!I11,Calcu!$Q$37))</f>
        <v/>
      </c>
      <c r="H16" s="106" t="str">
        <f>IF(Calcu!$B11=FALSE,"",TEXT(Calcu!J11,Calcu!$Q$37))</f>
        <v/>
      </c>
      <c r="I16" s="25"/>
      <c r="J16" s="25"/>
      <c r="K16" s="28"/>
      <c r="L16" s="28"/>
      <c r="M16" s="28"/>
      <c r="N16" s="28"/>
      <c r="T16" s="46"/>
    </row>
    <row r="17" spans="2:20" ht="13.5" customHeight="1">
      <c r="B17" s="106" t="str">
        <f>Calcu!C12</f>
        <v/>
      </c>
      <c r="C17" s="106" t="str">
        <f>Calcu!D12</f>
        <v/>
      </c>
      <c r="D17" s="106" t="str">
        <f>IF(Calcu!$B12=FALSE,"",TEXT(Calcu!F12,Calcu!$Q$37))</f>
        <v/>
      </c>
      <c r="E17" s="106" t="str">
        <f>IF(Calcu!$B12=FALSE,"",TEXT(Calcu!G12,Calcu!$Q$37))</f>
        <v/>
      </c>
      <c r="F17" s="106" t="str">
        <f>IF(Calcu!$B12=FALSE,"",TEXT(Calcu!H12,Calcu!$Q$37))</f>
        <v/>
      </c>
      <c r="G17" s="106" t="str">
        <f>IF(Calcu!$B12=FALSE,"",TEXT(Calcu!I12,Calcu!$Q$37))</f>
        <v/>
      </c>
      <c r="H17" s="106" t="str">
        <f>IF(Calcu!$B12=FALSE,"",TEXT(Calcu!J12,Calcu!$Q$37))</f>
        <v/>
      </c>
      <c r="I17" s="25"/>
      <c r="J17" s="25"/>
      <c r="K17" s="28"/>
      <c r="L17" s="28"/>
      <c r="M17" s="28"/>
      <c r="N17" s="28"/>
      <c r="T17" s="46"/>
    </row>
    <row r="18" spans="2:20" ht="13.5" customHeight="1">
      <c r="B18" s="106" t="str">
        <f>Calcu!C13</f>
        <v/>
      </c>
      <c r="C18" s="106" t="str">
        <f>Calcu!D13</f>
        <v/>
      </c>
      <c r="D18" s="106" t="str">
        <f>IF(Calcu!$B13=FALSE,"",TEXT(Calcu!F13,Calcu!$Q$37))</f>
        <v/>
      </c>
      <c r="E18" s="106" t="str">
        <f>IF(Calcu!$B13=FALSE,"",TEXT(Calcu!G13,Calcu!$Q$37))</f>
        <v/>
      </c>
      <c r="F18" s="106" t="str">
        <f>IF(Calcu!$B13=FALSE,"",TEXT(Calcu!H13,Calcu!$Q$37))</f>
        <v/>
      </c>
      <c r="G18" s="106" t="str">
        <f>IF(Calcu!$B13=FALSE,"",TEXT(Calcu!I13,Calcu!$Q$37))</f>
        <v/>
      </c>
      <c r="H18" s="106" t="str">
        <f>IF(Calcu!$B13=FALSE,"",TEXT(Calcu!J13,Calcu!$Q$37))</f>
        <v/>
      </c>
      <c r="I18" s="25"/>
      <c r="J18" s="25"/>
      <c r="K18" s="28"/>
      <c r="L18" s="28"/>
      <c r="M18" s="28"/>
      <c r="N18" s="28"/>
      <c r="T18" s="46"/>
    </row>
    <row r="19" spans="2:20" ht="13.5" customHeight="1">
      <c r="B19" s="106" t="str">
        <f>Calcu!C14</f>
        <v/>
      </c>
      <c r="C19" s="106" t="str">
        <f>Calcu!D14</f>
        <v/>
      </c>
      <c r="D19" s="106" t="str">
        <f>IF(Calcu!$B14=FALSE,"",TEXT(Calcu!F14,Calcu!$Q$37))</f>
        <v/>
      </c>
      <c r="E19" s="106" t="str">
        <f>IF(Calcu!$B14=FALSE,"",TEXT(Calcu!G14,Calcu!$Q$37))</f>
        <v/>
      </c>
      <c r="F19" s="106" t="str">
        <f>IF(Calcu!$B14=FALSE,"",TEXT(Calcu!H14,Calcu!$Q$37))</f>
        <v/>
      </c>
      <c r="G19" s="106" t="str">
        <f>IF(Calcu!$B14=FALSE,"",TEXT(Calcu!I14,Calcu!$Q$37))</f>
        <v/>
      </c>
      <c r="H19" s="106" t="str">
        <f>IF(Calcu!$B14=FALSE,"",TEXT(Calcu!J14,Calcu!$Q$37))</f>
        <v/>
      </c>
      <c r="I19" s="25"/>
      <c r="J19" s="25"/>
      <c r="K19" s="28"/>
      <c r="L19" s="28"/>
      <c r="M19" s="28"/>
      <c r="N19" s="28"/>
      <c r="T19" s="46"/>
    </row>
    <row r="20" spans="2:20" ht="13.5" customHeight="1">
      <c r="B20" s="106" t="str">
        <f>Calcu!C15</f>
        <v/>
      </c>
      <c r="C20" s="106" t="str">
        <f>Calcu!D15</f>
        <v/>
      </c>
      <c r="D20" s="106" t="str">
        <f>IF(Calcu!$B15=FALSE,"",TEXT(Calcu!F15,Calcu!$Q$37))</f>
        <v/>
      </c>
      <c r="E20" s="106" t="str">
        <f>IF(Calcu!$B15=FALSE,"",TEXT(Calcu!G15,Calcu!$Q$37))</f>
        <v/>
      </c>
      <c r="F20" s="106" t="str">
        <f>IF(Calcu!$B15=FALSE,"",TEXT(Calcu!H15,Calcu!$Q$37))</f>
        <v/>
      </c>
      <c r="G20" s="106" t="str">
        <f>IF(Calcu!$B15=FALSE,"",TEXT(Calcu!I15,Calcu!$Q$37))</f>
        <v/>
      </c>
      <c r="H20" s="106" t="str">
        <f>IF(Calcu!$B15=FALSE,"",TEXT(Calcu!J15,Calcu!$Q$37))</f>
        <v/>
      </c>
      <c r="J20" s="27"/>
      <c r="T20" s="46"/>
    </row>
    <row r="21" spans="2:20" ht="13.5" customHeight="1">
      <c r="B21" s="106" t="str">
        <f>Calcu!C16</f>
        <v/>
      </c>
      <c r="C21" s="106" t="str">
        <f>Calcu!D16</f>
        <v/>
      </c>
      <c r="D21" s="106" t="str">
        <f>IF(Calcu!$B16=FALSE,"",TEXT(Calcu!F16,Calcu!$Q$37))</f>
        <v/>
      </c>
      <c r="E21" s="106" t="str">
        <f>IF(Calcu!$B16=FALSE,"",TEXT(Calcu!G16,Calcu!$Q$37))</f>
        <v/>
      </c>
      <c r="F21" s="106" t="str">
        <f>IF(Calcu!$B16=FALSE,"",TEXT(Calcu!H16,Calcu!$Q$37))</f>
        <v/>
      </c>
      <c r="G21" s="106" t="str">
        <f>IF(Calcu!$B16=FALSE,"",TEXT(Calcu!I16,Calcu!$Q$37))</f>
        <v/>
      </c>
      <c r="H21" s="106" t="str">
        <f>IF(Calcu!$B16=FALSE,"",TEXT(Calcu!J16,Calcu!$Q$37))</f>
        <v/>
      </c>
      <c r="J21" s="27"/>
      <c r="T21" s="46"/>
    </row>
    <row r="22" spans="2:20" ht="13.5" customHeight="1">
      <c r="B22" s="106" t="str">
        <f>Calcu!C17</f>
        <v/>
      </c>
      <c r="C22" s="106" t="str">
        <f>Calcu!D17</f>
        <v/>
      </c>
      <c r="D22" s="106" t="str">
        <f>IF(Calcu!$B17=FALSE,"",TEXT(Calcu!F17,Calcu!$Q$37))</f>
        <v/>
      </c>
      <c r="E22" s="106" t="str">
        <f>IF(Calcu!$B17=FALSE,"",TEXT(Calcu!G17,Calcu!$Q$37))</f>
        <v/>
      </c>
      <c r="F22" s="106" t="str">
        <f>IF(Calcu!$B17=FALSE,"",TEXT(Calcu!H17,Calcu!$Q$37))</f>
        <v/>
      </c>
      <c r="G22" s="106" t="str">
        <f>IF(Calcu!$B17=FALSE,"",TEXT(Calcu!I17,Calcu!$Q$37))</f>
        <v/>
      </c>
      <c r="H22" s="106" t="str">
        <f>IF(Calcu!$B17=FALSE,"",TEXT(Calcu!J17,Calcu!$Q$37))</f>
        <v/>
      </c>
      <c r="J22" s="27"/>
      <c r="T22" s="46"/>
    </row>
    <row r="23" spans="2:20" ht="13.5" customHeight="1">
      <c r="B23" s="106" t="str">
        <f>Calcu!C18</f>
        <v/>
      </c>
      <c r="C23" s="106" t="str">
        <f>Calcu!D18</f>
        <v/>
      </c>
      <c r="D23" s="106" t="str">
        <f>IF(Calcu!$B18=FALSE,"",TEXT(Calcu!F18,Calcu!$Q$37))</f>
        <v/>
      </c>
      <c r="E23" s="106" t="str">
        <f>IF(Calcu!$B18=FALSE,"",TEXT(Calcu!G18,Calcu!$Q$37))</f>
        <v/>
      </c>
      <c r="F23" s="106" t="str">
        <f>IF(Calcu!$B18=FALSE,"",TEXT(Calcu!H18,Calcu!$Q$37))</f>
        <v/>
      </c>
      <c r="G23" s="106" t="str">
        <f>IF(Calcu!$B18=FALSE,"",TEXT(Calcu!I18,Calcu!$Q$37))</f>
        <v/>
      </c>
      <c r="H23" s="106" t="str">
        <f>IF(Calcu!$B18=FALSE,"",TEXT(Calcu!J18,Calcu!$Q$37))</f>
        <v/>
      </c>
      <c r="J23" s="27"/>
      <c r="T23" s="46"/>
    </row>
  </sheetData>
  <sortState ref="U5:V14">
    <sortCondition descending="1" ref="U5"/>
  </sortState>
  <mergeCells count="5">
    <mergeCell ref="B12:B13"/>
    <mergeCell ref="D12:H12"/>
    <mergeCell ref="C12:C13"/>
    <mergeCell ref="E4:F4"/>
    <mergeCell ref="E3:F3"/>
  </mergeCells>
  <phoneticPr fontId="4" type="noConversion"/>
  <pageMargins left="0.39370078740157483" right="0.39370078740157483" top="0.39370078740157483" bottom="0.39370078740157483" header="0.19685039370078741" footer="0.19685039370078741"/>
  <pageSetup paperSize="9" orientation="portrait" r:id="rId1"/>
  <headerFooter alignWithMargins="0">
    <oddFooter xml:space="preserve">&amp;L&amp;"Tahoma,보통"&amp;9F-02P-02-001 (Rev.01)&amp;C&amp;9&amp;P of &amp;N&amp;R&amp;"돋움,굵게"&amp;9(주)에이치시티 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CE222"/>
  <sheetViews>
    <sheetView showGridLines="0" zoomScaleNormal="100" zoomScaleSheetLayoutView="100" workbookViewId="0"/>
  </sheetViews>
  <sheetFormatPr defaultColWidth="1.77734375" defaultRowHeight="18.75" customHeight="1"/>
  <cols>
    <col min="1" max="11" width="1.77734375" style="57"/>
    <col min="12" max="12" width="1.77734375" style="57" customWidth="1"/>
    <col min="13" max="26" width="1.77734375" style="57"/>
    <col min="27" max="27" width="1.77734375" style="57" customWidth="1"/>
    <col min="28" max="28" width="1.77734375" style="57"/>
    <col min="29" max="29" width="1.77734375" style="57" customWidth="1"/>
    <col min="30" max="16384" width="1.77734375" style="57"/>
  </cols>
  <sheetData>
    <row r="1" spans="1:46" s="71" customFormat="1" ht="31.5">
      <c r="A1" s="70" t="s">
        <v>78</v>
      </c>
    </row>
    <row r="2" spans="1:46" s="71" customFormat="1" ht="18.75" customHeight="1"/>
    <row r="3" spans="1:46" ht="18.75" customHeight="1">
      <c r="A3" s="59" t="s">
        <v>225</v>
      </c>
      <c r="B3" s="226"/>
      <c r="C3" s="226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226"/>
      <c r="AB3" s="226"/>
      <c r="AC3" s="226"/>
      <c r="AD3" s="226"/>
      <c r="AE3" s="226"/>
      <c r="AF3" s="226"/>
      <c r="AG3" s="226"/>
      <c r="AH3" s="226"/>
      <c r="AI3" s="226"/>
      <c r="AJ3" s="226"/>
      <c r="AK3" s="226"/>
      <c r="AL3" s="226"/>
      <c r="AM3" s="226"/>
      <c r="AN3" s="226"/>
      <c r="AO3" s="226"/>
      <c r="AP3" s="226"/>
      <c r="AQ3" s="226"/>
      <c r="AR3" s="226"/>
    </row>
    <row r="4" spans="1:46" ht="18.75" customHeight="1">
      <c r="A4" s="59"/>
      <c r="B4" s="441" t="s">
        <v>112</v>
      </c>
      <c r="C4" s="442"/>
      <c r="D4" s="442"/>
      <c r="E4" s="442"/>
      <c r="F4" s="443"/>
      <c r="G4" s="447" t="s">
        <v>354</v>
      </c>
      <c r="H4" s="448"/>
      <c r="I4" s="448"/>
      <c r="J4" s="448"/>
      <c r="K4" s="448"/>
      <c r="L4" s="448"/>
      <c r="M4" s="448"/>
      <c r="N4" s="448"/>
      <c r="O4" s="448"/>
      <c r="P4" s="448"/>
      <c r="Q4" s="448"/>
      <c r="R4" s="448"/>
      <c r="S4" s="448"/>
      <c r="T4" s="448"/>
      <c r="U4" s="448"/>
      <c r="V4" s="448"/>
      <c r="W4" s="448"/>
      <c r="X4" s="448"/>
      <c r="Y4" s="448"/>
      <c r="Z4" s="448"/>
      <c r="AA4" s="448"/>
      <c r="AB4" s="448"/>
      <c r="AC4" s="448"/>
      <c r="AD4" s="448"/>
      <c r="AE4" s="449"/>
      <c r="AF4" s="441" t="s">
        <v>226</v>
      </c>
      <c r="AG4" s="442"/>
      <c r="AH4" s="442"/>
      <c r="AI4" s="442"/>
      <c r="AJ4" s="443"/>
      <c r="AK4" s="441" t="s">
        <v>80</v>
      </c>
      <c r="AL4" s="442"/>
      <c r="AM4" s="442"/>
      <c r="AN4" s="442"/>
      <c r="AO4" s="443"/>
      <c r="AP4" s="441" t="s">
        <v>356</v>
      </c>
      <c r="AQ4" s="442"/>
      <c r="AR4" s="442"/>
      <c r="AS4" s="442"/>
      <c r="AT4" s="443"/>
    </row>
    <row r="5" spans="1:46" ht="18.75" customHeight="1">
      <c r="A5" s="59"/>
      <c r="B5" s="444"/>
      <c r="C5" s="445"/>
      <c r="D5" s="445"/>
      <c r="E5" s="445"/>
      <c r="F5" s="446"/>
      <c r="G5" s="447" t="s">
        <v>99</v>
      </c>
      <c r="H5" s="448"/>
      <c r="I5" s="448"/>
      <c r="J5" s="448"/>
      <c r="K5" s="449"/>
      <c r="L5" s="447" t="s">
        <v>144</v>
      </c>
      <c r="M5" s="448"/>
      <c r="N5" s="448"/>
      <c r="O5" s="448"/>
      <c r="P5" s="449"/>
      <c r="Q5" s="447" t="s">
        <v>227</v>
      </c>
      <c r="R5" s="448"/>
      <c r="S5" s="448"/>
      <c r="T5" s="448"/>
      <c r="U5" s="449"/>
      <c r="V5" s="447" t="s">
        <v>228</v>
      </c>
      <c r="W5" s="448"/>
      <c r="X5" s="448"/>
      <c r="Y5" s="448"/>
      <c r="Z5" s="449"/>
      <c r="AA5" s="447" t="s">
        <v>229</v>
      </c>
      <c r="AB5" s="448"/>
      <c r="AC5" s="448"/>
      <c r="AD5" s="448"/>
      <c r="AE5" s="449"/>
      <c r="AF5" s="444"/>
      <c r="AG5" s="445"/>
      <c r="AH5" s="445"/>
      <c r="AI5" s="445"/>
      <c r="AJ5" s="446"/>
      <c r="AK5" s="444"/>
      <c r="AL5" s="445"/>
      <c r="AM5" s="445"/>
      <c r="AN5" s="445"/>
      <c r="AO5" s="446"/>
      <c r="AP5" s="444"/>
      <c r="AQ5" s="445"/>
      <c r="AR5" s="445"/>
      <c r="AS5" s="445"/>
      <c r="AT5" s="446"/>
    </row>
    <row r="6" spans="1:46" ht="18.75" customHeight="1">
      <c r="A6" s="59"/>
      <c r="B6" s="447" t="s">
        <v>177</v>
      </c>
      <c r="C6" s="448"/>
      <c r="D6" s="448"/>
      <c r="E6" s="448"/>
      <c r="F6" s="449"/>
      <c r="G6" s="447" t="str">
        <f>B6</f>
        <v>mm</v>
      </c>
      <c r="H6" s="448"/>
      <c r="I6" s="448"/>
      <c r="J6" s="448"/>
      <c r="K6" s="449"/>
      <c r="L6" s="447" t="str">
        <f>G6</f>
        <v>mm</v>
      </c>
      <c r="M6" s="448"/>
      <c r="N6" s="448"/>
      <c r="O6" s="448"/>
      <c r="P6" s="449"/>
      <c r="Q6" s="447" t="str">
        <f>L6</f>
        <v>mm</v>
      </c>
      <c r="R6" s="448"/>
      <c r="S6" s="448"/>
      <c r="T6" s="448"/>
      <c r="U6" s="449"/>
      <c r="V6" s="447" t="str">
        <f>Q6</f>
        <v>mm</v>
      </c>
      <c r="W6" s="448"/>
      <c r="X6" s="448"/>
      <c r="Y6" s="448"/>
      <c r="Z6" s="449"/>
      <c r="AA6" s="447" t="str">
        <f>V6</f>
        <v>mm</v>
      </c>
      <c r="AB6" s="448"/>
      <c r="AC6" s="448"/>
      <c r="AD6" s="448"/>
      <c r="AE6" s="449"/>
      <c r="AF6" s="447" t="s">
        <v>177</v>
      </c>
      <c r="AG6" s="448"/>
      <c r="AH6" s="448"/>
      <c r="AI6" s="448"/>
      <c r="AJ6" s="449"/>
      <c r="AK6" s="447" t="s">
        <v>177</v>
      </c>
      <c r="AL6" s="448"/>
      <c r="AM6" s="448"/>
      <c r="AN6" s="448"/>
      <c r="AO6" s="449"/>
      <c r="AP6" s="447" t="s">
        <v>357</v>
      </c>
      <c r="AQ6" s="448"/>
      <c r="AR6" s="448"/>
      <c r="AS6" s="448"/>
      <c r="AT6" s="449"/>
    </row>
    <row r="7" spans="1:46" ht="18.75" customHeight="1">
      <c r="A7" s="59"/>
      <c r="B7" s="407" t="str">
        <f>IF(Calcu!B9=FALSE,"",Calcu!C9*Calcu!I$3)</f>
        <v/>
      </c>
      <c r="C7" s="408"/>
      <c r="D7" s="408"/>
      <c r="E7" s="408"/>
      <c r="F7" s="409"/>
      <c r="G7" s="407" t="str">
        <f>IF(Calcu!B9=FALSE,"",Calcu!E9*Calcu!I$3)</f>
        <v/>
      </c>
      <c r="H7" s="408"/>
      <c r="I7" s="408"/>
      <c r="J7" s="408"/>
      <c r="K7" s="409"/>
      <c r="L7" s="407" t="str">
        <f>IF(Calcu!B9=FALSE,"",Calcu!F9*Calcu!I$3)</f>
        <v/>
      </c>
      <c r="M7" s="408"/>
      <c r="N7" s="408"/>
      <c r="O7" s="408"/>
      <c r="P7" s="409"/>
      <c r="Q7" s="407" t="str">
        <f>IF(Calcu!B9=FALSE,"",Calcu!G9*Calcu!I$3)</f>
        <v/>
      </c>
      <c r="R7" s="408"/>
      <c r="S7" s="408"/>
      <c r="T7" s="408"/>
      <c r="U7" s="409"/>
      <c r="V7" s="407" t="str">
        <f>IF(Calcu!B9=FALSE,"",Calcu!H9*Calcu!I$3)</f>
        <v/>
      </c>
      <c r="W7" s="408"/>
      <c r="X7" s="408"/>
      <c r="Y7" s="408"/>
      <c r="Z7" s="409"/>
      <c r="AA7" s="407" t="str">
        <f>IF(Calcu!B9=FALSE,"",Calcu!I9*Calcu!I$3)</f>
        <v/>
      </c>
      <c r="AB7" s="408"/>
      <c r="AC7" s="408"/>
      <c r="AD7" s="408"/>
      <c r="AE7" s="409"/>
      <c r="AF7" s="407" t="str">
        <f>IF(Calcu!B9=FALSE,"",Calcu!J9*Calcu!I$3)</f>
        <v/>
      </c>
      <c r="AG7" s="408"/>
      <c r="AH7" s="408"/>
      <c r="AI7" s="408"/>
      <c r="AJ7" s="409"/>
      <c r="AK7" s="407" t="str">
        <f>IF(Calcu!B9=FALSE,"",Calcu!K9*Calcu!I$3)</f>
        <v/>
      </c>
      <c r="AL7" s="408"/>
      <c r="AM7" s="408"/>
      <c r="AN7" s="408"/>
      <c r="AO7" s="409"/>
      <c r="AP7" s="407" t="str">
        <f>IF(Calcu!B9=FALSE,"",Calcu!L9*Calcu!I$3)</f>
        <v/>
      </c>
      <c r="AQ7" s="408"/>
      <c r="AR7" s="408"/>
      <c r="AS7" s="408"/>
      <c r="AT7" s="409"/>
    </row>
    <row r="8" spans="1:46" ht="18.75" customHeight="1">
      <c r="A8" s="59"/>
      <c r="B8" s="407" t="str">
        <f>IF(Calcu!B10=FALSE,"",Calcu!C10*Calcu!I$3)</f>
        <v/>
      </c>
      <c r="C8" s="408"/>
      <c r="D8" s="408"/>
      <c r="E8" s="408"/>
      <c r="F8" s="409"/>
      <c r="G8" s="407" t="str">
        <f>IF(Calcu!B10=FALSE,"",Calcu!E10*Calcu!I$3)</f>
        <v/>
      </c>
      <c r="H8" s="408"/>
      <c r="I8" s="408"/>
      <c r="J8" s="408"/>
      <c r="K8" s="409"/>
      <c r="L8" s="407" t="str">
        <f>IF(Calcu!B10=FALSE,"",Calcu!F10*Calcu!I$3)</f>
        <v/>
      </c>
      <c r="M8" s="408"/>
      <c r="N8" s="408"/>
      <c r="O8" s="408"/>
      <c r="P8" s="409"/>
      <c r="Q8" s="407" t="str">
        <f>IF(Calcu!B10=FALSE,"",Calcu!G10*Calcu!I$3)</f>
        <v/>
      </c>
      <c r="R8" s="408"/>
      <c r="S8" s="408"/>
      <c r="T8" s="408"/>
      <c r="U8" s="409"/>
      <c r="V8" s="407" t="str">
        <f>IF(Calcu!B10=FALSE,"",Calcu!H10*Calcu!I$3)</f>
        <v/>
      </c>
      <c r="W8" s="408"/>
      <c r="X8" s="408"/>
      <c r="Y8" s="408"/>
      <c r="Z8" s="409"/>
      <c r="AA8" s="407" t="str">
        <f>IF(Calcu!B10=FALSE,"",Calcu!I10*Calcu!I$3)</f>
        <v/>
      </c>
      <c r="AB8" s="408"/>
      <c r="AC8" s="408"/>
      <c r="AD8" s="408"/>
      <c r="AE8" s="409"/>
      <c r="AF8" s="407" t="str">
        <f>IF(Calcu!B10=FALSE,"",Calcu!J10*Calcu!I$3)</f>
        <v/>
      </c>
      <c r="AG8" s="408"/>
      <c r="AH8" s="408"/>
      <c r="AI8" s="408"/>
      <c r="AJ8" s="409"/>
      <c r="AK8" s="407" t="str">
        <f>IF(Calcu!B10=FALSE,"",Calcu!K10*Calcu!I$3)</f>
        <v/>
      </c>
      <c r="AL8" s="408"/>
      <c r="AM8" s="408"/>
      <c r="AN8" s="408"/>
      <c r="AO8" s="409"/>
      <c r="AP8" s="407" t="str">
        <f>IF(Calcu!B10=FALSE,"",Calcu!L10*Calcu!I$3)</f>
        <v/>
      </c>
      <c r="AQ8" s="408"/>
      <c r="AR8" s="408"/>
      <c r="AS8" s="408"/>
      <c r="AT8" s="409"/>
    </row>
    <row r="9" spans="1:46" ht="18.75" customHeight="1">
      <c r="A9" s="59"/>
      <c r="B9" s="407" t="str">
        <f>IF(Calcu!B11=FALSE,"",Calcu!C11*Calcu!I$3)</f>
        <v/>
      </c>
      <c r="C9" s="408"/>
      <c r="D9" s="408"/>
      <c r="E9" s="408"/>
      <c r="F9" s="409"/>
      <c r="G9" s="407" t="str">
        <f>IF(Calcu!B11=FALSE,"",Calcu!E11*Calcu!I$3)</f>
        <v/>
      </c>
      <c r="H9" s="408"/>
      <c r="I9" s="408"/>
      <c r="J9" s="408"/>
      <c r="K9" s="409"/>
      <c r="L9" s="407" t="str">
        <f>IF(Calcu!B11=FALSE,"",Calcu!F11*Calcu!I$3)</f>
        <v/>
      </c>
      <c r="M9" s="408"/>
      <c r="N9" s="408"/>
      <c r="O9" s="408"/>
      <c r="P9" s="409"/>
      <c r="Q9" s="407" t="str">
        <f>IF(Calcu!B11=FALSE,"",Calcu!G11*Calcu!I$3)</f>
        <v/>
      </c>
      <c r="R9" s="408"/>
      <c r="S9" s="408"/>
      <c r="T9" s="408"/>
      <c r="U9" s="409"/>
      <c r="V9" s="407" t="str">
        <f>IF(Calcu!B11=FALSE,"",Calcu!H11*Calcu!I$3)</f>
        <v/>
      </c>
      <c r="W9" s="408"/>
      <c r="X9" s="408"/>
      <c r="Y9" s="408"/>
      <c r="Z9" s="409"/>
      <c r="AA9" s="407" t="str">
        <f>IF(Calcu!B11=FALSE,"",Calcu!I11*Calcu!I$3)</f>
        <v/>
      </c>
      <c r="AB9" s="408"/>
      <c r="AC9" s="408"/>
      <c r="AD9" s="408"/>
      <c r="AE9" s="409"/>
      <c r="AF9" s="407" t="str">
        <f>IF(Calcu!B11=FALSE,"",Calcu!J11*Calcu!I$3)</f>
        <v/>
      </c>
      <c r="AG9" s="408"/>
      <c r="AH9" s="408"/>
      <c r="AI9" s="408"/>
      <c r="AJ9" s="409"/>
      <c r="AK9" s="407" t="str">
        <f>IF(Calcu!B11=FALSE,"",Calcu!K11*Calcu!I$3)</f>
        <v/>
      </c>
      <c r="AL9" s="408"/>
      <c r="AM9" s="408"/>
      <c r="AN9" s="408"/>
      <c r="AO9" s="409"/>
      <c r="AP9" s="407" t="str">
        <f>IF(Calcu!B11=FALSE,"",Calcu!L11*Calcu!I$3)</f>
        <v/>
      </c>
      <c r="AQ9" s="408"/>
      <c r="AR9" s="408"/>
      <c r="AS9" s="408"/>
      <c r="AT9" s="409"/>
    </row>
    <row r="10" spans="1:46" ht="18.75" customHeight="1">
      <c r="A10" s="59"/>
      <c r="B10" s="407" t="str">
        <f>IF(Calcu!B12=FALSE,"",Calcu!C12*Calcu!I$3)</f>
        <v/>
      </c>
      <c r="C10" s="408"/>
      <c r="D10" s="408"/>
      <c r="E10" s="408"/>
      <c r="F10" s="409"/>
      <c r="G10" s="407" t="str">
        <f>IF(Calcu!B12=FALSE,"",Calcu!E12*Calcu!I$3)</f>
        <v/>
      </c>
      <c r="H10" s="408"/>
      <c r="I10" s="408"/>
      <c r="J10" s="408"/>
      <c r="K10" s="409"/>
      <c r="L10" s="407" t="str">
        <f>IF(Calcu!B12=FALSE,"",Calcu!F12*Calcu!I$3)</f>
        <v/>
      </c>
      <c r="M10" s="408"/>
      <c r="N10" s="408"/>
      <c r="O10" s="408"/>
      <c r="P10" s="409"/>
      <c r="Q10" s="407" t="str">
        <f>IF(Calcu!B12=FALSE,"",Calcu!G12*Calcu!I$3)</f>
        <v/>
      </c>
      <c r="R10" s="408"/>
      <c r="S10" s="408"/>
      <c r="T10" s="408"/>
      <c r="U10" s="409"/>
      <c r="V10" s="407" t="str">
        <f>IF(Calcu!B12=FALSE,"",Calcu!H12*Calcu!I$3)</f>
        <v/>
      </c>
      <c r="W10" s="408"/>
      <c r="X10" s="408"/>
      <c r="Y10" s="408"/>
      <c r="Z10" s="409"/>
      <c r="AA10" s="407" t="str">
        <f>IF(Calcu!B12=FALSE,"",Calcu!I12*Calcu!I$3)</f>
        <v/>
      </c>
      <c r="AB10" s="408"/>
      <c r="AC10" s="408"/>
      <c r="AD10" s="408"/>
      <c r="AE10" s="409"/>
      <c r="AF10" s="407" t="str">
        <f>IF(Calcu!B12=FALSE,"",Calcu!J12*Calcu!I$3)</f>
        <v/>
      </c>
      <c r="AG10" s="408"/>
      <c r="AH10" s="408"/>
      <c r="AI10" s="408"/>
      <c r="AJ10" s="409"/>
      <c r="AK10" s="407" t="str">
        <f>IF(Calcu!B12=FALSE,"",Calcu!K12*Calcu!I$3)</f>
        <v/>
      </c>
      <c r="AL10" s="408"/>
      <c r="AM10" s="408"/>
      <c r="AN10" s="408"/>
      <c r="AO10" s="409"/>
      <c r="AP10" s="407" t="str">
        <f>IF(Calcu!B12=FALSE,"",Calcu!L12*Calcu!I$3)</f>
        <v/>
      </c>
      <c r="AQ10" s="408"/>
      <c r="AR10" s="408"/>
      <c r="AS10" s="408"/>
      <c r="AT10" s="409"/>
    </row>
    <row r="11" spans="1:46" ht="18.75" customHeight="1">
      <c r="A11" s="59"/>
      <c r="B11" s="407" t="str">
        <f>IF(Calcu!B13=FALSE,"",Calcu!C13*Calcu!I$3)</f>
        <v/>
      </c>
      <c r="C11" s="408"/>
      <c r="D11" s="408"/>
      <c r="E11" s="408"/>
      <c r="F11" s="409"/>
      <c r="G11" s="407" t="str">
        <f>IF(Calcu!B13=FALSE,"",Calcu!E13*Calcu!I$3)</f>
        <v/>
      </c>
      <c r="H11" s="408"/>
      <c r="I11" s="408"/>
      <c r="J11" s="408"/>
      <c r="K11" s="409"/>
      <c r="L11" s="407" t="str">
        <f>IF(Calcu!B13=FALSE,"",Calcu!F13*Calcu!I$3)</f>
        <v/>
      </c>
      <c r="M11" s="408"/>
      <c r="N11" s="408"/>
      <c r="O11" s="408"/>
      <c r="P11" s="409"/>
      <c r="Q11" s="407" t="str">
        <f>IF(Calcu!B13=FALSE,"",Calcu!G13*Calcu!I$3)</f>
        <v/>
      </c>
      <c r="R11" s="408"/>
      <c r="S11" s="408"/>
      <c r="T11" s="408"/>
      <c r="U11" s="409"/>
      <c r="V11" s="407" t="str">
        <f>IF(Calcu!B13=FALSE,"",Calcu!H13*Calcu!I$3)</f>
        <v/>
      </c>
      <c r="W11" s="408"/>
      <c r="X11" s="408"/>
      <c r="Y11" s="408"/>
      <c r="Z11" s="409"/>
      <c r="AA11" s="407" t="str">
        <f>IF(Calcu!B13=FALSE,"",Calcu!I13*Calcu!I$3)</f>
        <v/>
      </c>
      <c r="AB11" s="408"/>
      <c r="AC11" s="408"/>
      <c r="AD11" s="408"/>
      <c r="AE11" s="409"/>
      <c r="AF11" s="407" t="str">
        <f>IF(Calcu!B13=FALSE,"",Calcu!J13*Calcu!I$3)</f>
        <v/>
      </c>
      <c r="AG11" s="408"/>
      <c r="AH11" s="408"/>
      <c r="AI11" s="408"/>
      <c r="AJ11" s="409"/>
      <c r="AK11" s="407" t="str">
        <f>IF(Calcu!B13=FALSE,"",Calcu!K13*Calcu!I$3)</f>
        <v/>
      </c>
      <c r="AL11" s="408"/>
      <c r="AM11" s="408"/>
      <c r="AN11" s="408"/>
      <c r="AO11" s="409"/>
      <c r="AP11" s="407" t="str">
        <f>IF(Calcu!B13=FALSE,"",Calcu!L13*Calcu!I$3)</f>
        <v/>
      </c>
      <c r="AQ11" s="408"/>
      <c r="AR11" s="408"/>
      <c r="AS11" s="408"/>
      <c r="AT11" s="409"/>
    </row>
    <row r="12" spans="1:46" ht="18.75" customHeight="1">
      <c r="A12" s="59"/>
      <c r="B12" s="407" t="str">
        <f>IF(Calcu!B14=FALSE,"",Calcu!C14*Calcu!I$3)</f>
        <v/>
      </c>
      <c r="C12" s="408"/>
      <c r="D12" s="408"/>
      <c r="E12" s="408"/>
      <c r="F12" s="409"/>
      <c r="G12" s="407" t="str">
        <f>IF(Calcu!B14=FALSE,"",Calcu!E14*Calcu!I$3)</f>
        <v/>
      </c>
      <c r="H12" s="408"/>
      <c r="I12" s="408"/>
      <c r="J12" s="408"/>
      <c r="K12" s="409"/>
      <c r="L12" s="407" t="str">
        <f>IF(Calcu!B14=FALSE,"",Calcu!F14*Calcu!I$3)</f>
        <v/>
      </c>
      <c r="M12" s="408"/>
      <c r="N12" s="408"/>
      <c r="O12" s="408"/>
      <c r="P12" s="409"/>
      <c r="Q12" s="407" t="str">
        <f>IF(Calcu!B14=FALSE,"",Calcu!G14*Calcu!I$3)</f>
        <v/>
      </c>
      <c r="R12" s="408"/>
      <c r="S12" s="408"/>
      <c r="T12" s="408"/>
      <c r="U12" s="409"/>
      <c r="V12" s="407" t="str">
        <f>IF(Calcu!B14=FALSE,"",Calcu!H14*Calcu!I$3)</f>
        <v/>
      </c>
      <c r="W12" s="408"/>
      <c r="X12" s="408"/>
      <c r="Y12" s="408"/>
      <c r="Z12" s="409"/>
      <c r="AA12" s="407" t="str">
        <f>IF(Calcu!B14=FALSE,"",Calcu!I14*Calcu!I$3)</f>
        <v/>
      </c>
      <c r="AB12" s="408"/>
      <c r="AC12" s="408"/>
      <c r="AD12" s="408"/>
      <c r="AE12" s="409"/>
      <c r="AF12" s="407" t="str">
        <f>IF(Calcu!B14=FALSE,"",Calcu!J14*Calcu!I$3)</f>
        <v/>
      </c>
      <c r="AG12" s="408"/>
      <c r="AH12" s="408"/>
      <c r="AI12" s="408"/>
      <c r="AJ12" s="409"/>
      <c r="AK12" s="407" t="str">
        <f>IF(Calcu!B14=FALSE,"",Calcu!K14*Calcu!I$3)</f>
        <v/>
      </c>
      <c r="AL12" s="408"/>
      <c r="AM12" s="408"/>
      <c r="AN12" s="408"/>
      <c r="AO12" s="409"/>
      <c r="AP12" s="407" t="str">
        <f>IF(Calcu!B14=FALSE,"",Calcu!L14*Calcu!I$3)</f>
        <v/>
      </c>
      <c r="AQ12" s="408"/>
      <c r="AR12" s="408"/>
      <c r="AS12" s="408"/>
      <c r="AT12" s="409"/>
    </row>
    <row r="13" spans="1:46" ht="18.75" customHeight="1">
      <c r="A13" s="59"/>
      <c r="B13" s="407" t="str">
        <f>IF(Calcu!B15=FALSE,"",Calcu!C15*Calcu!I$3)</f>
        <v/>
      </c>
      <c r="C13" s="408"/>
      <c r="D13" s="408"/>
      <c r="E13" s="408"/>
      <c r="F13" s="409"/>
      <c r="G13" s="407" t="str">
        <f>IF(Calcu!B15=FALSE,"",Calcu!E15*Calcu!I$3)</f>
        <v/>
      </c>
      <c r="H13" s="408"/>
      <c r="I13" s="408"/>
      <c r="J13" s="408"/>
      <c r="K13" s="409"/>
      <c r="L13" s="407" t="str">
        <f>IF(Calcu!B15=FALSE,"",Calcu!F15*Calcu!I$3)</f>
        <v/>
      </c>
      <c r="M13" s="408"/>
      <c r="N13" s="408"/>
      <c r="O13" s="408"/>
      <c r="P13" s="409"/>
      <c r="Q13" s="407" t="str">
        <f>IF(Calcu!B15=FALSE,"",Calcu!G15*Calcu!I$3)</f>
        <v/>
      </c>
      <c r="R13" s="408"/>
      <c r="S13" s="408"/>
      <c r="T13" s="408"/>
      <c r="U13" s="409"/>
      <c r="V13" s="407" t="str">
        <f>IF(Calcu!B15=FALSE,"",Calcu!H15*Calcu!I$3)</f>
        <v/>
      </c>
      <c r="W13" s="408"/>
      <c r="X13" s="408"/>
      <c r="Y13" s="408"/>
      <c r="Z13" s="409"/>
      <c r="AA13" s="407" t="str">
        <f>IF(Calcu!B15=FALSE,"",Calcu!I15*Calcu!I$3)</f>
        <v/>
      </c>
      <c r="AB13" s="408"/>
      <c r="AC13" s="408"/>
      <c r="AD13" s="408"/>
      <c r="AE13" s="409"/>
      <c r="AF13" s="407" t="str">
        <f>IF(Calcu!B15=FALSE,"",Calcu!J15*Calcu!I$3)</f>
        <v/>
      </c>
      <c r="AG13" s="408"/>
      <c r="AH13" s="408"/>
      <c r="AI13" s="408"/>
      <c r="AJ13" s="409"/>
      <c r="AK13" s="407" t="str">
        <f>IF(Calcu!B15=FALSE,"",Calcu!K15*Calcu!I$3)</f>
        <v/>
      </c>
      <c r="AL13" s="408"/>
      <c r="AM13" s="408"/>
      <c r="AN13" s="408"/>
      <c r="AO13" s="409"/>
      <c r="AP13" s="407" t="str">
        <f>IF(Calcu!B15=FALSE,"",Calcu!L15*Calcu!I$3)</f>
        <v/>
      </c>
      <c r="AQ13" s="408"/>
      <c r="AR13" s="408"/>
      <c r="AS13" s="408"/>
      <c r="AT13" s="409"/>
    </row>
    <row r="14" spans="1:46" ht="18.75" customHeight="1">
      <c r="A14" s="59"/>
      <c r="B14" s="407" t="str">
        <f>IF(Calcu!B16=FALSE,"",Calcu!C16*Calcu!I$3)</f>
        <v/>
      </c>
      <c r="C14" s="408"/>
      <c r="D14" s="408"/>
      <c r="E14" s="408"/>
      <c r="F14" s="409"/>
      <c r="G14" s="407" t="str">
        <f>IF(Calcu!B16=FALSE,"",Calcu!E16*Calcu!I$3)</f>
        <v/>
      </c>
      <c r="H14" s="408"/>
      <c r="I14" s="408"/>
      <c r="J14" s="408"/>
      <c r="K14" s="409"/>
      <c r="L14" s="407" t="str">
        <f>IF(Calcu!B16=FALSE,"",Calcu!F16*Calcu!I$3)</f>
        <v/>
      </c>
      <c r="M14" s="408"/>
      <c r="N14" s="408"/>
      <c r="O14" s="408"/>
      <c r="P14" s="409"/>
      <c r="Q14" s="407" t="str">
        <f>IF(Calcu!B16=FALSE,"",Calcu!G16*Calcu!I$3)</f>
        <v/>
      </c>
      <c r="R14" s="408"/>
      <c r="S14" s="408"/>
      <c r="T14" s="408"/>
      <c r="U14" s="409"/>
      <c r="V14" s="407" t="str">
        <f>IF(Calcu!B16=FALSE,"",Calcu!H16*Calcu!I$3)</f>
        <v/>
      </c>
      <c r="W14" s="408"/>
      <c r="X14" s="408"/>
      <c r="Y14" s="408"/>
      <c r="Z14" s="409"/>
      <c r="AA14" s="407" t="str">
        <f>IF(Calcu!B16=FALSE,"",Calcu!I16*Calcu!I$3)</f>
        <v/>
      </c>
      <c r="AB14" s="408"/>
      <c r="AC14" s="408"/>
      <c r="AD14" s="408"/>
      <c r="AE14" s="409"/>
      <c r="AF14" s="407" t="str">
        <f>IF(Calcu!B16=FALSE,"",Calcu!J16*Calcu!I$3)</f>
        <v/>
      </c>
      <c r="AG14" s="408"/>
      <c r="AH14" s="408"/>
      <c r="AI14" s="408"/>
      <c r="AJ14" s="409"/>
      <c r="AK14" s="407" t="str">
        <f>IF(Calcu!B16=FALSE,"",Calcu!K16*Calcu!I$3)</f>
        <v/>
      </c>
      <c r="AL14" s="408"/>
      <c r="AM14" s="408"/>
      <c r="AN14" s="408"/>
      <c r="AO14" s="409"/>
      <c r="AP14" s="407" t="str">
        <f>IF(Calcu!B16=FALSE,"",Calcu!L16*Calcu!I$3)</f>
        <v/>
      </c>
      <c r="AQ14" s="408"/>
      <c r="AR14" s="408"/>
      <c r="AS14" s="408"/>
      <c r="AT14" s="409"/>
    </row>
    <row r="15" spans="1:46" ht="18.75" customHeight="1">
      <c r="A15" s="59"/>
      <c r="B15" s="407" t="str">
        <f>IF(Calcu!B17=FALSE,"",Calcu!C17*Calcu!I$3)</f>
        <v/>
      </c>
      <c r="C15" s="408"/>
      <c r="D15" s="408"/>
      <c r="E15" s="408"/>
      <c r="F15" s="409"/>
      <c r="G15" s="407" t="str">
        <f>IF(Calcu!B17=FALSE,"",Calcu!E17*Calcu!I$3)</f>
        <v/>
      </c>
      <c r="H15" s="408"/>
      <c r="I15" s="408"/>
      <c r="J15" s="408"/>
      <c r="K15" s="409"/>
      <c r="L15" s="407" t="str">
        <f>IF(Calcu!B17=FALSE,"",Calcu!F17*Calcu!I$3)</f>
        <v/>
      </c>
      <c r="M15" s="408"/>
      <c r="N15" s="408"/>
      <c r="O15" s="408"/>
      <c r="P15" s="409"/>
      <c r="Q15" s="407" t="str">
        <f>IF(Calcu!B17=FALSE,"",Calcu!G17*Calcu!I$3)</f>
        <v/>
      </c>
      <c r="R15" s="408"/>
      <c r="S15" s="408"/>
      <c r="T15" s="408"/>
      <c r="U15" s="409"/>
      <c r="V15" s="407" t="str">
        <f>IF(Calcu!B17=FALSE,"",Calcu!H17*Calcu!I$3)</f>
        <v/>
      </c>
      <c r="W15" s="408"/>
      <c r="X15" s="408"/>
      <c r="Y15" s="408"/>
      <c r="Z15" s="409"/>
      <c r="AA15" s="407" t="str">
        <f>IF(Calcu!B17=FALSE,"",Calcu!I17*Calcu!I$3)</f>
        <v/>
      </c>
      <c r="AB15" s="408"/>
      <c r="AC15" s="408"/>
      <c r="AD15" s="408"/>
      <c r="AE15" s="409"/>
      <c r="AF15" s="407" t="str">
        <f>IF(Calcu!B17=FALSE,"",Calcu!J17*Calcu!I$3)</f>
        <v/>
      </c>
      <c r="AG15" s="408"/>
      <c r="AH15" s="408"/>
      <c r="AI15" s="408"/>
      <c r="AJ15" s="409"/>
      <c r="AK15" s="407" t="str">
        <f>IF(Calcu!B17=FALSE,"",Calcu!K17*Calcu!I$3)</f>
        <v/>
      </c>
      <c r="AL15" s="408"/>
      <c r="AM15" s="408"/>
      <c r="AN15" s="408"/>
      <c r="AO15" s="409"/>
      <c r="AP15" s="407" t="str">
        <f>IF(Calcu!B17=FALSE,"",Calcu!L17*Calcu!I$3)</f>
        <v/>
      </c>
      <c r="AQ15" s="408"/>
      <c r="AR15" s="408"/>
      <c r="AS15" s="408"/>
      <c r="AT15" s="409"/>
    </row>
    <row r="16" spans="1:46" ht="18.75" customHeight="1">
      <c r="A16" s="59"/>
      <c r="B16" s="407" t="str">
        <f>IF(Calcu!B18=FALSE,"",Calcu!C18*Calcu!I$3)</f>
        <v/>
      </c>
      <c r="C16" s="408"/>
      <c r="D16" s="408"/>
      <c r="E16" s="408"/>
      <c r="F16" s="409"/>
      <c r="G16" s="407" t="str">
        <f>IF(Calcu!B18=FALSE,"",Calcu!E18*Calcu!I$3)</f>
        <v/>
      </c>
      <c r="H16" s="408"/>
      <c r="I16" s="408"/>
      <c r="J16" s="408"/>
      <c r="K16" s="409"/>
      <c r="L16" s="407" t="str">
        <f>IF(Calcu!B18=FALSE,"",Calcu!F18*Calcu!I$3)</f>
        <v/>
      </c>
      <c r="M16" s="408"/>
      <c r="N16" s="408"/>
      <c r="O16" s="408"/>
      <c r="P16" s="409"/>
      <c r="Q16" s="407" t="str">
        <f>IF(Calcu!B18=FALSE,"",Calcu!G18*Calcu!I$3)</f>
        <v/>
      </c>
      <c r="R16" s="408"/>
      <c r="S16" s="408"/>
      <c r="T16" s="408"/>
      <c r="U16" s="409"/>
      <c r="V16" s="407" t="str">
        <f>IF(Calcu!B18=FALSE,"",Calcu!H18*Calcu!I$3)</f>
        <v/>
      </c>
      <c r="W16" s="408"/>
      <c r="X16" s="408"/>
      <c r="Y16" s="408"/>
      <c r="Z16" s="409"/>
      <c r="AA16" s="407" t="str">
        <f>IF(Calcu!B18=FALSE,"",Calcu!I18*Calcu!I$3)</f>
        <v/>
      </c>
      <c r="AB16" s="408"/>
      <c r="AC16" s="408"/>
      <c r="AD16" s="408"/>
      <c r="AE16" s="409"/>
      <c r="AF16" s="407" t="str">
        <f>IF(Calcu!B18=FALSE,"",Calcu!J18*Calcu!I$3)</f>
        <v/>
      </c>
      <c r="AG16" s="408"/>
      <c r="AH16" s="408"/>
      <c r="AI16" s="408"/>
      <c r="AJ16" s="409"/>
      <c r="AK16" s="407" t="str">
        <f>IF(Calcu!B18=FALSE,"",Calcu!K18*Calcu!I$3)</f>
        <v/>
      </c>
      <c r="AL16" s="408"/>
      <c r="AM16" s="408"/>
      <c r="AN16" s="408"/>
      <c r="AO16" s="409"/>
      <c r="AP16" s="407" t="str">
        <f>IF(Calcu!B18=FALSE,"",Calcu!L18*Calcu!I$3)</f>
        <v/>
      </c>
      <c r="AQ16" s="408"/>
      <c r="AR16" s="408"/>
      <c r="AS16" s="408"/>
      <c r="AT16" s="409"/>
    </row>
    <row r="17" spans="1:69" ht="18.75" customHeight="1">
      <c r="A17" s="59"/>
      <c r="B17" s="226"/>
      <c r="C17" s="226"/>
      <c r="D17" s="226"/>
      <c r="E17" s="226"/>
      <c r="F17" s="226"/>
      <c r="G17" s="226"/>
      <c r="H17" s="226"/>
      <c r="I17" s="226"/>
      <c r="J17" s="226"/>
      <c r="K17" s="226"/>
      <c r="L17" s="226"/>
      <c r="M17" s="226"/>
      <c r="N17" s="226"/>
      <c r="O17" s="226"/>
      <c r="P17" s="226"/>
      <c r="Q17" s="226"/>
      <c r="R17" s="226"/>
      <c r="S17" s="226"/>
      <c r="T17" s="226"/>
      <c r="U17" s="226"/>
      <c r="V17" s="226"/>
      <c r="W17" s="226"/>
      <c r="X17" s="226"/>
      <c r="Y17" s="226"/>
      <c r="Z17" s="226"/>
      <c r="AA17" s="226"/>
      <c r="AB17" s="226"/>
      <c r="AC17" s="226"/>
      <c r="AD17" s="226"/>
      <c r="AE17" s="226"/>
      <c r="AF17" s="226"/>
      <c r="AG17" s="226"/>
      <c r="AH17" s="226"/>
      <c r="AI17" s="226"/>
      <c r="AJ17" s="226"/>
      <c r="AK17" s="226"/>
      <c r="AL17" s="226"/>
      <c r="AM17" s="226"/>
      <c r="AN17" s="226"/>
      <c r="AO17" s="226"/>
      <c r="AP17" s="226"/>
      <c r="AQ17" s="226"/>
      <c r="AR17" s="226"/>
      <c r="AS17" s="226"/>
      <c r="AT17" s="226"/>
    </row>
    <row r="18" spans="1:69" ht="18.75" customHeight="1">
      <c r="A18" s="59" t="s">
        <v>230</v>
      </c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</row>
    <row r="19" spans="1:69" ht="18.75" customHeight="1">
      <c r="A19" s="72"/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</row>
    <row r="20" spans="1:69" ht="18.75" customHeight="1">
      <c r="A20" s="72"/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</row>
    <row r="21" spans="1:69" ht="18.75" customHeight="1">
      <c r="A21" s="72"/>
      <c r="B21" s="58"/>
      <c r="C21" s="410" t="s">
        <v>315</v>
      </c>
      <c r="D21" s="410"/>
      <c r="E21" s="410"/>
      <c r="F21" s="226" t="s">
        <v>231</v>
      </c>
      <c r="G21" s="58" t="s">
        <v>358</v>
      </c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W21" s="61"/>
      <c r="X21" s="61"/>
      <c r="Y21" s="61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</row>
    <row r="22" spans="1:69" ht="18.75" customHeight="1">
      <c r="A22" s="72"/>
      <c r="B22" s="58"/>
      <c r="C22" s="410" t="s">
        <v>233</v>
      </c>
      <c r="D22" s="410"/>
      <c r="E22" s="410"/>
      <c r="F22" s="226" t="s">
        <v>231</v>
      </c>
      <c r="G22" s="58" t="s">
        <v>359</v>
      </c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</row>
    <row r="23" spans="1:69" ht="18.75" customHeight="1">
      <c r="A23" s="72"/>
      <c r="B23" s="58"/>
      <c r="C23" s="410" t="s">
        <v>232</v>
      </c>
      <c r="D23" s="410"/>
      <c r="E23" s="410"/>
      <c r="F23" s="226" t="s">
        <v>231</v>
      </c>
      <c r="G23" s="58" t="s">
        <v>360</v>
      </c>
      <c r="H23" s="58"/>
      <c r="I23" s="58"/>
      <c r="J23" s="58"/>
      <c r="K23" s="58"/>
      <c r="L23" s="58"/>
      <c r="M23" s="58"/>
      <c r="N23" s="58"/>
      <c r="O23" s="58"/>
      <c r="P23" s="58"/>
      <c r="Q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</row>
    <row r="24" spans="1:69" ht="18.75" customHeight="1">
      <c r="A24" s="72"/>
      <c r="B24" s="58"/>
      <c r="C24" s="410" t="s">
        <v>234</v>
      </c>
      <c r="D24" s="410"/>
      <c r="E24" s="410"/>
      <c r="F24" s="226" t="s">
        <v>231</v>
      </c>
      <c r="G24" s="58" t="s">
        <v>361</v>
      </c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</row>
    <row r="25" spans="1:69" ht="18.75" customHeight="1">
      <c r="A25" s="72"/>
      <c r="B25" s="58"/>
      <c r="C25" s="410"/>
      <c r="D25" s="410"/>
      <c r="E25" s="410"/>
      <c r="F25" s="226" t="s">
        <v>231</v>
      </c>
      <c r="G25" s="58" t="s">
        <v>362</v>
      </c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</row>
    <row r="26" spans="1:69" ht="18.75" customHeight="1">
      <c r="A26" s="72"/>
      <c r="B26" s="58"/>
      <c r="C26" s="410" t="s">
        <v>146</v>
      </c>
      <c r="D26" s="410"/>
      <c r="E26" s="410"/>
      <c r="F26" s="226" t="s">
        <v>231</v>
      </c>
      <c r="G26" s="58" t="s">
        <v>363</v>
      </c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</row>
    <row r="27" spans="1:69" ht="18.75" customHeight="1">
      <c r="A27" s="72"/>
      <c r="B27" s="58"/>
      <c r="C27" s="410" t="s">
        <v>147</v>
      </c>
      <c r="D27" s="410"/>
      <c r="E27" s="410"/>
      <c r="F27" s="226" t="s">
        <v>231</v>
      </c>
      <c r="G27" s="58" t="s">
        <v>364</v>
      </c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58"/>
      <c r="AK27" s="58"/>
      <c r="AL27" s="58"/>
      <c r="AM27" s="58"/>
      <c r="AN27" s="58"/>
      <c r="AO27" s="58"/>
      <c r="AP27" s="58"/>
      <c r="AQ27" s="58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</row>
    <row r="28" spans="1:69" ht="18.75" customHeight="1">
      <c r="A28" s="72"/>
      <c r="B28" s="58"/>
      <c r="C28" s="410" t="s">
        <v>148</v>
      </c>
      <c r="D28" s="410"/>
      <c r="E28" s="410"/>
      <c r="F28" s="226" t="s">
        <v>231</v>
      </c>
      <c r="G28" s="58" t="s">
        <v>365</v>
      </c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</row>
    <row r="29" spans="1:69" ht="18.75" customHeight="1">
      <c r="A29" s="72"/>
      <c r="B29" s="58"/>
      <c r="C29" s="410" t="s">
        <v>525</v>
      </c>
      <c r="D29" s="410"/>
      <c r="E29" s="410"/>
      <c r="F29" s="226" t="s">
        <v>231</v>
      </c>
      <c r="G29" s="58" t="s">
        <v>366</v>
      </c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</row>
    <row r="30" spans="1:69" ht="18.75" customHeight="1">
      <c r="A30" s="72"/>
      <c r="B30" s="58"/>
      <c r="C30" s="410" t="s">
        <v>235</v>
      </c>
      <c r="D30" s="410"/>
      <c r="E30" s="410"/>
      <c r="F30" s="226" t="s">
        <v>231</v>
      </c>
      <c r="G30" s="58" t="s">
        <v>524</v>
      </c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</row>
    <row r="31" spans="1:69" ht="18.75" customHeight="1">
      <c r="A31" s="72"/>
      <c r="B31" s="58"/>
      <c r="C31" s="410"/>
      <c r="D31" s="410"/>
      <c r="E31" s="410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D31" s="60"/>
      <c r="BE31" s="60"/>
      <c r="BF31" s="60"/>
      <c r="BG31" s="60"/>
      <c r="BH31" s="60"/>
      <c r="BI31" s="60"/>
      <c r="BJ31" s="60"/>
      <c r="BK31" s="60"/>
      <c r="BL31" s="60"/>
      <c r="BM31" s="60"/>
      <c r="BN31" s="60"/>
      <c r="BO31" s="60"/>
      <c r="BP31" s="60"/>
      <c r="BQ31" s="60"/>
    </row>
    <row r="32" spans="1:69" ht="18.75" customHeight="1">
      <c r="A32" s="59" t="s">
        <v>236</v>
      </c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</row>
    <row r="33" spans="1:46" ht="18.75" customHeight="1">
      <c r="A33" s="58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</row>
    <row r="34" spans="1:46" ht="18.75" customHeight="1">
      <c r="A34" s="58"/>
      <c r="B34" s="58"/>
      <c r="C34" s="58" t="s">
        <v>237</v>
      </c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</row>
    <row r="35" spans="1:46" ht="18.75" customHeight="1">
      <c r="A35" s="58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</row>
    <row r="36" spans="1:46" ht="18.75" customHeight="1">
      <c r="A36" s="58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</row>
    <row r="37" spans="1:46" ht="18.75" customHeight="1">
      <c r="A37" s="58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</row>
    <row r="38" spans="1:46" ht="18.75" customHeight="1">
      <c r="A38" s="58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58"/>
      <c r="AM38" s="58"/>
      <c r="AN38" s="58"/>
      <c r="AO38" s="58"/>
      <c r="AP38" s="58"/>
      <c r="AQ38" s="58"/>
      <c r="AR38" s="58"/>
      <c r="AS38" s="58"/>
      <c r="AT38" s="58"/>
    </row>
    <row r="39" spans="1:46" ht="18.75" customHeight="1">
      <c r="A39" s="300"/>
      <c r="B39" s="300"/>
      <c r="C39" s="300"/>
      <c r="D39" s="300"/>
      <c r="E39" s="300"/>
      <c r="F39" s="300"/>
      <c r="G39" s="300"/>
      <c r="H39" s="300"/>
      <c r="I39" s="300"/>
      <c r="J39" s="300"/>
      <c r="K39" s="300"/>
      <c r="L39" s="300"/>
      <c r="M39" s="300"/>
      <c r="N39" s="300"/>
      <c r="O39" s="300"/>
      <c r="P39" s="300"/>
      <c r="Q39" s="300"/>
      <c r="R39" s="300"/>
      <c r="S39" s="300"/>
      <c r="T39" s="300"/>
      <c r="U39" s="300"/>
      <c r="V39" s="300"/>
      <c r="W39" s="300"/>
      <c r="X39" s="300"/>
      <c r="Y39" s="300"/>
      <c r="Z39" s="300"/>
      <c r="AA39" s="300"/>
      <c r="AB39" s="300"/>
      <c r="AC39" s="300"/>
      <c r="AD39" s="300"/>
      <c r="AE39" s="300"/>
      <c r="AF39" s="300"/>
      <c r="AG39" s="300"/>
      <c r="AH39" s="300"/>
      <c r="AI39" s="300"/>
      <c r="AJ39" s="300"/>
      <c r="AK39" s="300"/>
      <c r="AL39" s="300"/>
      <c r="AM39" s="300"/>
      <c r="AN39" s="300"/>
      <c r="AO39" s="300"/>
      <c r="AP39" s="300"/>
      <c r="AQ39" s="300"/>
      <c r="AR39" s="300"/>
      <c r="AS39" s="300"/>
      <c r="AT39" s="300"/>
    </row>
    <row r="40" spans="1:46" ht="18.75" customHeight="1">
      <c r="A40" s="62" t="s">
        <v>238</v>
      </c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</row>
    <row r="41" spans="1:46" ht="18.75" customHeight="1">
      <c r="A41" s="58"/>
      <c r="B41" s="411"/>
      <c r="C41" s="412"/>
      <c r="D41" s="451"/>
      <c r="E41" s="452"/>
      <c r="F41" s="452"/>
      <c r="G41" s="452"/>
      <c r="H41" s="453"/>
      <c r="I41" s="422">
        <v>1</v>
      </c>
      <c r="J41" s="422"/>
      <c r="K41" s="422"/>
      <c r="L41" s="422"/>
      <c r="M41" s="422"/>
      <c r="N41" s="422"/>
      <c r="O41" s="422"/>
      <c r="P41" s="422">
        <v>2</v>
      </c>
      <c r="Q41" s="422"/>
      <c r="R41" s="422"/>
      <c r="S41" s="422"/>
      <c r="T41" s="422"/>
      <c r="U41" s="422"/>
      <c r="V41" s="422"/>
      <c r="W41" s="422">
        <v>3</v>
      </c>
      <c r="X41" s="422"/>
      <c r="Y41" s="422"/>
      <c r="Z41" s="422"/>
      <c r="AA41" s="422"/>
      <c r="AB41" s="451">
        <v>4</v>
      </c>
      <c r="AC41" s="452"/>
      <c r="AD41" s="452"/>
      <c r="AE41" s="452"/>
      <c r="AF41" s="452"/>
      <c r="AG41" s="452"/>
      <c r="AH41" s="453"/>
      <c r="AI41" s="422">
        <v>5</v>
      </c>
      <c r="AJ41" s="422"/>
      <c r="AK41" s="422"/>
      <c r="AL41" s="422"/>
      <c r="AM41" s="422"/>
      <c r="AN41" s="422"/>
      <c r="AO41" s="422"/>
      <c r="AP41" s="422"/>
      <c r="AQ41" s="422">
        <v>6</v>
      </c>
      <c r="AR41" s="422"/>
      <c r="AS41" s="422"/>
      <c r="AT41" s="422"/>
    </row>
    <row r="42" spans="1:46" ht="18.75" customHeight="1">
      <c r="A42" s="58"/>
      <c r="B42" s="413"/>
      <c r="C42" s="414"/>
      <c r="D42" s="411" t="s">
        <v>166</v>
      </c>
      <c r="E42" s="436"/>
      <c r="F42" s="436"/>
      <c r="G42" s="436"/>
      <c r="H42" s="412"/>
      <c r="I42" s="450" t="s">
        <v>167</v>
      </c>
      <c r="J42" s="450"/>
      <c r="K42" s="450"/>
      <c r="L42" s="450"/>
      <c r="M42" s="450"/>
      <c r="N42" s="450"/>
      <c r="O42" s="450"/>
      <c r="P42" s="450" t="s">
        <v>169</v>
      </c>
      <c r="Q42" s="450"/>
      <c r="R42" s="450"/>
      <c r="S42" s="450"/>
      <c r="T42" s="450"/>
      <c r="U42" s="450"/>
      <c r="V42" s="450"/>
      <c r="W42" s="450" t="s">
        <v>170</v>
      </c>
      <c r="X42" s="450"/>
      <c r="Y42" s="450"/>
      <c r="Z42" s="450"/>
      <c r="AA42" s="450"/>
      <c r="AB42" s="411" t="s">
        <v>171</v>
      </c>
      <c r="AC42" s="436"/>
      <c r="AD42" s="436"/>
      <c r="AE42" s="436"/>
      <c r="AF42" s="436"/>
      <c r="AG42" s="436"/>
      <c r="AH42" s="412"/>
      <c r="AI42" s="450" t="s">
        <v>239</v>
      </c>
      <c r="AJ42" s="450"/>
      <c r="AK42" s="450"/>
      <c r="AL42" s="450"/>
      <c r="AM42" s="450"/>
      <c r="AN42" s="450"/>
      <c r="AO42" s="450"/>
      <c r="AP42" s="450"/>
      <c r="AQ42" s="450" t="s">
        <v>173</v>
      </c>
      <c r="AR42" s="450"/>
      <c r="AS42" s="450"/>
      <c r="AT42" s="450"/>
    </row>
    <row r="43" spans="1:46" ht="18.75" customHeight="1" thickBot="1">
      <c r="A43" s="58"/>
      <c r="B43" s="413"/>
      <c r="C43" s="414"/>
      <c r="D43" s="415" t="s">
        <v>240</v>
      </c>
      <c r="E43" s="410"/>
      <c r="F43" s="410"/>
      <c r="G43" s="410"/>
      <c r="H43" s="416"/>
      <c r="I43" s="417" t="s">
        <v>326</v>
      </c>
      <c r="J43" s="417"/>
      <c r="K43" s="417"/>
      <c r="L43" s="417"/>
      <c r="M43" s="417"/>
      <c r="N43" s="417"/>
      <c r="O43" s="417"/>
      <c r="P43" s="417" t="s">
        <v>327</v>
      </c>
      <c r="Q43" s="417"/>
      <c r="R43" s="417"/>
      <c r="S43" s="417"/>
      <c r="T43" s="417"/>
      <c r="U43" s="417"/>
      <c r="V43" s="417"/>
      <c r="W43" s="417"/>
      <c r="X43" s="417"/>
      <c r="Y43" s="417"/>
      <c r="Z43" s="417"/>
      <c r="AA43" s="417"/>
      <c r="AB43" s="473" t="s">
        <v>328</v>
      </c>
      <c r="AC43" s="474"/>
      <c r="AD43" s="474"/>
      <c r="AE43" s="474"/>
      <c r="AF43" s="474"/>
      <c r="AG43" s="474"/>
      <c r="AH43" s="475"/>
      <c r="AI43" s="417" t="s">
        <v>329</v>
      </c>
      <c r="AJ43" s="417"/>
      <c r="AK43" s="417"/>
      <c r="AL43" s="417"/>
      <c r="AM43" s="417"/>
      <c r="AN43" s="417"/>
      <c r="AO43" s="417"/>
      <c r="AP43" s="417"/>
      <c r="AQ43" s="417"/>
      <c r="AR43" s="417"/>
      <c r="AS43" s="417"/>
      <c r="AT43" s="417"/>
    </row>
    <row r="44" spans="1:46" ht="18.75" customHeight="1">
      <c r="A44" s="58"/>
      <c r="B44" s="454" t="s">
        <v>175</v>
      </c>
      <c r="C44" s="455"/>
      <c r="D44" s="456" t="s">
        <v>233</v>
      </c>
      <c r="E44" s="457"/>
      <c r="F44" s="457"/>
      <c r="G44" s="457"/>
      <c r="H44" s="458"/>
      <c r="I44" s="459" t="e">
        <f ca="1">Calcu!E23</f>
        <v>#N/A</v>
      </c>
      <c r="J44" s="460"/>
      <c r="K44" s="460"/>
      <c r="L44" s="460"/>
      <c r="M44" s="460"/>
      <c r="N44" s="461" t="str">
        <f>Calcu!F23</f>
        <v>mm</v>
      </c>
      <c r="O44" s="462"/>
      <c r="P44" s="463">
        <f>Calcu!J23</f>
        <v>0</v>
      </c>
      <c r="Q44" s="464"/>
      <c r="R44" s="464"/>
      <c r="S44" s="464"/>
      <c r="T44" s="465" t="str">
        <f>Calcu!K23</f>
        <v>μm</v>
      </c>
      <c r="U44" s="466"/>
      <c r="V44" s="467"/>
      <c r="W44" s="455" t="str">
        <f>Calcu!L23</f>
        <v>정규</v>
      </c>
      <c r="X44" s="455"/>
      <c r="Y44" s="455"/>
      <c r="Z44" s="455"/>
      <c r="AA44" s="455"/>
      <c r="AB44" s="468">
        <f>Calcu!O23</f>
        <v>1</v>
      </c>
      <c r="AC44" s="469"/>
      <c r="AD44" s="469"/>
      <c r="AE44" s="469"/>
      <c r="AF44" s="469"/>
      <c r="AG44" s="469"/>
      <c r="AH44" s="470"/>
      <c r="AI44" s="463">
        <f>Calcu!Q23</f>
        <v>0</v>
      </c>
      <c r="AJ44" s="464"/>
      <c r="AK44" s="464"/>
      <c r="AL44" s="464"/>
      <c r="AM44" s="464"/>
      <c r="AN44" s="465" t="str">
        <f>Calcu!R23</f>
        <v>μm</v>
      </c>
      <c r="AO44" s="465"/>
      <c r="AP44" s="471"/>
      <c r="AQ44" s="455" t="str">
        <f>Calcu!S23</f>
        <v>∞</v>
      </c>
      <c r="AR44" s="455"/>
      <c r="AS44" s="455"/>
      <c r="AT44" s="472"/>
    </row>
    <row r="45" spans="1:46" ht="18.75" customHeight="1">
      <c r="A45" s="58"/>
      <c r="B45" s="421" t="s">
        <v>178</v>
      </c>
      <c r="C45" s="422"/>
      <c r="D45" s="423" t="s">
        <v>367</v>
      </c>
      <c r="E45" s="424"/>
      <c r="F45" s="424"/>
      <c r="G45" s="424"/>
      <c r="H45" s="425"/>
      <c r="I45" s="427" t="e">
        <f ca="1">I44</f>
        <v>#N/A</v>
      </c>
      <c r="J45" s="428"/>
      <c r="K45" s="428"/>
      <c r="L45" s="428"/>
      <c r="M45" s="428"/>
      <c r="N45" s="418" t="str">
        <f>N44</f>
        <v>mm</v>
      </c>
      <c r="O45" s="419"/>
      <c r="P45" s="429">
        <f>Calcu!J24</f>
        <v>0</v>
      </c>
      <c r="Q45" s="430"/>
      <c r="R45" s="430"/>
      <c r="S45" s="430"/>
      <c r="T45" s="430"/>
      <c r="U45" s="418" t="str">
        <f>Calcu!K24</f>
        <v>μm</v>
      </c>
      <c r="V45" s="419"/>
      <c r="W45" s="422" t="str">
        <f>Calcu!L24</f>
        <v>정규</v>
      </c>
      <c r="X45" s="422"/>
      <c r="Y45" s="422"/>
      <c r="Z45" s="422"/>
      <c r="AA45" s="422"/>
      <c r="AB45" s="476">
        <f>Calcu!O24</f>
        <v>0</v>
      </c>
      <c r="AC45" s="477"/>
      <c r="AD45" s="477"/>
      <c r="AE45" s="477"/>
      <c r="AF45" s="477"/>
      <c r="AG45" s="477"/>
      <c r="AH45" s="478"/>
      <c r="AI45" s="429">
        <f>P45</f>
        <v>0</v>
      </c>
      <c r="AJ45" s="430"/>
      <c r="AK45" s="430"/>
      <c r="AL45" s="430"/>
      <c r="AM45" s="430"/>
      <c r="AN45" s="430"/>
      <c r="AO45" s="418" t="str">
        <f>U45</f>
        <v>μm</v>
      </c>
      <c r="AP45" s="419"/>
      <c r="AQ45" s="479">
        <f>Calcu!S24</f>
        <v>0</v>
      </c>
      <c r="AR45" s="479"/>
      <c r="AS45" s="479"/>
      <c r="AT45" s="480"/>
    </row>
    <row r="46" spans="1:46" ht="18.75" customHeight="1" thickBot="1">
      <c r="A46" s="58"/>
      <c r="B46" s="497" t="s">
        <v>81</v>
      </c>
      <c r="C46" s="498"/>
      <c r="D46" s="499" t="s">
        <v>368</v>
      </c>
      <c r="E46" s="500"/>
      <c r="F46" s="500"/>
      <c r="G46" s="500"/>
      <c r="H46" s="501"/>
      <c r="I46" s="502" t="s">
        <v>369</v>
      </c>
      <c r="J46" s="503"/>
      <c r="K46" s="503"/>
      <c r="L46" s="503"/>
      <c r="M46" s="503"/>
      <c r="N46" s="503"/>
      <c r="O46" s="504"/>
      <c r="P46" s="505">
        <f>Calcu!J25</f>
        <v>0</v>
      </c>
      <c r="Q46" s="506"/>
      <c r="R46" s="506"/>
      <c r="S46" s="506"/>
      <c r="T46" s="506"/>
      <c r="U46" s="507" t="str">
        <f>Calcu!K25</f>
        <v>μm</v>
      </c>
      <c r="V46" s="508"/>
      <c r="W46" s="509" t="str">
        <f>Calcu!L25</f>
        <v>직사각형</v>
      </c>
      <c r="X46" s="509"/>
      <c r="Y46" s="509"/>
      <c r="Z46" s="509"/>
      <c r="AA46" s="509"/>
      <c r="AB46" s="510">
        <f>Calcu!O25</f>
        <v>0</v>
      </c>
      <c r="AC46" s="511"/>
      <c r="AD46" s="511"/>
      <c r="AE46" s="511"/>
      <c r="AF46" s="511"/>
      <c r="AG46" s="511"/>
      <c r="AH46" s="512"/>
      <c r="AI46" s="505">
        <f>P46</f>
        <v>0</v>
      </c>
      <c r="AJ46" s="506"/>
      <c r="AK46" s="506"/>
      <c r="AL46" s="506"/>
      <c r="AM46" s="506"/>
      <c r="AN46" s="506"/>
      <c r="AO46" s="507" t="str">
        <f>U46</f>
        <v>μm</v>
      </c>
      <c r="AP46" s="508"/>
      <c r="AQ46" s="481">
        <f>Calcu!S25</f>
        <v>0</v>
      </c>
      <c r="AR46" s="481"/>
      <c r="AS46" s="481"/>
      <c r="AT46" s="482"/>
    </row>
    <row r="47" spans="1:46" ht="18.75" customHeight="1">
      <c r="A47" s="58"/>
      <c r="B47" s="483" t="s">
        <v>82</v>
      </c>
      <c r="C47" s="484"/>
      <c r="D47" s="485" t="s">
        <v>232</v>
      </c>
      <c r="E47" s="486"/>
      <c r="F47" s="486"/>
      <c r="G47" s="486"/>
      <c r="H47" s="487"/>
      <c r="I47" s="488" t="e">
        <f ca="1">Calcu!E26</f>
        <v>#N/A</v>
      </c>
      <c r="J47" s="489"/>
      <c r="K47" s="489"/>
      <c r="L47" s="489"/>
      <c r="M47" s="489"/>
      <c r="N47" s="439" t="str">
        <f>Calcu!F26</f>
        <v>mm</v>
      </c>
      <c r="O47" s="490"/>
      <c r="P47" s="491">
        <f>Calcu!J26</f>
        <v>0</v>
      </c>
      <c r="Q47" s="492"/>
      <c r="R47" s="492"/>
      <c r="S47" s="492"/>
      <c r="T47" s="493" t="str">
        <f>Calcu!K26</f>
        <v>μm</v>
      </c>
      <c r="U47" s="439"/>
      <c r="V47" s="490"/>
      <c r="W47" s="494" t="str">
        <f>Calcu!L26</f>
        <v>직사각형</v>
      </c>
      <c r="X47" s="494"/>
      <c r="Y47" s="494"/>
      <c r="Z47" s="494"/>
      <c r="AA47" s="494"/>
      <c r="AB47" s="483">
        <f>Calcu!O26</f>
        <v>-1</v>
      </c>
      <c r="AC47" s="495"/>
      <c r="AD47" s="495"/>
      <c r="AE47" s="495"/>
      <c r="AF47" s="495"/>
      <c r="AG47" s="495"/>
      <c r="AH47" s="484"/>
      <c r="AI47" s="491">
        <f>Calcu!Q26</f>
        <v>0</v>
      </c>
      <c r="AJ47" s="492"/>
      <c r="AK47" s="492"/>
      <c r="AL47" s="492"/>
      <c r="AM47" s="492"/>
      <c r="AN47" s="493" t="str">
        <f>Calcu!R26</f>
        <v>μm</v>
      </c>
      <c r="AO47" s="493"/>
      <c r="AP47" s="496"/>
      <c r="AQ47" s="494" t="str">
        <f>Calcu!S26</f>
        <v>∞</v>
      </c>
      <c r="AR47" s="494"/>
      <c r="AS47" s="494"/>
      <c r="AT47" s="494"/>
    </row>
    <row r="48" spans="1:46" ht="18.75" customHeight="1">
      <c r="A48" s="58"/>
      <c r="B48" s="451" t="s">
        <v>182</v>
      </c>
      <c r="C48" s="453"/>
      <c r="D48" s="513"/>
      <c r="E48" s="514"/>
      <c r="F48" s="514"/>
      <c r="G48" s="514"/>
      <c r="H48" s="515"/>
      <c r="I48" s="427" t="e">
        <f ca="1">Calcu!E27</f>
        <v>#N/A</v>
      </c>
      <c r="J48" s="428"/>
      <c r="K48" s="428"/>
      <c r="L48" s="428"/>
      <c r="M48" s="428"/>
      <c r="N48" s="439" t="str">
        <f>Calcu!F27</f>
        <v>/℃</v>
      </c>
      <c r="O48" s="490"/>
      <c r="P48" s="519">
        <f>Calcu!J27</f>
        <v>4.0824829046386305E-7</v>
      </c>
      <c r="Q48" s="439"/>
      <c r="R48" s="439"/>
      <c r="S48" s="439"/>
      <c r="T48" s="493" t="str">
        <f>Calcu!K27</f>
        <v>/℃</v>
      </c>
      <c r="U48" s="439"/>
      <c r="V48" s="490"/>
      <c r="W48" s="494" t="str">
        <f>Calcu!L27</f>
        <v>삼각형</v>
      </c>
      <c r="X48" s="494"/>
      <c r="Y48" s="494"/>
      <c r="Z48" s="494"/>
      <c r="AA48" s="494"/>
      <c r="AB48" s="520" t="e">
        <f>Calcu!O27</f>
        <v>#VALUE!</v>
      </c>
      <c r="AC48" s="521"/>
      <c r="AD48" s="521"/>
      <c r="AE48" s="521"/>
      <c r="AF48" s="521" t="str">
        <f>Calcu!P27</f>
        <v>℃·μm</v>
      </c>
      <c r="AG48" s="521"/>
      <c r="AH48" s="522"/>
      <c r="AI48" s="491" t="e">
        <f>Calcu!Q27</f>
        <v>#VALUE!</v>
      </c>
      <c r="AJ48" s="492"/>
      <c r="AK48" s="492"/>
      <c r="AL48" s="492"/>
      <c r="AM48" s="492"/>
      <c r="AN48" s="493" t="str">
        <f>Calcu!R27</f>
        <v>μm</v>
      </c>
      <c r="AO48" s="493"/>
      <c r="AP48" s="496"/>
      <c r="AQ48" s="494">
        <f>Calcu!S27</f>
        <v>100</v>
      </c>
      <c r="AR48" s="494"/>
      <c r="AS48" s="494"/>
      <c r="AT48" s="494"/>
    </row>
    <row r="49" spans="1:62" ht="18.75" customHeight="1">
      <c r="A49" s="58"/>
      <c r="B49" s="451" t="s">
        <v>184</v>
      </c>
      <c r="C49" s="453"/>
      <c r="D49" s="513" t="s">
        <v>146</v>
      </c>
      <c r="E49" s="514"/>
      <c r="F49" s="514"/>
      <c r="G49" s="514"/>
      <c r="H49" s="515"/>
      <c r="I49" s="427" t="str">
        <f>Calcu!E28</f>
        <v/>
      </c>
      <c r="J49" s="428"/>
      <c r="K49" s="428"/>
      <c r="L49" s="428"/>
      <c r="M49" s="428"/>
      <c r="N49" s="439" t="str">
        <f>Calcu!F28</f>
        <v>℃</v>
      </c>
      <c r="O49" s="490"/>
      <c r="P49" s="491">
        <f>Calcu!J28</f>
        <v>0.28867513459481292</v>
      </c>
      <c r="Q49" s="492"/>
      <c r="R49" s="492"/>
      <c r="S49" s="492"/>
      <c r="T49" s="493" t="str">
        <f>Calcu!K28</f>
        <v>℃</v>
      </c>
      <c r="U49" s="439"/>
      <c r="V49" s="490"/>
      <c r="W49" s="494" t="str">
        <f>Calcu!L28</f>
        <v>직사각형</v>
      </c>
      <c r="X49" s="494"/>
      <c r="Y49" s="494"/>
      <c r="Z49" s="494"/>
      <c r="AA49" s="494"/>
      <c r="AB49" s="516" t="e">
        <f ca="1">Calcu!O28</f>
        <v>#N/A</v>
      </c>
      <c r="AC49" s="517"/>
      <c r="AD49" s="517"/>
      <c r="AE49" s="517"/>
      <c r="AF49" s="517" t="str">
        <f>Calcu!P28</f>
        <v>/℃·μm</v>
      </c>
      <c r="AG49" s="517"/>
      <c r="AH49" s="518"/>
      <c r="AI49" s="491" t="e">
        <f ca="1">Calcu!Q28</f>
        <v>#N/A</v>
      </c>
      <c r="AJ49" s="492"/>
      <c r="AK49" s="492"/>
      <c r="AL49" s="492"/>
      <c r="AM49" s="492"/>
      <c r="AN49" s="493" t="str">
        <f>Calcu!R28</f>
        <v>μm</v>
      </c>
      <c r="AO49" s="493"/>
      <c r="AP49" s="496"/>
      <c r="AQ49" s="494">
        <f>Calcu!S28</f>
        <v>50</v>
      </c>
      <c r="AR49" s="494"/>
      <c r="AS49" s="494"/>
      <c r="AT49" s="494"/>
    </row>
    <row r="50" spans="1:62" ht="18.75" customHeight="1">
      <c r="A50" s="58"/>
      <c r="B50" s="451" t="s">
        <v>185</v>
      </c>
      <c r="C50" s="453"/>
      <c r="D50" s="513" t="s">
        <v>147</v>
      </c>
      <c r="E50" s="514"/>
      <c r="F50" s="514"/>
      <c r="G50" s="514"/>
      <c r="H50" s="515"/>
      <c r="I50" s="427" t="e">
        <f ca="1">Calcu!E29</f>
        <v>#N/A</v>
      </c>
      <c r="J50" s="428"/>
      <c r="K50" s="428"/>
      <c r="L50" s="428"/>
      <c r="M50" s="428"/>
      <c r="N50" s="439" t="str">
        <f>Calcu!F29</f>
        <v>/℃</v>
      </c>
      <c r="O50" s="490"/>
      <c r="P50" s="519">
        <f>Calcu!J29</f>
        <v>8.1649658092772609E-7</v>
      </c>
      <c r="Q50" s="439"/>
      <c r="R50" s="439"/>
      <c r="S50" s="439"/>
      <c r="T50" s="493" t="str">
        <f>Calcu!K29</f>
        <v>/℃</v>
      </c>
      <c r="U50" s="439"/>
      <c r="V50" s="490"/>
      <c r="W50" s="494" t="str">
        <f>Calcu!L29</f>
        <v>삼각형</v>
      </c>
      <c r="X50" s="494"/>
      <c r="Y50" s="494"/>
      <c r="Z50" s="494"/>
      <c r="AA50" s="494"/>
      <c r="AB50" s="516" t="e">
        <f>Calcu!O29</f>
        <v>#VALUE!</v>
      </c>
      <c r="AC50" s="517"/>
      <c r="AD50" s="517"/>
      <c r="AE50" s="517"/>
      <c r="AF50" s="517" t="str">
        <f>Calcu!P29</f>
        <v>℃·μm</v>
      </c>
      <c r="AG50" s="517"/>
      <c r="AH50" s="518"/>
      <c r="AI50" s="491" t="e">
        <f>Calcu!Q29</f>
        <v>#VALUE!</v>
      </c>
      <c r="AJ50" s="492"/>
      <c r="AK50" s="492"/>
      <c r="AL50" s="492"/>
      <c r="AM50" s="492"/>
      <c r="AN50" s="493" t="str">
        <f>Calcu!R29</f>
        <v>μm</v>
      </c>
      <c r="AO50" s="493"/>
      <c r="AP50" s="496"/>
      <c r="AQ50" s="494">
        <f>Calcu!S29</f>
        <v>100</v>
      </c>
      <c r="AR50" s="494"/>
      <c r="AS50" s="494"/>
      <c r="AT50" s="494"/>
    </row>
    <row r="51" spans="1:62" ht="18.75" customHeight="1">
      <c r="A51" s="58"/>
      <c r="B51" s="451" t="s">
        <v>186</v>
      </c>
      <c r="C51" s="453"/>
      <c r="D51" s="513" t="s">
        <v>148</v>
      </c>
      <c r="E51" s="514"/>
      <c r="F51" s="514"/>
      <c r="G51" s="514"/>
      <c r="H51" s="515"/>
      <c r="I51" s="427" t="str">
        <f>Calcu!E30</f>
        <v/>
      </c>
      <c r="J51" s="428"/>
      <c r="K51" s="428"/>
      <c r="L51" s="428"/>
      <c r="M51" s="428"/>
      <c r="N51" s="439" t="str">
        <f>Calcu!F30</f>
        <v>℃</v>
      </c>
      <c r="O51" s="490"/>
      <c r="P51" s="491">
        <f>Calcu!J30</f>
        <v>0.57735026918962584</v>
      </c>
      <c r="Q51" s="492"/>
      <c r="R51" s="492"/>
      <c r="S51" s="492"/>
      <c r="T51" s="493" t="str">
        <f>Calcu!K30</f>
        <v>℃</v>
      </c>
      <c r="U51" s="439"/>
      <c r="V51" s="490"/>
      <c r="W51" s="494" t="str">
        <f>Calcu!L30</f>
        <v>직사각형</v>
      </c>
      <c r="X51" s="494"/>
      <c r="Y51" s="494"/>
      <c r="Z51" s="494"/>
      <c r="AA51" s="494"/>
      <c r="AB51" s="516" t="e">
        <f ca="1">Calcu!O30</f>
        <v>#N/A</v>
      </c>
      <c r="AC51" s="517"/>
      <c r="AD51" s="517"/>
      <c r="AE51" s="517"/>
      <c r="AF51" s="517" t="str">
        <f>Calcu!P30</f>
        <v>/℃·μm</v>
      </c>
      <c r="AG51" s="517"/>
      <c r="AH51" s="518"/>
      <c r="AI51" s="491" t="e">
        <f ca="1">Calcu!Q30</f>
        <v>#N/A</v>
      </c>
      <c r="AJ51" s="492"/>
      <c r="AK51" s="492"/>
      <c r="AL51" s="492"/>
      <c r="AM51" s="492"/>
      <c r="AN51" s="493" t="str">
        <f>Calcu!R30</f>
        <v>μm</v>
      </c>
      <c r="AO51" s="493"/>
      <c r="AP51" s="496"/>
      <c r="AQ51" s="494" t="str">
        <f>Calcu!S30</f>
        <v>∞</v>
      </c>
      <c r="AR51" s="494"/>
      <c r="AS51" s="494"/>
      <c r="AT51" s="494"/>
    </row>
    <row r="52" spans="1:62" ht="18.75" customHeight="1">
      <c r="A52" s="58"/>
      <c r="B52" s="451" t="s">
        <v>189</v>
      </c>
      <c r="C52" s="453"/>
      <c r="D52" s="513" t="s">
        <v>526</v>
      </c>
      <c r="E52" s="514"/>
      <c r="F52" s="514"/>
      <c r="G52" s="514"/>
      <c r="H52" s="515"/>
      <c r="I52" s="427">
        <f>Calcu!E31</f>
        <v>0</v>
      </c>
      <c r="J52" s="428"/>
      <c r="K52" s="428"/>
      <c r="L52" s="428"/>
      <c r="M52" s="428"/>
      <c r="N52" s="439" t="str">
        <f>Calcu!F31</f>
        <v>mm</v>
      </c>
      <c r="O52" s="490"/>
      <c r="P52" s="491">
        <f>Calcu!J31</f>
        <v>0</v>
      </c>
      <c r="Q52" s="492"/>
      <c r="R52" s="492"/>
      <c r="S52" s="492"/>
      <c r="T52" s="493" t="str">
        <f>Calcu!K31</f>
        <v>μm</v>
      </c>
      <c r="U52" s="439"/>
      <c r="V52" s="490"/>
      <c r="W52" s="494" t="str">
        <f>Calcu!L31</f>
        <v>직사각형</v>
      </c>
      <c r="X52" s="494"/>
      <c r="Y52" s="494"/>
      <c r="Z52" s="494"/>
      <c r="AA52" s="494"/>
      <c r="AB52" s="451">
        <f>Calcu!O31</f>
        <v>1</v>
      </c>
      <c r="AC52" s="452"/>
      <c r="AD52" s="452"/>
      <c r="AE52" s="452"/>
      <c r="AF52" s="452"/>
      <c r="AG52" s="452"/>
      <c r="AH52" s="453"/>
      <c r="AI52" s="491">
        <f>Calcu!Q31</f>
        <v>0</v>
      </c>
      <c r="AJ52" s="492"/>
      <c r="AK52" s="492"/>
      <c r="AL52" s="492"/>
      <c r="AM52" s="492"/>
      <c r="AN52" s="493" t="str">
        <f>Calcu!R31</f>
        <v>μm</v>
      </c>
      <c r="AO52" s="493"/>
      <c r="AP52" s="496"/>
      <c r="AQ52" s="494" t="str">
        <f>Calcu!S31</f>
        <v>∞</v>
      </c>
      <c r="AR52" s="494"/>
      <c r="AS52" s="494"/>
      <c r="AT52" s="494"/>
    </row>
    <row r="53" spans="1:62" ht="18.75" customHeight="1">
      <c r="A53" s="58"/>
      <c r="B53" s="422" t="s">
        <v>349</v>
      </c>
      <c r="C53" s="422"/>
      <c r="D53" s="513" t="s">
        <v>527</v>
      </c>
      <c r="E53" s="514"/>
      <c r="F53" s="514"/>
      <c r="G53" s="514"/>
      <c r="H53" s="515"/>
      <c r="I53" s="427">
        <f>Calcu!E32</f>
        <v>0</v>
      </c>
      <c r="J53" s="428"/>
      <c r="K53" s="428"/>
      <c r="L53" s="428"/>
      <c r="M53" s="428"/>
      <c r="N53" s="439" t="str">
        <f>Calcu!F32</f>
        <v>mm</v>
      </c>
      <c r="O53" s="490"/>
      <c r="P53" s="491">
        <f>Calcu!J32</f>
        <v>0.28867513459481292</v>
      </c>
      <c r="Q53" s="492"/>
      <c r="R53" s="492"/>
      <c r="S53" s="492"/>
      <c r="T53" s="493" t="str">
        <f>Calcu!K32</f>
        <v>μm</v>
      </c>
      <c r="U53" s="439"/>
      <c r="V53" s="490"/>
      <c r="W53" s="494" t="str">
        <f>Calcu!L32</f>
        <v>직사각형</v>
      </c>
      <c r="X53" s="494"/>
      <c r="Y53" s="494"/>
      <c r="Z53" s="494"/>
      <c r="AA53" s="494"/>
      <c r="AB53" s="451">
        <f>Calcu!O32</f>
        <v>1</v>
      </c>
      <c r="AC53" s="452"/>
      <c r="AD53" s="452"/>
      <c r="AE53" s="452"/>
      <c r="AF53" s="452"/>
      <c r="AG53" s="452"/>
      <c r="AH53" s="453"/>
      <c r="AI53" s="491">
        <f>Calcu!Q32</f>
        <v>0.28867513459481292</v>
      </c>
      <c r="AJ53" s="492"/>
      <c r="AK53" s="492"/>
      <c r="AL53" s="492"/>
      <c r="AM53" s="492"/>
      <c r="AN53" s="493" t="str">
        <f>Calcu!R32</f>
        <v>μm</v>
      </c>
      <c r="AO53" s="493"/>
      <c r="AP53" s="496"/>
      <c r="AQ53" s="494">
        <f>Calcu!S32</f>
        <v>12</v>
      </c>
      <c r="AR53" s="494"/>
      <c r="AS53" s="494"/>
      <c r="AT53" s="494"/>
    </row>
    <row r="54" spans="1:62" ht="18.75" customHeight="1">
      <c r="A54" s="58"/>
      <c r="B54" s="422" t="s">
        <v>350</v>
      </c>
      <c r="C54" s="422"/>
      <c r="D54" s="513" t="s">
        <v>315</v>
      </c>
      <c r="E54" s="514"/>
      <c r="F54" s="514"/>
      <c r="G54" s="514"/>
      <c r="H54" s="515"/>
      <c r="I54" s="427" t="e">
        <f ca="1">Calcu!E33</f>
        <v>#N/A</v>
      </c>
      <c r="J54" s="428"/>
      <c r="K54" s="428"/>
      <c r="L54" s="428"/>
      <c r="M54" s="428"/>
      <c r="N54" s="439" t="str">
        <f>Calcu!F33</f>
        <v>mm</v>
      </c>
      <c r="O54" s="490"/>
      <c r="P54" s="451" t="s">
        <v>369</v>
      </c>
      <c r="Q54" s="452"/>
      <c r="R54" s="452"/>
      <c r="S54" s="452"/>
      <c r="T54" s="452"/>
      <c r="U54" s="452"/>
      <c r="V54" s="453"/>
      <c r="W54" s="422" t="s">
        <v>369</v>
      </c>
      <c r="X54" s="422"/>
      <c r="Y54" s="422"/>
      <c r="Z54" s="422"/>
      <c r="AA54" s="422"/>
      <c r="AB54" s="451" t="s">
        <v>369</v>
      </c>
      <c r="AC54" s="452"/>
      <c r="AD54" s="452"/>
      <c r="AE54" s="452"/>
      <c r="AF54" s="452"/>
      <c r="AG54" s="452"/>
      <c r="AH54" s="453"/>
      <c r="AI54" s="491" t="e">
        <f>Calcu!Q33</f>
        <v>#VALUE!</v>
      </c>
      <c r="AJ54" s="492"/>
      <c r="AK54" s="492"/>
      <c r="AL54" s="492"/>
      <c r="AM54" s="492"/>
      <c r="AN54" s="493" t="str">
        <f>Calcu!R33</f>
        <v>μm</v>
      </c>
      <c r="AO54" s="493"/>
      <c r="AP54" s="496"/>
      <c r="AQ54" s="494" t="e">
        <f>Calcu!S33</f>
        <v>#VALUE!</v>
      </c>
      <c r="AR54" s="494"/>
      <c r="AS54" s="494"/>
      <c r="AT54" s="494"/>
    </row>
    <row r="55" spans="1:62" ht="18.75" customHeight="1">
      <c r="A55" s="58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  <c r="AO55" s="58"/>
      <c r="AP55" s="58"/>
      <c r="AQ55" s="58"/>
      <c r="AR55" s="58"/>
      <c r="AS55" s="58"/>
      <c r="AT55" s="58"/>
    </row>
    <row r="56" spans="1:62" ht="18.75" customHeight="1">
      <c r="A56" s="59" t="s">
        <v>241</v>
      </c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</row>
    <row r="57" spans="1:62" s="71" customFormat="1" ht="18.75" customHeight="1">
      <c r="A57" s="59"/>
      <c r="B57" s="59" t="s">
        <v>370</v>
      </c>
      <c r="C57" s="240"/>
      <c r="D57" s="240"/>
      <c r="E57" s="240"/>
      <c r="F57" s="240"/>
      <c r="G57" s="240"/>
      <c r="H57" s="240"/>
      <c r="I57" s="240"/>
      <c r="J57" s="240"/>
      <c r="K57" s="240"/>
      <c r="L57" s="240"/>
      <c r="M57" s="240"/>
      <c r="N57" s="240"/>
      <c r="O57" s="240"/>
      <c r="P57" s="240"/>
      <c r="Q57" s="240"/>
      <c r="R57" s="240"/>
      <c r="S57" s="240"/>
      <c r="T57" s="240"/>
      <c r="U57" s="240"/>
      <c r="V57" s="240"/>
      <c r="W57" s="240"/>
      <c r="X57" s="240"/>
      <c r="Y57" s="240"/>
      <c r="Z57" s="240"/>
      <c r="AA57" s="240"/>
      <c r="AB57" s="240"/>
      <c r="AC57" s="240"/>
      <c r="AD57" s="240"/>
      <c r="AE57" s="240"/>
      <c r="AF57" s="240"/>
      <c r="AG57" s="240"/>
      <c r="AH57" s="240"/>
      <c r="AI57" s="240"/>
      <c r="AJ57" s="240"/>
      <c r="AK57" s="240"/>
      <c r="AL57" s="240"/>
      <c r="AM57" s="240"/>
      <c r="AN57" s="240"/>
      <c r="AO57" s="240"/>
      <c r="AP57" s="240"/>
      <c r="AQ57" s="240"/>
      <c r="AR57" s="240"/>
      <c r="AS57" s="240"/>
      <c r="AT57" s="240"/>
      <c r="AU57" s="240"/>
      <c r="AV57" s="240"/>
      <c r="AW57" s="240"/>
      <c r="AX57" s="240"/>
      <c r="AY57" s="240"/>
      <c r="AZ57" s="240"/>
      <c r="BA57" s="240"/>
      <c r="BB57" s="240"/>
      <c r="BC57" s="240"/>
      <c r="BD57" s="240"/>
      <c r="BE57" s="240"/>
      <c r="BF57" s="240"/>
    </row>
    <row r="58" spans="1:62" s="71" customFormat="1" ht="18.75" customHeight="1">
      <c r="B58" s="59"/>
      <c r="C58" s="240" t="s">
        <v>316</v>
      </c>
      <c r="D58" s="240"/>
      <c r="E58" s="240"/>
      <c r="F58" s="240"/>
      <c r="G58" s="240"/>
      <c r="H58" s="523" t="e">
        <f ca="1">I44</f>
        <v>#N/A</v>
      </c>
      <c r="I58" s="523"/>
      <c r="J58" s="523"/>
      <c r="K58" s="523"/>
      <c r="L58" s="523"/>
      <c r="M58" s="523"/>
      <c r="N58" s="241" t="s">
        <v>177</v>
      </c>
      <c r="O58" s="241"/>
      <c r="P58" s="241"/>
      <c r="Q58" s="241"/>
      <c r="R58" s="241"/>
      <c r="S58" s="241"/>
      <c r="T58" s="241"/>
      <c r="U58" s="240"/>
      <c r="V58" s="240"/>
      <c r="W58" s="240"/>
      <c r="X58" s="241"/>
      <c r="Y58" s="241"/>
      <c r="Z58" s="240"/>
      <c r="AA58" s="240"/>
      <c r="AB58" s="240"/>
      <c r="AC58" s="240"/>
      <c r="AD58" s="240"/>
      <c r="AE58" s="240"/>
      <c r="AF58" s="240"/>
      <c r="AG58" s="240"/>
      <c r="AH58" s="240"/>
      <c r="AI58" s="240"/>
      <c r="AJ58" s="240"/>
      <c r="AK58" s="240"/>
      <c r="AL58" s="240"/>
      <c r="AM58" s="240"/>
      <c r="AN58" s="240"/>
      <c r="AO58" s="240"/>
      <c r="AP58" s="240"/>
      <c r="AQ58" s="240"/>
      <c r="AR58" s="240"/>
      <c r="AS58" s="241"/>
      <c r="AT58" s="240"/>
      <c r="AU58" s="240"/>
      <c r="AV58" s="240"/>
      <c r="AW58" s="240"/>
      <c r="AX58" s="240"/>
      <c r="AY58" s="240"/>
      <c r="AZ58" s="240"/>
      <c r="BA58" s="240"/>
      <c r="BB58" s="240"/>
      <c r="BC58" s="240"/>
      <c r="BD58" s="240"/>
      <c r="BE58" s="240"/>
      <c r="BF58" s="240"/>
      <c r="BG58" s="240"/>
    </row>
    <row r="59" spans="1:62" s="71" customFormat="1" ht="18.75" customHeight="1">
      <c r="B59" s="59"/>
      <c r="C59" s="240" t="s">
        <v>244</v>
      </c>
      <c r="D59" s="240"/>
      <c r="E59" s="240"/>
      <c r="F59" s="240"/>
      <c r="G59" s="240"/>
      <c r="H59" s="240"/>
      <c r="I59" s="240"/>
      <c r="J59" s="240"/>
      <c r="K59" s="240"/>
      <c r="L59" s="240"/>
      <c r="M59" s="242"/>
      <c r="N59" s="240"/>
      <c r="O59" s="240"/>
      <c r="P59" s="240"/>
      <c r="Q59" s="240"/>
      <c r="R59" s="240"/>
      <c r="S59" s="240"/>
      <c r="T59" s="240"/>
      <c r="U59" s="240"/>
      <c r="V59" s="240"/>
      <c r="W59" s="240"/>
      <c r="X59" s="240"/>
      <c r="Y59" s="524">
        <f>V76</f>
        <v>0</v>
      </c>
      <c r="Z59" s="524"/>
      <c r="AA59" s="524"/>
      <c r="AB59" s="33"/>
      <c r="AC59" s="524">
        <f>V87</f>
        <v>0</v>
      </c>
      <c r="AD59" s="524"/>
      <c r="AE59" s="524"/>
      <c r="AF59" s="524"/>
      <c r="AG59" s="243" t="s">
        <v>371</v>
      </c>
      <c r="AH59" s="398">
        <f>SQRT(SUMSQ(Y59,AC59))</f>
        <v>0</v>
      </c>
      <c r="AI59" s="398"/>
      <c r="AJ59" s="398"/>
      <c r="AK59" s="396" t="s">
        <v>372</v>
      </c>
      <c r="AL59" s="397"/>
      <c r="AM59" s="244"/>
      <c r="AN59" s="240"/>
      <c r="AO59" s="240"/>
      <c r="AP59" s="240"/>
      <c r="AQ59" s="244"/>
      <c r="AR59" s="244"/>
      <c r="AS59" s="244"/>
      <c r="AT59" s="241"/>
      <c r="AU59" s="245"/>
      <c r="AV59" s="245"/>
      <c r="AW59" s="245"/>
      <c r="AX59" s="245"/>
      <c r="AY59" s="246"/>
      <c r="AZ59" s="241"/>
      <c r="BA59" s="241"/>
      <c r="BB59" s="240"/>
      <c r="BC59" s="240"/>
      <c r="BD59" s="240"/>
      <c r="BE59" s="240"/>
      <c r="BF59" s="240"/>
      <c r="BG59" s="240"/>
    </row>
    <row r="60" spans="1:62" s="71" customFormat="1" ht="18.75" customHeight="1">
      <c r="B60" s="59"/>
      <c r="C60" s="240" t="s">
        <v>317</v>
      </c>
      <c r="D60" s="240"/>
      <c r="E60" s="240"/>
      <c r="F60" s="240"/>
      <c r="G60" s="240"/>
      <c r="H60" s="240"/>
      <c r="I60" s="523" t="str">
        <f>W44</f>
        <v>정규</v>
      </c>
      <c r="J60" s="523"/>
      <c r="K60" s="523"/>
      <c r="L60" s="523"/>
      <c r="M60" s="523"/>
      <c r="N60" s="240"/>
      <c r="O60" s="240"/>
      <c r="P60" s="240"/>
      <c r="Q60" s="240"/>
      <c r="R60" s="240"/>
      <c r="S60" s="240"/>
      <c r="T60" s="240"/>
      <c r="U60" s="240"/>
      <c r="V60" s="240"/>
      <c r="W60" s="240"/>
      <c r="X60" s="240"/>
      <c r="Y60" s="240"/>
      <c r="Z60" s="240"/>
      <c r="AA60" s="240"/>
      <c r="AB60" s="240"/>
      <c r="AC60" s="240"/>
      <c r="AD60" s="240"/>
      <c r="AE60" s="240"/>
      <c r="AF60" s="240"/>
      <c r="AG60" s="240"/>
      <c r="AH60" s="240"/>
      <c r="AI60" s="240"/>
      <c r="AJ60" s="240"/>
      <c r="AK60" s="240"/>
      <c r="AL60" s="240"/>
      <c r="AM60" s="240"/>
      <c r="AN60" s="240"/>
      <c r="AO60" s="240"/>
      <c r="AP60" s="240"/>
      <c r="AQ60" s="240"/>
      <c r="AR60" s="240"/>
      <c r="AS60" s="240"/>
      <c r="AT60" s="240"/>
      <c r="AU60" s="240"/>
      <c r="AV60" s="240"/>
      <c r="AW60" s="240"/>
      <c r="AX60" s="240"/>
      <c r="AY60" s="240"/>
      <c r="AZ60" s="240"/>
      <c r="BA60" s="240"/>
      <c r="BB60" s="240"/>
      <c r="BC60" s="240"/>
      <c r="BD60" s="240"/>
      <c r="BE60" s="240"/>
      <c r="BF60" s="240"/>
      <c r="BG60" s="240"/>
    </row>
    <row r="61" spans="1:62" s="71" customFormat="1" ht="18.75" customHeight="1">
      <c r="B61" s="59"/>
      <c r="C61" s="523" t="s">
        <v>248</v>
      </c>
      <c r="D61" s="523"/>
      <c r="E61" s="523"/>
      <c r="F61" s="523"/>
      <c r="G61" s="523"/>
      <c r="H61" s="523"/>
      <c r="I61" s="240"/>
      <c r="J61" s="240"/>
      <c r="K61" s="240"/>
      <c r="L61" s="240"/>
      <c r="M61" s="240"/>
      <c r="N61" s="240"/>
      <c r="O61" s="240"/>
      <c r="P61" s="240"/>
      <c r="Q61" s="240"/>
      <c r="R61" s="240"/>
      <c r="S61" s="240"/>
      <c r="T61" s="240"/>
      <c r="U61" s="240"/>
      <c r="V61" s="240"/>
      <c r="W61" s="240"/>
      <c r="X61" s="240"/>
      <c r="Y61" s="240"/>
      <c r="Z61" s="240"/>
      <c r="AA61" s="240"/>
      <c r="AB61" s="240"/>
      <c r="AC61" s="240"/>
      <c r="AD61" s="240"/>
      <c r="AE61" s="240"/>
      <c r="AF61" s="240"/>
      <c r="AG61" s="240"/>
      <c r="AH61" s="240"/>
      <c r="AI61" s="240"/>
      <c r="AJ61" s="240"/>
      <c r="AK61" s="240"/>
      <c r="AL61" s="240"/>
      <c r="AM61" s="240"/>
      <c r="AN61" s="240"/>
      <c r="AO61" s="240"/>
      <c r="AP61" s="240"/>
      <c r="AQ61" s="240"/>
      <c r="AR61" s="240"/>
      <c r="AS61" s="240"/>
      <c r="AT61" s="240"/>
      <c r="AU61" s="240"/>
      <c r="AV61" s="240"/>
      <c r="AW61" s="240"/>
      <c r="AX61" s="240"/>
      <c r="AY61" s="240"/>
      <c r="AZ61" s="240"/>
      <c r="BA61" s="240"/>
      <c r="BB61" s="240"/>
      <c r="BC61" s="240"/>
      <c r="BD61" s="240"/>
      <c r="BE61" s="240"/>
      <c r="BF61" s="240"/>
      <c r="BG61" s="240"/>
    </row>
    <row r="62" spans="1:62" s="71" customFormat="1" ht="18.75" customHeight="1">
      <c r="B62" s="59"/>
      <c r="C62" s="523"/>
      <c r="D62" s="523"/>
      <c r="E62" s="523"/>
      <c r="F62" s="523"/>
      <c r="G62" s="523"/>
      <c r="H62" s="523"/>
      <c r="I62" s="240"/>
      <c r="J62" s="240"/>
      <c r="K62" s="240"/>
      <c r="L62" s="240"/>
      <c r="M62" s="240"/>
      <c r="N62" s="240"/>
      <c r="O62" s="240"/>
      <c r="P62" s="240"/>
      <c r="Q62" s="240"/>
      <c r="R62" s="240"/>
      <c r="S62" s="240"/>
      <c r="T62" s="240"/>
      <c r="U62" s="240"/>
      <c r="V62" s="240"/>
      <c r="W62" s="240"/>
      <c r="X62" s="240"/>
      <c r="Y62" s="240"/>
      <c r="Z62" s="240"/>
      <c r="AA62" s="240"/>
      <c r="AB62" s="240"/>
      <c r="AC62" s="240"/>
      <c r="AD62" s="240"/>
      <c r="AE62" s="240"/>
      <c r="AF62" s="240"/>
      <c r="AG62" s="240"/>
      <c r="AH62" s="240"/>
      <c r="AI62" s="240"/>
      <c r="AJ62" s="240"/>
      <c r="AK62" s="240"/>
      <c r="AL62" s="240"/>
      <c r="AM62" s="240"/>
      <c r="AN62" s="240"/>
      <c r="AO62" s="240"/>
      <c r="AP62" s="240"/>
      <c r="AQ62" s="240"/>
      <c r="AR62" s="240"/>
      <c r="AS62" s="240"/>
      <c r="AT62" s="240"/>
      <c r="AU62" s="240"/>
      <c r="AV62" s="240"/>
      <c r="AW62" s="240"/>
      <c r="AX62" s="240"/>
      <c r="AY62" s="240"/>
      <c r="AZ62" s="240"/>
      <c r="BA62" s="240"/>
      <c r="BB62" s="240"/>
      <c r="BC62" s="240"/>
      <c r="BD62" s="240"/>
      <c r="BE62" s="240"/>
      <c r="BF62" s="240"/>
      <c r="BG62" s="240"/>
      <c r="BH62" s="240"/>
    </row>
    <row r="63" spans="1:62" s="71" customFormat="1" ht="18.75" customHeight="1">
      <c r="B63" s="59"/>
      <c r="C63" s="240" t="s">
        <v>373</v>
      </c>
      <c r="D63" s="240"/>
      <c r="E63" s="240"/>
      <c r="F63" s="240"/>
      <c r="G63" s="240"/>
      <c r="H63" s="240"/>
      <c r="I63" s="240"/>
      <c r="J63" s="240"/>
      <c r="K63" s="33" t="s">
        <v>83</v>
      </c>
      <c r="L63" s="431">
        <v>1</v>
      </c>
      <c r="M63" s="431"/>
      <c r="N63" s="247" t="s">
        <v>84</v>
      </c>
      <c r="O63" s="398">
        <f>AH59</f>
        <v>0</v>
      </c>
      <c r="P63" s="398"/>
      <c r="Q63" s="398"/>
      <c r="R63" s="396" t="str">
        <f>AK59</f>
        <v>μm</v>
      </c>
      <c r="S63" s="397"/>
      <c r="T63" s="235" t="s">
        <v>83</v>
      </c>
      <c r="U63" s="74" t="s">
        <v>247</v>
      </c>
      <c r="V63" s="398">
        <f>O63</f>
        <v>0</v>
      </c>
      <c r="W63" s="398"/>
      <c r="X63" s="398"/>
      <c r="Y63" s="396" t="str">
        <f>R63</f>
        <v>μm</v>
      </c>
      <c r="Z63" s="397"/>
      <c r="AA63" s="234"/>
      <c r="AB63" s="228"/>
      <c r="AC63" s="228"/>
      <c r="AD63" s="58"/>
      <c r="AE63" s="58"/>
      <c r="AF63" s="58"/>
      <c r="AG63" s="58"/>
      <c r="AH63" s="58"/>
      <c r="AI63" s="58"/>
      <c r="AJ63" s="58"/>
      <c r="AK63" s="58"/>
      <c r="AL63" s="58"/>
      <c r="AM63" s="58"/>
      <c r="AN63" s="58"/>
      <c r="AO63" s="58"/>
      <c r="AP63" s="58"/>
      <c r="AQ63" s="58"/>
      <c r="AR63" s="58"/>
      <c r="AS63" s="58"/>
      <c r="AT63" s="240"/>
      <c r="AU63" s="240"/>
      <c r="AV63" s="240"/>
      <c r="AW63" s="240"/>
      <c r="AX63" s="240"/>
      <c r="AY63" s="240"/>
      <c r="AZ63" s="240"/>
      <c r="BA63" s="240"/>
      <c r="BB63" s="240"/>
      <c r="BC63" s="240"/>
      <c r="BD63" s="240"/>
      <c r="BE63" s="240"/>
      <c r="BF63" s="240"/>
      <c r="BG63" s="240"/>
      <c r="BH63" s="240"/>
      <c r="BI63" s="240"/>
      <c r="BJ63" s="240"/>
    </row>
    <row r="64" spans="1:62" s="71" customFormat="1" ht="18.75" customHeight="1">
      <c r="B64" s="59"/>
      <c r="C64" s="240" t="s">
        <v>318</v>
      </c>
      <c r="D64" s="240"/>
      <c r="E64" s="240"/>
      <c r="F64" s="240"/>
      <c r="G64" s="240"/>
      <c r="H64" s="240"/>
      <c r="I64" s="426" t="s">
        <v>374</v>
      </c>
      <c r="J64" s="426"/>
      <c r="K64" s="426"/>
      <c r="L64" s="426"/>
      <c r="M64" s="432">
        <f>AH59</f>
        <v>0</v>
      </c>
      <c r="N64" s="432"/>
      <c r="O64" s="432"/>
      <c r="P64" s="432"/>
      <c r="Q64" s="432"/>
      <c r="R64" s="432"/>
      <c r="S64" s="432"/>
      <c r="T64" s="432"/>
      <c r="U64" s="405" t="s">
        <v>375</v>
      </c>
      <c r="V64" s="401" t="str">
        <f>AQ44</f>
        <v>∞</v>
      </c>
      <c r="W64" s="401"/>
      <c r="X64" s="401"/>
      <c r="Y64" s="401"/>
      <c r="Z64" s="232"/>
      <c r="AA64" s="232"/>
      <c r="AB64" s="232"/>
      <c r="AC64" s="240"/>
      <c r="AD64" s="228"/>
      <c r="AE64" s="228"/>
      <c r="AF64" s="228"/>
      <c r="AG64" s="228"/>
      <c r="AH64" s="240"/>
      <c r="AI64" s="240"/>
      <c r="AJ64" s="226"/>
      <c r="AK64" s="240"/>
      <c r="AL64" s="229"/>
      <c r="AM64" s="229"/>
      <c r="AN64" s="229"/>
      <c r="AO64" s="240"/>
      <c r="AP64" s="240"/>
      <c r="AQ64" s="240"/>
      <c r="AR64" s="240"/>
      <c r="AS64" s="240"/>
      <c r="AT64" s="240"/>
      <c r="AU64" s="240"/>
      <c r="AV64" s="240"/>
      <c r="AW64" s="240"/>
      <c r="AX64" s="240"/>
      <c r="AY64" s="240"/>
      <c r="AZ64" s="240"/>
      <c r="BA64" s="240"/>
      <c r="BB64" s="240"/>
      <c r="BC64" s="240"/>
      <c r="BD64" s="240"/>
    </row>
    <row r="65" spans="1:59" s="71" customFormat="1" ht="18.75" customHeight="1">
      <c r="B65" s="59"/>
      <c r="C65" s="240"/>
      <c r="D65" s="240"/>
      <c r="E65" s="240"/>
      <c r="F65" s="240"/>
      <c r="G65" s="240"/>
      <c r="H65" s="240"/>
      <c r="I65" s="426"/>
      <c r="J65" s="426"/>
      <c r="K65" s="426"/>
      <c r="L65" s="426"/>
      <c r="M65" s="432">
        <f>Y59</f>
        <v>0</v>
      </c>
      <c r="N65" s="432"/>
      <c r="O65" s="432"/>
      <c r="P65" s="433" t="s">
        <v>376</v>
      </c>
      <c r="Q65" s="432">
        <f>AC59</f>
        <v>0</v>
      </c>
      <c r="R65" s="432"/>
      <c r="S65" s="432"/>
      <c r="T65" s="248"/>
      <c r="U65" s="405"/>
      <c r="V65" s="401"/>
      <c r="W65" s="401"/>
      <c r="X65" s="401"/>
      <c r="Y65" s="401"/>
      <c r="Z65" s="232"/>
      <c r="AA65" s="232"/>
      <c r="AB65" s="232"/>
      <c r="AC65" s="240"/>
      <c r="AD65" s="228"/>
      <c r="AE65" s="228"/>
      <c r="AF65" s="228"/>
      <c r="AG65" s="228"/>
      <c r="AH65" s="240"/>
      <c r="AI65" s="240"/>
      <c r="AJ65" s="226"/>
      <c r="AK65" s="240"/>
      <c r="AL65" s="229"/>
      <c r="AM65" s="229"/>
      <c r="AN65" s="229"/>
      <c r="AO65" s="240"/>
      <c r="AP65" s="240"/>
      <c r="AQ65" s="240"/>
      <c r="AR65" s="240"/>
      <c r="AS65" s="240"/>
      <c r="AT65" s="240"/>
      <c r="AU65" s="240"/>
      <c r="AV65" s="240"/>
      <c r="AW65" s="240"/>
      <c r="AX65" s="240"/>
      <c r="AY65" s="240"/>
      <c r="AZ65" s="240"/>
      <c r="BA65" s="240"/>
      <c r="BB65" s="240"/>
      <c r="BC65" s="240"/>
      <c r="BD65" s="240"/>
    </row>
    <row r="66" spans="1:59" s="71" customFormat="1" ht="18.75" customHeight="1">
      <c r="B66" s="59"/>
      <c r="C66" s="240"/>
      <c r="D66" s="240"/>
      <c r="E66" s="240"/>
      <c r="F66" s="240"/>
      <c r="G66" s="240"/>
      <c r="H66" s="240"/>
      <c r="I66" s="226"/>
      <c r="J66" s="115"/>
      <c r="K66" s="228"/>
      <c r="L66" s="228"/>
      <c r="M66" s="436">
        <f>AQ45</f>
        <v>0</v>
      </c>
      <c r="N66" s="436"/>
      <c r="O66" s="436"/>
      <c r="P66" s="433"/>
      <c r="Q66" s="525">
        <f>AQ46</f>
        <v>0</v>
      </c>
      <c r="R66" s="525"/>
      <c r="S66" s="525"/>
      <c r="T66" s="160"/>
      <c r="U66" s="226"/>
      <c r="V66" s="226"/>
      <c r="W66" s="226"/>
      <c r="X66" s="226"/>
      <c r="Y66" s="226"/>
      <c r="Z66" s="232"/>
      <c r="AA66" s="232"/>
      <c r="AB66" s="232"/>
      <c r="AC66" s="240"/>
      <c r="AD66" s="228"/>
      <c r="AE66" s="228"/>
      <c r="AF66" s="228"/>
      <c r="AG66" s="228"/>
      <c r="AH66" s="240"/>
      <c r="AI66" s="240"/>
      <c r="AJ66" s="226"/>
      <c r="AK66" s="240"/>
      <c r="AL66" s="229"/>
      <c r="AM66" s="229"/>
      <c r="AN66" s="229"/>
      <c r="AO66" s="240"/>
      <c r="AP66" s="240"/>
      <c r="AQ66" s="240"/>
      <c r="AR66" s="240"/>
      <c r="AS66" s="240"/>
      <c r="AT66" s="240"/>
      <c r="AU66" s="240"/>
      <c r="AV66" s="240"/>
      <c r="AW66" s="240"/>
      <c r="AX66" s="240"/>
      <c r="AY66" s="240"/>
      <c r="AZ66" s="240"/>
      <c r="BA66" s="240"/>
      <c r="BB66" s="240"/>
      <c r="BC66" s="240"/>
      <c r="BD66" s="240"/>
    </row>
    <row r="67" spans="1:59" s="71" customFormat="1" ht="18.75" customHeight="1">
      <c r="B67" s="59"/>
      <c r="C67" s="240"/>
      <c r="D67" s="240"/>
      <c r="E67" s="240"/>
      <c r="F67" s="240"/>
      <c r="G67" s="240"/>
      <c r="H67" s="115"/>
      <c r="I67" s="115"/>
      <c r="J67" s="115"/>
      <c r="K67" s="115"/>
      <c r="L67" s="240"/>
      <c r="M67" s="240"/>
      <c r="N67" s="240"/>
      <c r="O67" s="240"/>
      <c r="P67" s="240"/>
      <c r="Q67" s="240"/>
      <c r="R67" s="232"/>
      <c r="S67" s="232"/>
      <c r="T67" s="232"/>
      <c r="U67" s="232"/>
      <c r="V67" s="249"/>
      <c r="W67" s="232"/>
      <c r="X67" s="232"/>
      <c r="Y67" s="232"/>
      <c r="Z67" s="232"/>
      <c r="AA67" s="249"/>
      <c r="AB67" s="232"/>
      <c r="AC67" s="232"/>
      <c r="AD67" s="232"/>
      <c r="AE67" s="232"/>
      <c r="AF67" s="240"/>
      <c r="AG67" s="228"/>
      <c r="AH67" s="228"/>
      <c r="AI67" s="228"/>
      <c r="AJ67" s="228"/>
      <c r="AK67" s="240"/>
      <c r="AL67" s="240"/>
      <c r="AM67" s="226"/>
      <c r="AN67" s="229"/>
      <c r="AO67" s="229"/>
      <c r="AP67" s="229"/>
      <c r="AQ67" s="229"/>
      <c r="AR67" s="240"/>
      <c r="AS67" s="240"/>
      <c r="AT67" s="240"/>
      <c r="AU67" s="240"/>
      <c r="AV67" s="240"/>
      <c r="AW67" s="240"/>
      <c r="AX67" s="240"/>
      <c r="AY67" s="240"/>
      <c r="AZ67" s="240"/>
      <c r="BA67" s="240"/>
      <c r="BB67" s="240"/>
      <c r="BC67" s="240"/>
      <c r="BD67" s="240"/>
      <c r="BE67" s="240"/>
      <c r="BF67" s="240"/>
      <c r="BG67" s="240"/>
    </row>
    <row r="68" spans="1:59" ht="18.75" customHeight="1">
      <c r="A68" s="58"/>
      <c r="B68" s="62" t="s">
        <v>377</v>
      </c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58"/>
      <c r="AK68" s="58"/>
      <c r="AL68" s="58"/>
      <c r="AM68" s="58"/>
      <c r="AN68" s="58"/>
      <c r="AO68" s="58"/>
      <c r="AP68" s="58"/>
      <c r="AQ68" s="58"/>
      <c r="AR68" s="58"/>
      <c r="AS68" s="58"/>
      <c r="AT68" s="58"/>
    </row>
    <row r="69" spans="1:59" ht="18.75" customHeight="1">
      <c r="A69" s="58"/>
      <c r="B69" s="62"/>
      <c r="C69" s="58" t="s">
        <v>250</v>
      </c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58"/>
      <c r="AK69" s="58"/>
      <c r="AL69" s="58"/>
      <c r="AM69" s="58"/>
      <c r="AN69" s="58"/>
      <c r="AO69" s="58"/>
      <c r="AP69" s="58"/>
      <c r="AQ69" s="58"/>
      <c r="AR69" s="58"/>
      <c r="AS69" s="58"/>
      <c r="AT69" s="58"/>
    </row>
    <row r="70" spans="1:59" ht="18.75" customHeight="1">
      <c r="A70" s="58"/>
      <c r="B70" s="58"/>
      <c r="C70" s="58" t="s">
        <v>251</v>
      </c>
      <c r="D70" s="58"/>
      <c r="E70" s="58"/>
      <c r="F70" s="58"/>
      <c r="G70" s="58"/>
      <c r="H70" s="58"/>
      <c r="I70" s="420" t="e">
        <f ca="1">I45</f>
        <v>#N/A</v>
      </c>
      <c r="J70" s="420"/>
      <c r="K70" s="420"/>
      <c r="L70" s="420"/>
      <c r="M70" s="420"/>
      <c r="N70" s="397" t="s">
        <v>357</v>
      </c>
      <c r="O70" s="397"/>
      <c r="P70" s="234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8"/>
      <c r="AN70" s="58"/>
      <c r="AO70" s="58"/>
      <c r="AP70" s="58"/>
      <c r="AQ70" s="58"/>
      <c r="AR70" s="58"/>
      <c r="AS70" s="58"/>
      <c r="AT70" s="58"/>
    </row>
    <row r="71" spans="1:59" ht="18.75" customHeight="1">
      <c r="A71" s="58"/>
      <c r="B71" s="58"/>
      <c r="C71" s="526" t="s">
        <v>319</v>
      </c>
      <c r="D71" s="526"/>
      <c r="E71" s="526"/>
      <c r="F71" s="526"/>
      <c r="G71" s="526"/>
      <c r="H71" s="526"/>
      <c r="I71" s="526"/>
      <c r="J71" s="527" t="s">
        <v>413</v>
      </c>
      <c r="K71" s="527"/>
      <c r="L71" s="527"/>
      <c r="M71" s="527"/>
      <c r="N71" s="410" t="s">
        <v>247</v>
      </c>
      <c r="O71" s="438" t="s">
        <v>85</v>
      </c>
      <c r="P71" s="438"/>
      <c r="Q71" s="410" t="s">
        <v>247</v>
      </c>
      <c r="R71" s="435">
        <f>Calcu!G24</f>
        <v>0</v>
      </c>
      <c r="S71" s="435"/>
      <c r="T71" s="435"/>
      <c r="U71" s="250" t="s">
        <v>136</v>
      </c>
      <c r="V71" s="250"/>
      <c r="W71" s="410" t="s">
        <v>247</v>
      </c>
      <c r="X71" s="398">
        <f>R71/2</f>
        <v>0</v>
      </c>
      <c r="Y71" s="398"/>
      <c r="Z71" s="398"/>
      <c r="AA71" s="396" t="str">
        <f>U71</f>
        <v>μm</v>
      </c>
      <c r="AB71" s="396"/>
      <c r="AC71" s="58"/>
      <c r="AD71" s="58"/>
      <c r="AE71" s="58"/>
      <c r="AF71" s="58"/>
      <c r="AG71" s="58"/>
      <c r="AH71" s="58"/>
      <c r="AI71" s="58"/>
      <c r="AJ71" s="58"/>
      <c r="AK71" s="58"/>
      <c r="AL71" s="58"/>
      <c r="AM71" s="58"/>
      <c r="AN71" s="58"/>
      <c r="AO71" s="58"/>
      <c r="AP71" s="58"/>
      <c r="AQ71" s="58"/>
      <c r="AR71" s="58"/>
      <c r="AS71" s="58"/>
    </row>
    <row r="72" spans="1:59" ht="18.75" customHeight="1">
      <c r="A72" s="58"/>
      <c r="B72" s="58"/>
      <c r="C72" s="526"/>
      <c r="D72" s="526"/>
      <c r="E72" s="526"/>
      <c r="F72" s="526"/>
      <c r="G72" s="526"/>
      <c r="H72" s="526"/>
      <c r="I72" s="526"/>
      <c r="J72" s="527"/>
      <c r="K72" s="527"/>
      <c r="L72" s="527"/>
      <c r="M72" s="527"/>
      <c r="N72" s="410"/>
      <c r="O72" s="528" t="s">
        <v>86</v>
      </c>
      <c r="P72" s="528"/>
      <c r="Q72" s="410"/>
      <c r="R72" s="436">
        <f>Calcu!I24</f>
        <v>2</v>
      </c>
      <c r="S72" s="436"/>
      <c r="T72" s="436"/>
      <c r="U72" s="436"/>
      <c r="V72" s="436"/>
      <c r="W72" s="410"/>
      <c r="X72" s="398"/>
      <c r="Y72" s="398"/>
      <c r="Z72" s="398"/>
      <c r="AA72" s="396"/>
      <c r="AB72" s="396"/>
      <c r="AG72" s="58"/>
      <c r="AH72" s="58"/>
      <c r="AI72" s="58"/>
      <c r="AJ72" s="58"/>
      <c r="AK72" s="58"/>
      <c r="AL72" s="58"/>
      <c r="AM72" s="58"/>
      <c r="AN72" s="58"/>
      <c r="AO72" s="58"/>
      <c r="AP72" s="58"/>
      <c r="AQ72" s="58"/>
      <c r="AR72" s="58"/>
      <c r="AS72" s="58"/>
    </row>
    <row r="73" spans="1:59" ht="18.75" customHeight="1">
      <c r="A73" s="58"/>
      <c r="B73" s="58"/>
      <c r="C73" s="58" t="s">
        <v>320</v>
      </c>
      <c r="D73" s="58"/>
      <c r="E73" s="58"/>
      <c r="F73" s="58"/>
      <c r="G73" s="58"/>
      <c r="H73" s="58"/>
      <c r="I73" s="401" t="str">
        <f>W45</f>
        <v>정규</v>
      </c>
      <c r="J73" s="401"/>
      <c r="K73" s="401"/>
      <c r="L73" s="401"/>
      <c r="M73" s="401"/>
      <c r="N73" s="401"/>
      <c r="O73" s="401"/>
      <c r="P73" s="401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58"/>
      <c r="AK73" s="58"/>
      <c r="AL73" s="58"/>
      <c r="AM73" s="58"/>
      <c r="AN73" s="58"/>
      <c r="AO73" s="58"/>
      <c r="AP73" s="58"/>
      <c r="AQ73" s="58"/>
      <c r="AR73" s="58"/>
      <c r="AS73" s="58"/>
      <c r="AT73" s="58"/>
    </row>
    <row r="74" spans="1:59" ht="18.75" customHeight="1">
      <c r="A74" s="58"/>
      <c r="B74" s="58"/>
      <c r="C74" s="400" t="s">
        <v>87</v>
      </c>
      <c r="D74" s="400"/>
      <c r="E74" s="400"/>
      <c r="F74" s="400"/>
      <c r="G74" s="400"/>
      <c r="H74" s="400"/>
      <c r="I74" s="228"/>
      <c r="J74" s="228"/>
      <c r="K74" s="58"/>
      <c r="L74" s="58"/>
      <c r="O74" s="401">
        <f>AB44</f>
        <v>1</v>
      </c>
      <c r="P74" s="401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58"/>
      <c r="AK74" s="58"/>
      <c r="AL74" s="58"/>
      <c r="AM74" s="58"/>
      <c r="AN74" s="58"/>
      <c r="AO74" s="58"/>
      <c r="AP74" s="58"/>
      <c r="AQ74" s="58"/>
      <c r="AR74" s="58"/>
      <c r="AS74" s="58"/>
      <c r="AT74" s="58"/>
    </row>
    <row r="75" spans="1:59" ht="18.75" customHeight="1">
      <c r="A75" s="58"/>
      <c r="B75" s="58"/>
      <c r="C75" s="400"/>
      <c r="D75" s="400"/>
      <c r="E75" s="400"/>
      <c r="F75" s="400"/>
      <c r="G75" s="400"/>
      <c r="H75" s="400"/>
      <c r="I75" s="229"/>
      <c r="J75" s="229"/>
      <c r="K75" s="58"/>
      <c r="L75" s="58"/>
      <c r="O75" s="401"/>
      <c r="P75" s="401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58"/>
      <c r="AK75" s="58"/>
      <c r="AL75" s="58"/>
      <c r="AM75" s="58"/>
      <c r="AN75" s="58"/>
      <c r="AO75" s="58"/>
      <c r="AP75" s="58"/>
      <c r="AQ75" s="58"/>
      <c r="AR75" s="58"/>
      <c r="AS75" s="58"/>
      <c r="AT75" s="58"/>
    </row>
    <row r="76" spans="1:59" s="58" customFormat="1" ht="18.75" customHeight="1">
      <c r="C76" s="58" t="s">
        <v>252</v>
      </c>
      <c r="K76" s="235" t="s">
        <v>83</v>
      </c>
      <c r="L76" s="437">
        <f>O74</f>
        <v>1</v>
      </c>
      <c r="M76" s="437"/>
      <c r="N76" s="228" t="s">
        <v>84</v>
      </c>
      <c r="O76" s="398">
        <f>X71</f>
        <v>0</v>
      </c>
      <c r="P76" s="398"/>
      <c r="Q76" s="398"/>
      <c r="R76" s="396" t="str">
        <f>AA71</f>
        <v>μm</v>
      </c>
      <c r="S76" s="397"/>
      <c r="T76" s="235" t="s">
        <v>83</v>
      </c>
      <c r="U76" s="74" t="s">
        <v>247</v>
      </c>
      <c r="V76" s="398">
        <f>O76</f>
        <v>0</v>
      </c>
      <c r="W76" s="398"/>
      <c r="X76" s="398"/>
      <c r="Y76" s="396" t="str">
        <f>R76</f>
        <v>μm</v>
      </c>
      <c r="Z76" s="397"/>
      <c r="AA76" s="234"/>
      <c r="AB76" s="228"/>
      <c r="AC76" s="228"/>
    </row>
    <row r="77" spans="1:59" ht="18.75" customHeight="1">
      <c r="A77" s="58"/>
      <c r="B77" s="58"/>
      <c r="C77" s="400" t="s">
        <v>88</v>
      </c>
      <c r="D77" s="400"/>
      <c r="E77" s="400"/>
      <c r="F77" s="400"/>
      <c r="G77" s="400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434"/>
      <c r="T77" s="434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G77" s="58"/>
      <c r="AH77" s="58"/>
      <c r="AI77" s="58"/>
      <c r="AJ77" s="58"/>
      <c r="AK77" s="58"/>
      <c r="AL77" s="58"/>
      <c r="AM77" s="58"/>
      <c r="AN77" s="58"/>
      <c r="AO77" s="58"/>
      <c r="AP77" s="58"/>
      <c r="AQ77" s="58"/>
      <c r="AR77" s="58"/>
      <c r="AS77" s="58"/>
      <c r="AT77" s="58"/>
    </row>
    <row r="78" spans="1:59" s="58" customFormat="1" ht="18.75" customHeight="1"/>
    <row r="79" spans="1:59" ht="18.75" customHeight="1">
      <c r="A79" s="58"/>
      <c r="B79" s="62" t="s">
        <v>378</v>
      </c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58"/>
      <c r="AK79" s="58"/>
      <c r="AL79" s="58"/>
      <c r="AM79" s="58"/>
      <c r="AN79" s="58"/>
      <c r="AO79" s="58"/>
      <c r="AP79" s="58"/>
      <c r="AQ79" s="58"/>
      <c r="AR79" s="58"/>
      <c r="AS79" s="58"/>
      <c r="AT79" s="58"/>
    </row>
    <row r="80" spans="1:59" ht="18.75" customHeight="1">
      <c r="A80" s="58"/>
      <c r="B80" s="62"/>
      <c r="C80" s="58" t="s">
        <v>250</v>
      </c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8"/>
      <c r="AP80" s="58"/>
      <c r="AQ80" s="58"/>
      <c r="AR80" s="58"/>
      <c r="AS80" s="58"/>
      <c r="AT80" s="58"/>
    </row>
    <row r="81" spans="1:49" ht="18.75" customHeight="1">
      <c r="A81" s="58"/>
      <c r="B81" s="58"/>
      <c r="C81" s="58" t="s">
        <v>253</v>
      </c>
      <c r="D81" s="58"/>
      <c r="E81" s="58"/>
      <c r="F81" s="58"/>
      <c r="G81" s="58"/>
      <c r="H81" s="58"/>
      <c r="I81" s="420" t="s">
        <v>369</v>
      </c>
      <c r="J81" s="420"/>
      <c r="K81" s="420"/>
      <c r="L81" s="420"/>
      <c r="M81" s="420"/>
      <c r="N81" s="397"/>
      <c r="O81" s="397"/>
      <c r="P81" s="234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58"/>
      <c r="AL81" s="58"/>
      <c r="AM81" s="58"/>
      <c r="AN81" s="58"/>
      <c r="AO81" s="58"/>
      <c r="AP81" s="58"/>
      <c r="AQ81" s="58"/>
      <c r="AR81" s="58"/>
      <c r="AS81" s="58"/>
      <c r="AT81" s="58"/>
    </row>
    <row r="82" spans="1:49" ht="18.75" customHeight="1">
      <c r="A82" s="58"/>
      <c r="B82" s="58"/>
      <c r="C82" s="526" t="s">
        <v>255</v>
      </c>
      <c r="D82" s="526"/>
      <c r="E82" s="526"/>
      <c r="F82" s="526"/>
      <c r="G82" s="526"/>
      <c r="H82" s="526"/>
      <c r="I82" s="526"/>
      <c r="J82" s="410" t="s">
        <v>414</v>
      </c>
      <c r="K82" s="410"/>
      <c r="L82" s="410"/>
      <c r="M82" s="410"/>
      <c r="N82" s="410" t="s">
        <v>247</v>
      </c>
      <c r="O82" s="435">
        <f>Calcu!G25</f>
        <v>0</v>
      </c>
      <c r="P82" s="435"/>
      <c r="Q82" s="435"/>
      <c r="R82" s="250" t="s">
        <v>136</v>
      </c>
      <c r="S82" s="250"/>
      <c r="T82" s="410" t="s">
        <v>247</v>
      </c>
      <c r="U82" s="398">
        <f>O82/SQRT(3)</f>
        <v>0</v>
      </c>
      <c r="V82" s="398"/>
      <c r="W82" s="398"/>
      <c r="X82" s="396" t="str">
        <f>R82</f>
        <v>μm</v>
      </c>
      <c r="Y82" s="396"/>
      <c r="Z82" s="234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58"/>
      <c r="AP82" s="58"/>
    </row>
    <row r="83" spans="1:49" ht="18.75" customHeight="1">
      <c r="A83" s="58"/>
      <c r="B83" s="58"/>
      <c r="C83" s="526"/>
      <c r="D83" s="526"/>
      <c r="E83" s="526"/>
      <c r="F83" s="526"/>
      <c r="G83" s="526"/>
      <c r="H83" s="526"/>
      <c r="I83" s="526"/>
      <c r="J83" s="410"/>
      <c r="K83" s="410"/>
      <c r="L83" s="410"/>
      <c r="M83" s="410"/>
      <c r="N83" s="410"/>
      <c r="O83" s="436"/>
      <c r="P83" s="436"/>
      <c r="Q83" s="436"/>
      <c r="R83" s="436"/>
      <c r="S83" s="436"/>
      <c r="T83" s="410"/>
      <c r="U83" s="398"/>
      <c r="V83" s="398"/>
      <c r="W83" s="398"/>
      <c r="X83" s="396"/>
      <c r="Y83" s="396"/>
      <c r="AD83" s="58"/>
      <c r="AE83" s="58"/>
      <c r="AF83" s="58"/>
      <c r="AG83" s="58"/>
      <c r="AH83" s="58"/>
      <c r="AI83" s="58"/>
      <c r="AJ83" s="58"/>
      <c r="AK83" s="58"/>
      <c r="AL83" s="58"/>
      <c r="AM83" s="58"/>
      <c r="AN83" s="58"/>
      <c r="AO83" s="58"/>
      <c r="AP83" s="58"/>
    </row>
    <row r="84" spans="1:49" ht="18.75" customHeight="1">
      <c r="A84" s="58"/>
      <c r="B84" s="58"/>
      <c r="C84" s="58" t="s">
        <v>91</v>
      </c>
      <c r="D84" s="58"/>
      <c r="E84" s="58"/>
      <c r="F84" s="58"/>
      <c r="G84" s="58"/>
      <c r="H84" s="58"/>
      <c r="I84" s="401" t="str">
        <f>W46</f>
        <v>직사각형</v>
      </c>
      <c r="J84" s="401"/>
      <c r="K84" s="401"/>
      <c r="L84" s="401"/>
      <c r="M84" s="401"/>
      <c r="N84" s="401"/>
      <c r="O84" s="401"/>
      <c r="P84" s="401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8"/>
      <c r="AP84" s="58"/>
      <c r="AQ84" s="58"/>
      <c r="AR84" s="58"/>
      <c r="AS84" s="58"/>
      <c r="AT84" s="58"/>
    </row>
    <row r="85" spans="1:49" ht="18.75" customHeight="1">
      <c r="A85" s="58"/>
      <c r="B85" s="58"/>
      <c r="C85" s="400" t="s">
        <v>93</v>
      </c>
      <c r="D85" s="400"/>
      <c r="E85" s="400"/>
      <c r="F85" s="400"/>
      <c r="G85" s="400"/>
      <c r="H85" s="400"/>
      <c r="I85" s="228"/>
      <c r="J85" s="228"/>
      <c r="K85" s="58"/>
      <c r="L85" s="58"/>
      <c r="O85" s="405">
        <f>AB46</f>
        <v>0</v>
      </c>
      <c r="P85" s="405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58"/>
      <c r="AL85" s="58"/>
      <c r="AM85" s="58"/>
      <c r="AN85" s="58"/>
      <c r="AO85" s="58"/>
      <c r="AP85" s="58"/>
      <c r="AQ85" s="58"/>
      <c r="AR85" s="58"/>
      <c r="AS85" s="58"/>
      <c r="AT85" s="58"/>
    </row>
    <row r="86" spans="1:49" ht="18.75" customHeight="1">
      <c r="A86" s="58"/>
      <c r="B86" s="58"/>
      <c r="C86" s="400"/>
      <c r="D86" s="400"/>
      <c r="E86" s="400"/>
      <c r="F86" s="400"/>
      <c r="G86" s="400"/>
      <c r="H86" s="400"/>
      <c r="I86" s="229"/>
      <c r="J86" s="229"/>
      <c r="K86" s="58"/>
      <c r="L86" s="58"/>
      <c r="O86" s="405"/>
      <c r="P86" s="405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58"/>
      <c r="AK86" s="58"/>
      <c r="AL86" s="58"/>
      <c r="AM86" s="58"/>
      <c r="AN86" s="58"/>
      <c r="AO86" s="58"/>
      <c r="AP86" s="58"/>
      <c r="AQ86" s="58"/>
      <c r="AR86" s="58"/>
      <c r="AS86" s="58"/>
      <c r="AT86" s="58"/>
    </row>
    <row r="87" spans="1:49" s="58" customFormat="1" ht="18.75" customHeight="1">
      <c r="C87" s="58" t="s">
        <v>379</v>
      </c>
      <c r="K87" s="235" t="s">
        <v>83</v>
      </c>
      <c r="L87" s="437">
        <f>O85</f>
        <v>0</v>
      </c>
      <c r="M87" s="437"/>
      <c r="N87" s="228" t="s">
        <v>84</v>
      </c>
      <c r="O87" s="398">
        <f>U82</f>
        <v>0</v>
      </c>
      <c r="P87" s="398"/>
      <c r="Q87" s="398"/>
      <c r="R87" s="396" t="str">
        <f>X82</f>
        <v>μm</v>
      </c>
      <c r="S87" s="397"/>
      <c r="T87" s="235" t="s">
        <v>83</v>
      </c>
      <c r="U87" s="74" t="s">
        <v>247</v>
      </c>
      <c r="V87" s="398">
        <f>O87</f>
        <v>0</v>
      </c>
      <c r="W87" s="398"/>
      <c r="X87" s="398"/>
      <c r="Y87" s="396" t="str">
        <f>R87</f>
        <v>μm</v>
      </c>
      <c r="Z87" s="397"/>
      <c r="AA87" s="234"/>
      <c r="AB87" s="228"/>
      <c r="AC87" s="228"/>
    </row>
    <row r="88" spans="1:49" ht="18.75" customHeight="1">
      <c r="A88" s="58"/>
      <c r="B88" s="58"/>
      <c r="C88" s="400" t="s">
        <v>94</v>
      </c>
      <c r="D88" s="400"/>
      <c r="E88" s="400"/>
      <c r="F88" s="400"/>
      <c r="G88" s="400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434"/>
      <c r="T88" s="434"/>
      <c r="U88" s="58"/>
      <c r="V88" s="58" t="s">
        <v>90</v>
      </c>
      <c r="W88" s="58"/>
      <c r="X88" s="58"/>
      <c r="Y88" s="58"/>
      <c r="Z88" s="58"/>
      <c r="AA88" s="58"/>
      <c r="AB88" s="58"/>
      <c r="AC88" s="58"/>
      <c r="AD88" s="58"/>
      <c r="AG88" s="58"/>
      <c r="AH88" s="58"/>
      <c r="AI88" s="58"/>
      <c r="AJ88" s="58"/>
      <c r="AK88" s="58"/>
      <c r="AL88" s="58"/>
      <c r="AM88" s="58"/>
      <c r="AN88" s="58"/>
      <c r="AO88" s="58"/>
      <c r="AP88" s="58"/>
      <c r="AQ88" s="58"/>
      <c r="AR88" s="58"/>
      <c r="AS88" s="58"/>
      <c r="AT88" s="58"/>
    </row>
    <row r="89" spans="1:49" ht="18.75" customHeight="1">
      <c r="A89" s="58"/>
      <c r="B89" s="58"/>
      <c r="C89" s="400"/>
      <c r="D89" s="400"/>
      <c r="E89" s="400"/>
      <c r="F89" s="400"/>
      <c r="G89" s="400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237"/>
      <c r="T89" s="237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G89" s="58"/>
      <c r="AH89" s="58"/>
      <c r="AI89" s="58"/>
      <c r="AJ89" s="58"/>
      <c r="AK89" s="58"/>
      <c r="AL89" s="58"/>
      <c r="AM89" s="58"/>
      <c r="AN89" s="58"/>
      <c r="AO89" s="58"/>
      <c r="AP89" s="58"/>
      <c r="AQ89" s="58"/>
      <c r="AR89" s="58"/>
      <c r="AS89" s="58"/>
      <c r="AT89" s="58"/>
    </row>
    <row r="90" spans="1:49" s="58" customFormat="1" ht="18.75" customHeight="1"/>
    <row r="91" spans="1:49" ht="18.75" customHeight="1">
      <c r="A91" s="58"/>
      <c r="B91" s="62" t="s">
        <v>380</v>
      </c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58"/>
      <c r="AK91" s="58"/>
      <c r="AL91" s="58"/>
      <c r="AM91" s="58"/>
      <c r="AN91" s="58"/>
      <c r="AO91" s="58"/>
      <c r="AP91" s="58"/>
      <c r="AQ91" s="58"/>
      <c r="AR91" s="58"/>
      <c r="AS91" s="58"/>
      <c r="AT91" s="58"/>
    </row>
    <row r="92" spans="1:49" ht="18.75" customHeight="1">
      <c r="A92" s="58"/>
      <c r="C92" s="58" t="s">
        <v>242</v>
      </c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58"/>
      <c r="AP92" s="58"/>
      <c r="AQ92" s="58"/>
      <c r="AR92" s="58"/>
      <c r="AS92" s="58"/>
      <c r="AT92" s="58"/>
    </row>
    <row r="93" spans="1:49" ht="18.75" customHeight="1">
      <c r="A93" s="58"/>
      <c r="C93" s="62"/>
      <c r="D93" s="58" t="s">
        <v>243</v>
      </c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58"/>
      <c r="AP93" s="58"/>
      <c r="AQ93" s="58"/>
      <c r="AR93" s="58"/>
      <c r="AS93" s="58"/>
      <c r="AT93" s="58"/>
    </row>
    <row r="94" spans="1:49" ht="18.75" customHeight="1">
      <c r="B94" s="58"/>
      <c r="C94" s="58" t="s">
        <v>95</v>
      </c>
      <c r="D94" s="58"/>
      <c r="E94" s="58"/>
      <c r="F94" s="58"/>
      <c r="G94" s="58"/>
      <c r="H94" s="58"/>
      <c r="I94" s="397" t="e">
        <f ca="1">I47</f>
        <v>#N/A</v>
      </c>
      <c r="J94" s="397"/>
      <c r="K94" s="397"/>
      <c r="L94" s="397"/>
      <c r="M94" s="397"/>
      <c r="N94" s="397" t="str">
        <f>N47</f>
        <v>mm</v>
      </c>
      <c r="O94" s="397"/>
      <c r="P94" s="234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58"/>
      <c r="AK94" s="58"/>
      <c r="AL94" s="58"/>
      <c r="AM94" s="58"/>
      <c r="AN94" s="58"/>
      <c r="AO94" s="58"/>
      <c r="AP94" s="58"/>
      <c r="AQ94" s="58"/>
      <c r="AR94" s="58"/>
      <c r="AS94" s="58"/>
      <c r="AT94" s="58"/>
      <c r="AU94" s="58"/>
    </row>
    <row r="95" spans="1:49" ht="18.75" customHeight="1">
      <c r="B95" s="58"/>
      <c r="C95" s="58" t="s">
        <v>265</v>
      </c>
      <c r="D95" s="58"/>
      <c r="E95" s="58"/>
      <c r="F95" s="58"/>
      <c r="G95" s="58"/>
      <c r="H95" s="58"/>
      <c r="I95" s="58"/>
      <c r="J95" s="63" t="s">
        <v>245</v>
      </c>
      <c r="K95" s="58"/>
      <c r="L95" s="58"/>
      <c r="M95" s="58"/>
      <c r="N95" s="58"/>
      <c r="O95" s="58"/>
      <c r="P95" s="58"/>
      <c r="Q95" s="397">
        <f>MAX(AK7:AO16)*1000</f>
        <v>0</v>
      </c>
      <c r="R95" s="397"/>
      <c r="S95" s="397"/>
      <c r="T95" s="529" t="s">
        <v>136</v>
      </c>
      <c r="U95" s="529"/>
      <c r="V95" s="58"/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58"/>
      <c r="AK95" s="58"/>
      <c r="AL95" s="58"/>
      <c r="AM95" s="58"/>
      <c r="AN95" s="58"/>
      <c r="AO95" s="58"/>
      <c r="AP95" s="58"/>
      <c r="AQ95" s="58"/>
      <c r="AR95" s="58"/>
      <c r="AS95" s="58"/>
      <c r="AT95" s="58"/>
      <c r="AU95" s="58"/>
    </row>
    <row r="96" spans="1:49" ht="18.75" customHeight="1">
      <c r="B96" s="58"/>
      <c r="C96" s="58"/>
      <c r="D96" s="58"/>
      <c r="E96" s="58"/>
      <c r="F96" s="58"/>
      <c r="G96" s="58"/>
      <c r="H96" s="58"/>
      <c r="I96" s="58"/>
      <c r="J96" s="58"/>
      <c r="K96" s="410" t="s">
        <v>415</v>
      </c>
      <c r="L96" s="410"/>
      <c r="M96" s="410"/>
      <c r="N96" s="410" t="s">
        <v>247</v>
      </c>
      <c r="O96" s="438" t="s">
        <v>246</v>
      </c>
      <c r="P96" s="438"/>
      <c r="Q96" s="410" t="s">
        <v>247</v>
      </c>
      <c r="R96" s="439">
        <f>Q95</f>
        <v>0</v>
      </c>
      <c r="S96" s="439"/>
      <c r="T96" s="439"/>
      <c r="U96" s="530" t="str">
        <f>T95</f>
        <v>μm</v>
      </c>
      <c r="V96" s="530"/>
      <c r="W96" s="410" t="s">
        <v>247</v>
      </c>
      <c r="X96" s="398">
        <f>R96/SQRT(5)</f>
        <v>0</v>
      </c>
      <c r="Y96" s="398"/>
      <c r="Z96" s="398"/>
      <c r="AA96" s="396" t="str">
        <f>T95</f>
        <v>μm</v>
      </c>
      <c r="AB96" s="396"/>
      <c r="AC96" s="233"/>
      <c r="AD96" s="233"/>
      <c r="AE96" s="233"/>
      <c r="AF96" s="58"/>
      <c r="AG96" s="58"/>
      <c r="AH96" s="58"/>
      <c r="AI96" s="58"/>
      <c r="AJ96" s="58"/>
      <c r="AK96" s="58"/>
      <c r="AL96" s="58"/>
      <c r="AM96" s="58"/>
      <c r="AN96" s="58"/>
      <c r="AO96" s="58"/>
      <c r="AP96" s="58"/>
      <c r="AQ96" s="58"/>
      <c r="AR96" s="58"/>
      <c r="AS96" s="58"/>
      <c r="AT96" s="58"/>
      <c r="AU96" s="58"/>
      <c r="AV96" s="58"/>
      <c r="AW96" s="58"/>
    </row>
    <row r="97" spans="1:66" ht="18.75" customHeight="1">
      <c r="B97" s="58"/>
      <c r="C97" s="58"/>
      <c r="D97" s="58"/>
      <c r="E97" s="58"/>
      <c r="F97" s="58"/>
      <c r="G97" s="58"/>
      <c r="H97" s="58"/>
      <c r="I97" s="58"/>
      <c r="J97" s="58"/>
      <c r="K97" s="410"/>
      <c r="L97" s="410"/>
      <c r="M97" s="410"/>
      <c r="N97" s="410"/>
      <c r="O97" s="528"/>
      <c r="P97" s="528"/>
      <c r="Q97" s="410"/>
      <c r="R97" s="436"/>
      <c r="S97" s="436"/>
      <c r="T97" s="436"/>
      <c r="U97" s="436"/>
      <c r="V97" s="436"/>
      <c r="W97" s="410"/>
      <c r="X97" s="398"/>
      <c r="Y97" s="398"/>
      <c r="Z97" s="398"/>
      <c r="AA97" s="396"/>
      <c r="AB97" s="396"/>
      <c r="AC97" s="233"/>
      <c r="AD97" s="233"/>
      <c r="AE97" s="233"/>
      <c r="AF97" s="58"/>
      <c r="AG97" s="58"/>
      <c r="AH97" s="58"/>
      <c r="AI97" s="58"/>
      <c r="AJ97" s="58"/>
      <c r="AK97" s="58"/>
      <c r="AL97" s="58"/>
      <c r="AM97" s="58"/>
      <c r="AN97" s="58"/>
      <c r="AO97" s="58"/>
      <c r="AP97" s="58"/>
      <c r="AQ97" s="58"/>
      <c r="AR97" s="58"/>
      <c r="AS97" s="58"/>
      <c r="AT97" s="58"/>
      <c r="AU97" s="58"/>
      <c r="AV97" s="58"/>
      <c r="AW97" s="58"/>
    </row>
    <row r="98" spans="1:66" ht="18.75" customHeight="1">
      <c r="B98" s="58"/>
      <c r="C98" s="172" t="s">
        <v>313</v>
      </c>
      <c r="D98" s="58"/>
      <c r="F98" s="58"/>
      <c r="G98" s="58"/>
      <c r="H98" s="58"/>
      <c r="I98" s="58"/>
      <c r="J98" s="58"/>
      <c r="K98" s="236"/>
      <c r="L98" s="236"/>
      <c r="M98" s="236"/>
      <c r="N98" s="236"/>
      <c r="O98" s="231"/>
      <c r="P98" s="231"/>
      <c r="Q98" s="231"/>
      <c r="R98" s="226"/>
      <c r="S98" s="226"/>
      <c r="T98" s="226"/>
      <c r="U98" s="226"/>
      <c r="V98" s="226"/>
      <c r="W98" s="231"/>
      <c r="X98" s="232"/>
      <c r="Y98" s="232"/>
      <c r="Z98" s="232"/>
      <c r="AA98" s="233"/>
      <c r="AB98" s="233"/>
      <c r="AC98" s="233"/>
      <c r="AD98" s="233"/>
      <c r="AE98" s="233"/>
      <c r="AF98" s="58"/>
      <c r="AG98" s="58"/>
      <c r="AH98" s="58"/>
      <c r="AI98" s="58"/>
      <c r="AJ98" s="58"/>
      <c r="AK98" s="58"/>
      <c r="AL98" s="58"/>
      <c r="AM98" s="58"/>
      <c r="AN98" s="58"/>
      <c r="AO98" s="58"/>
      <c r="AP98" s="58"/>
      <c r="AQ98" s="58"/>
      <c r="AR98" s="58"/>
      <c r="AS98" s="58"/>
      <c r="AT98" s="58"/>
      <c r="AU98" s="58"/>
      <c r="AV98" s="58"/>
      <c r="AW98" s="58"/>
    </row>
    <row r="99" spans="1:66" ht="18.75" customHeight="1">
      <c r="B99" s="58"/>
      <c r="C99" s="58"/>
      <c r="D99" s="58"/>
      <c r="E99" s="172"/>
      <c r="F99" s="58"/>
      <c r="G99" s="58"/>
      <c r="H99" s="58"/>
      <c r="I99" s="58"/>
      <c r="J99" s="58"/>
      <c r="K99" s="410" t="s">
        <v>415</v>
      </c>
      <c r="L99" s="410"/>
      <c r="M99" s="410"/>
      <c r="N99" s="410" t="s">
        <v>247</v>
      </c>
      <c r="O99" s="438" t="s">
        <v>314</v>
      </c>
      <c r="P99" s="438"/>
      <c r="Q99" s="410" t="s">
        <v>247</v>
      </c>
      <c r="R99" s="439">
        <f>Calcu!N3*1000</f>
        <v>0</v>
      </c>
      <c r="S99" s="439"/>
      <c r="T99" s="439"/>
      <c r="U99" s="530" t="str">
        <f>T95</f>
        <v>μm</v>
      </c>
      <c r="V99" s="530"/>
      <c r="W99" s="410" t="s">
        <v>247</v>
      </c>
      <c r="X99" s="398">
        <f>R99/(2*SQRT(3))</f>
        <v>0</v>
      </c>
      <c r="Y99" s="398"/>
      <c r="Z99" s="398"/>
      <c r="AA99" s="396" t="str">
        <f>T95</f>
        <v>μm</v>
      </c>
      <c r="AB99" s="396"/>
      <c r="AC99" s="233"/>
      <c r="AD99" s="233"/>
      <c r="AE99" s="233"/>
      <c r="AF99" s="58"/>
      <c r="AG99" s="58"/>
      <c r="AH99" s="58"/>
      <c r="AI99" s="58"/>
      <c r="AJ99" s="58"/>
      <c r="AK99" s="58"/>
      <c r="AL99" s="58"/>
      <c r="AM99" s="58"/>
      <c r="AN99" s="58"/>
      <c r="AO99" s="58"/>
      <c r="AP99" s="58"/>
      <c r="AQ99" s="58"/>
      <c r="AR99" s="58"/>
      <c r="AS99" s="58"/>
      <c r="AT99" s="58"/>
      <c r="AU99" s="58"/>
      <c r="AV99" s="58"/>
      <c r="AW99" s="58"/>
    </row>
    <row r="100" spans="1:66" ht="18.75" customHeight="1">
      <c r="B100" s="58"/>
      <c r="C100" s="58"/>
      <c r="D100" s="58"/>
      <c r="E100" s="172"/>
      <c r="F100" s="58"/>
      <c r="G100" s="58"/>
      <c r="H100" s="58"/>
      <c r="I100" s="58"/>
      <c r="J100" s="58"/>
      <c r="K100" s="410"/>
      <c r="L100" s="410"/>
      <c r="M100" s="410"/>
      <c r="N100" s="410"/>
      <c r="O100" s="528"/>
      <c r="P100" s="528"/>
      <c r="Q100" s="410"/>
      <c r="R100" s="436"/>
      <c r="S100" s="436"/>
      <c r="T100" s="436"/>
      <c r="U100" s="436"/>
      <c r="V100" s="436"/>
      <c r="W100" s="410"/>
      <c r="X100" s="398"/>
      <c r="Y100" s="398"/>
      <c r="Z100" s="398"/>
      <c r="AA100" s="396"/>
      <c r="AB100" s="396"/>
      <c r="AC100" s="233"/>
      <c r="AD100" s="233"/>
      <c r="AE100" s="233"/>
      <c r="AF100" s="58"/>
      <c r="AG100" s="58"/>
      <c r="AH100" s="58"/>
      <c r="AI100" s="58"/>
      <c r="AJ100" s="58"/>
      <c r="AK100" s="58"/>
      <c r="AL100" s="58"/>
      <c r="AM100" s="58"/>
      <c r="AN100" s="58"/>
      <c r="AO100" s="58"/>
      <c r="AP100" s="58"/>
      <c r="AQ100" s="58"/>
      <c r="AR100" s="58"/>
      <c r="AS100" s="58"/>
      <c r="AT100" s="58"/>
      <c r="AU100" s="58"/>
      <c r="AV100" s="58"/>
      <c r="AW100" s="58"/>
    </row>
    <row r="101" spans="1:66" ht="18.75" customHeight="1">
      <c r="B101" s="58"/>
      <c r="C101" s="58" t="s">
        <v>268</v>
      </c>
      <c r="D101" s="58"/>
      <c r="E101" s="58"/>
      <c r="F101" s="58"/>
      <c r="G101" s="58"/>
      <c r="H101" s="58"/>
      <c r="I101" s="401" t="str">
        <f>W47</f>
        <v>직사각형</v>
      </c>
      <c r="J101" s="401"/>
      <c r="K101" s="401"/>
      <c r="L101" s="401"/>
      <c r="M101" s="401"/>
      <c r="N101" s="401"/>
      <c r="O101" s="401"/>
      <c r="P101" s="401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58"/>
      <c r="AK101" s="58"/>
      <c r="AL101" s="58"/>
      <c r="AM101" s="58"/>
      <c r="AN101" s="58"/>
      <c r="AO101" s="58"/>
      <c r="AP101" s="58"/>
      <c r="AQ101" s="58"/>
      <c r="AR101" s="58"/>
      <c r="AS101" s="58"/>
      <c r="AT101" s="58"/>
      <c r="AU101" s="58"/>
    </row>
    <row r="102" spans="1:66" ht="18.75" customHeight="1">
      <c r="B102" s="58"/>
      <c r="C102" s="400" t="s">
        <v>96</v>
      </c>
      <c r="D102" s="400"/>
      <c r="E102" s="400"/>
      <c r="F102" s="400"/>
      <c r="G102" s="400"/>
      <c r="H102" s="400"/>
      <c r="I102" s="228"/>
      <c r="J102" s="228"/>
      <c r="K102" s="58"/>
      <c r="L102" s="58"/>
      <c r="M102" s="401">
        <f>AB47</f>
        <v>-1</v>
      </c>
      <c r="N102" s="401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58"/>
      <c r="AK102" s="58"/>
      <c r="AL102" s="58"/>
      <c r="AM102" s="58"/>
      <c r="AN102" s="58"/>
      <c r="AO102" s="58"/>
      <c r="AP102" s="58"/>
      <c r="AQ102" s="58"/>
      <c r="AR102" s="58"/>
      <c r="AS102" s="58"/>
      <c r="AT102" s="58"/>
      <c r="AU102" s="58"/>
    </row>
    <row r="103" spans="1:66" ht="18.75" customHeight="1">
      <c r="B103" s="58"/>
      <c r="C103" s="400"/>
      <c r="D103" s="400"/>
      <c r="E103" s="400"/>
      <c r="F103" s="400"/>
      <c r="G103" s="400"/>
      <c r="H103" s="400"/>
      <c r="I103" s="229"/>
      <c r="J103" s="229"/>
      <c r="K103" s="58"/>
      <c r="L103" s="58"/>
      <c r="M103" s="401"/>
      <c r="N103" s="401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  <c r="AM103" s="58"/>
      <c r="AN103" s="58"/>
      <c r="AO103" s="58"/>
      <c r="AP103" s="58"/>
      <c r="AQ103" s="58"/>
      <c r="AR103" s="58"/>
      <c r="AS103" s="58"/>
      <c r="AT103" s="58"/>
      <c r="AU103" s="58"/>
    </row>
    <row r="104" spans="1:66" ht="18.75" customHeight="1">
      <c r="B104" s="58"/>
      <c r="C104" s="58" t="s">
        <v>381</v>
      </c>
      <c r="D104" s="58"/>
      <c r="E104" s="58"/>
      <c r="F104" s="58"/>
      <c r="G104" s="58"/>
      <c r="H104" s="58"/>
      <c r="I104" s="58"/>
      <c r="J104" s="58"/>
      <c r="K104" s="235" t="s">
        <v>83</v>
      </c>
      <c r="L104" s="437">
        <f>M102</f>
        <v>-1</v>
      </c>
      <c r="M104" s="437"/>
      <c r="N104" s="228" t="s">
        <v>84</v>
      </c>
      <c r="O104" s="398">
        <f>AI47</f>
        <v>0</v>
      </c>
      <c r="P104" s="398"/>
      <c r="Q104" s="398"/>
      <c r="R104" s="396" t="str">
        <f>AA96</f>
        <v>μm</v>
      </c>
      <c r="S104" s="397"/>
      <c r="T104" s="235" t="s">
        <v>83</v>
      </c>
      <c r="U104" s="74" t="s">
        <v>247</v>
      </c>
      <c r="V104" s="398">
        <f>O104</f>
        <v>0</v>
      </c>
      <c r="W104" s="398"/>
      <c r="X104" s="398"/>
      <c r="Y104" s="396" t="str">
        <f>R104</f>
        <v>μm</v>
      </c>
      <c r="Z104" s="397"/>
      <c r="AA104" s="234"/>
      <c r="AB104" s="58"/>
      <c r="AC104" s="58"/>
      <c r="AD104" s="58"/>
      <c r="AE104" s="58"/>
      <c r="AF104" s="58"/>
      <c r="AP104" s="58"/>
      <c r="AQ104" s="58"/>
      <c r="AR104" s="58"/>
      <c r="AS104" s="58"/>
      <c r="AT104" s="58"/>
      <c r="AU104" s="58"/>
      <c r="AV104" s="58"/>
    </row>
    <row r="105" spans="1:66" ht="18.75" customHeight="1">
      <c r="B105" s="58"/>
      <c r="C105" s="58" t="s">
        <v>97</v>
      </c>
      <c r="D105" s="58"/>
      <c r="E105" s="58"/>
      <c r="F105" s="58"/>
      <c r="G105" s="58"/>
      <c r="H105" s="58"/>
      <c r="I105" s="115" t="s">
        <v>249</v>
      </c>
      <c r="J105" s="115"/>
      <c r="K105" s="115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  <c r="AA105" s="58"/>
      <c r="AB105" s="58"/>
      <c r="AC105" s="58"/>
      <c r="AD105" s="58"/>
      <c r="AE105" s="58"/>
      <c r="AF105" s="58"/>
    </row>
    <row r="106" spans="1:66" ht="18.75" customHeight="1">
      <c r="B106" s="58"/>
      <c r="C106" s="58"/>
      <c r="D106" s="58"/>
      <c r="E106" s="58"/>
      <c r="F106" s="58"/>
      <c r="G106" s="58"/>
      <c r="H106" s="58"/>
      <c r="I106" s="115"/>
      <c r="J106" s="101"/>
      <c r="K106" s="115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  <c r="AA106" s="58"/>
      <c r="AB106" s="58"/>
      <c r="AC106" s="58"/>
      <c r="AD106" s="58"/>
      <c r="AE106" s="58"/>
      <c r="AF106" s="58"/>
    </row>
    <row r="107" spans="1:66" s="147" customFormat="1" ht="18.75" customHeight="1">
      <c r="A107" s="226"/>
      <c r="B107" s="59" t="s">
        <v>407</v>
      </c>
      <c r="C107" s="228"/>
      <c r="D107" s="228"/>
      <c r="E107" s="228"/>
      <c r="F107" s="228"/>
      <c r="G107" s="228"/>
      <c r="H107" s="228"/>
      <c r="I107" s="228"/>
      <c r="J107" s="228"/>
      <c r="K107" s="228"/>
      <c r="L107" s="228"/>
      <c r="M107" s="228"/>
      <c r="N107" s="228"/>
      <c r="O107" s="228"/>
      <c r="P107" s="228"/>
      <c r="Q107" s="228"/>
      <c r="R107" s="228"/>
      <c r="S107" s="228"/>
      <c r="T107" s="228"/>
      <c r="U107" s="228"/>
      <c r="V107" s="228"/>
      <c r="W107" s="228"/>
      <c r="X107" s="228"/>
      <c r="Y107" s="228"/>
      <c r="Z107" s="228"/>
      <c r="AA107" s="228"/>
      <c r="AB107" s="228"/>
      <c r="AC107" s="228"/>
      <c r="AD107" s="228"/>
      <c r="AE107" s="228"/>
      <c r="AF107" s="228"/>
      <c r="AG107" s="228"/>
      <c r="AH107" s="228"/>
      <c r="AI107" s="228"/>
      <c r="AJ107" s="228"/>
      <c r="AK107" s="228"/>
      <c r="AL107" s="226"/>
      <c r="AM107" s="226"/>
      <c r="AN107" s="226"/>
      <c r="AO107" s="226"/>
      <c r="AP107" s="226"/>
      <c r="AQ107" s="226"/>
      <c r="AR107" s="226"/>
      <c r="AS107" s="226"/>
      <c r="AT107" s="226"/>
      <c r="AU107" s="226"/>
      <c r="AV107" s="226"/>
      <c r="AW107" s="226"/>
      <c r="AX107" s="226"/>
      <c r="AY107" s="228"/>
      <c r="AZ107" s="228"/>
      <c r="BA107" s="228"/>
      <c r="BB107" s="228"/>
      <c r="BC107" s="228"/>
      <c r="BD107" s="228"/>
      <c r="BE107" s="228"/>
      <c r="BF107" s="228"/>
      <c r="BG107" s="60"/>
      <c r="BH107" s="60"/>
      <c r="BI107" s="60"/>
      <c r="BJ107" s="60"/>
      <c r="BK107" s="60"/>
      <c r="BL107" s="60"/>
      <c r="BM107" s="60"/>
    </row>
    <row r="108" spans="1:66" s="147" customFormat="1" ht="18.75" customHeight="1">
      <c r="A108" s="260"/>
      <c r="B108" s="59"/>
      <c r="C108" s="261" t="s">
        <v>382</v>
      </c>
      <c r="D108" s="261"/>
      <c r="E108" s="261"/>
      <c r="F108" s="261"/>
      <c r="G108" s="261"/>
      <c r="H108" s="261"/>
      <c r="I108" s="261"/>
      <c r="J108" s="261"/>
      <c r="K108" s="261"/>
      <c r="L108" s="261"/>
      <c r="M108" s="261"/>
      <c r="N108" s="261"/>
      <c r="O108" s="261"/>
      <c r="P108" s="261"/>
      <c r="Q108" s="261"/>
      <c r="R108" s="261"/>
      <c r="S108" s="261"/>
      <c r="T108" s="261"/>
      <c r="U108" s="261"/>
      <c r="W108" s="148"/>
      <c r="X108" s="261"/>
      <c r="Y108" s="61"/>
      <c r="Z108" s="260"/>
      <c r="AA108" s="261"/>
      <c r="AB108" s="260"/>
      <c r="AC108" s="260"/>
      <c r="AD108" s="261"/>
      <c r="AE108" s="260"/>
      <c r="AF108" s="260"/>
      <c r="AG108" s="261"/>
      <c r="AH108" s="261"/>
      <c r="AI108" s="261"/>
      <c r="AJ108" s="261"/>
      <c r="AK108" s="261"/>
      <c r="AL108" s="260"/>
      <c r="AM108" s="260"/>
      <c r="AN108" s="260"/>
      <c r="AO108" s="260"/>
      <c r="AP108" s="260"/>
      <c r="AQ108" s="260"/>
      <c r="AR108" s="260"/>
      <c r="AS108" s="260"/>
      <c r="AT108" s="260"/>
      <c r="AU108" s="260"/>
      <c r="AV108" s="260"/>
      <c r="AW108" s="260"/>
      <c r="AX108" s="260"/>
      <c r="AY108" s="261"/>
      <c r="AZ108" s="261"/>
      <c r="BA108" s="261"/>
      <c r="BB108" s="261"/>
      <c r="BC108" s="261"/>
      <c r="BD108" s="261"/>
      <c r="BE108" s="261"/>
      <c r="BF108" s="261"/>
      <c r="BG108" s="60"/>
      <c r="BH108" s="60"/>
      <c r="BI108" s="60"/>
      <c r="BJ108" s="60"/>
      <c r="BK108" s="60"/>
      <c r="BL108" s="60"/>
      <c r="BM108" s="60"/>
    </row>
    <row r="109" spans="1:66" s="147" customFormat="1" ht="18.75" customHeight="1">
      <c r="B109" s="226"/>
      <c r="C109" s="229" t="s">
        <v>270</v>
      </c>
      <c r="D109" s="226"/>
      <c r="E109" s="226"/>
      <c r="F109" s="226"/>
      <c r="G109" s="226"/>
      <c r="H109" s="399" t="e">
        <f ca="1">I48*10^6</f>
        <v>#N/A</v>
      </c>
      <c r="I109" s="399"/>
      <c r="J109" s="399"/>
      <c r="K109" s="234" t="s">
        <v>254</v>
      </c>
      <c r="L109" s="226"/>
      <c r="M109" s="226"/>
      <c r="N109" s="234"/>
      <c r="O109" s="234"/>
      <c r="P109" s="234"/>
      <c r="Q109" s="228"/>
      <c r="R109" s="228"/>
      <c r="S109" s="228"/>
      <c r="T109" s="228"/>
      <c r="U109" s="228"/>
      <c r="V109" s="228"/>
      <c r="W109" s="228"/>
      <c r="X109" s="228"/>
      <c r="Y109" s="228"/>
      <c r="Z109" s="228"/>
      <c r="AA109" s="228"/>
      <c r="AB109" s="228"/>
      <c r="AC109" s="228"/>
      <c r="AD109" s="228"/>
      <c r="AE109" s="228"/>
      <c r="AF109" s="61"/>
      <c r="AG109" s="228"/>
      <c r="AH109" s="228"/>
      <c r="AI109" s="228"/>
      <c r="AJ109" s="228"/>
      <c r="AK109" s="228"/>
      <c r="AL109" s="228"/>
      <c r="AM109" s="226"/>
      <c r="AN109" s="226"/>
      <c r="AO109" s="226"/>
      <c r="AP109" s="226"/>
      <c r="AQ109" s="226"/>
      <c r="AR109" s="226"/>
      <c r="AS109" s="226"/>
      <c r="AT109" s="226"/>
      <c r="AU109" s="226"/>
      <c r="AV109" s="226"/>
      <c r="AW109" s="226"/>
      <c r="AX109" s="226"/>
      <c r="AY109" s="226"/>
      <c r="AZ109" s="228"/>
      <c r="BA109" s="228"/>
      <c r="BB109" s="228"/>
      <c r="BC109" s="228"/>
      <c r="BD109" s="228"/>
      <c r="BE109" s="228"/>
      <c r="BF109" s="228"/>
      <c r="BG109" s="228"/>
      <c r="BH109" s="60"/>
      <c r="BI109" s="60"/>
      <c r="BJ109" s="60"/>
      <c r="BK109" s="60"/>
      <c r="BL109" s="60"/>
      <c r="BM109" s="60"/>
    </row>
    <row r="110" spans="1:66" s="147" customFormat="1" ht="18.75" customHeight="1">
      <c r="B110" s="226"/>
      <c r="C110" s="400" t="s">
        <v>271</v>
      </c>
      <c r="D110" s="400"/>
      <c r="E110" s="400"/>
      <c r="F110" s="400"/>
      <c r="G110" s="400"/>
      <c r="H110" s="400"/>
      <c r="I110" s="400"/>
      <c r="J110" s="401" t="s">
        <v>256</v>
      </c>
      <c r="K110" s="401"/>
      <c r="L110" s="401"/>
      <c r="M110" s="401"/>
      <c r="N110" s="401"/>
      <c r="O110" s="401"/>
      <c r="P110" s="401"/>
      <c r="Q110" s="401"/>
      <c r="R110" s="401"/>
      <c r="S110" s="401"/>
      <c r="T110" s="401"/>
      <c r="U110" s="401"/>
      <c r="V110" s="401"/>
      <c r="W110" s="401"/>
      <c r="X110" s="228"/>
      <c r="Y110" s="228"/>
      <c r="Z110" s="228"/>
      <c r="AA110" s="228"/>
      <c r="AB110" s="228"/>
      <c r="AC110" s="228"/>
      <c r="AD110" s="228"/>
      <c r="AE110" s="228"/>
      <c r="AF110" s="228"/>
      <c r="AG110" s="228"/>
      <c r="AH110" s="228"/>
      <c r="AI110" s="228"/>
      <c r="AJ110" s="228"/>
      <c r="AK110" s="226"/>
      <c r="AL110" s="226"/>
      <c r="AM110" s="226"/>
      <c r="AN110" s="228"/>
      <c r="AO110" s="228"/>
      <c r="AP110" s="228"/>
      <c r="AQ110" s="228"/>
      <c r="AR110" s="228"/>
      <c r="AS110" s="228"/>
      <c r="AT110" s="228"/>
      <c r="AU110" s="228"/>
      <c r="AV110" s="228"/>
      <c r="AW110" s="228"/>
      <c r="AX110" s="228"/>
      <c r="AY110" s="228"/>
      <c r="AZ110" s="228"/>
      <c r="BA110" s="228"/>
      <c r="BB110" s="228"/>
      <c r="BC110" s="228"/>
      <c r="BD110" s="228"/>
      <c r="BE110" s="228"/>
      <c r="BF110" s="228"/>
      <c r="BG110" s="228"/>
      <c r="BH110" s="60"/>
      <c r="BI110" s="60"/>
      <c r="BJ110" s="60"/>
      <c r="BK110" s="60"/>
      <c r="BL110" s="60"/>
      <c r="BM110" s="60"/>
      <c r="BN110" s="60"/>
    </row>
    <row r="111" spans="1:66" s="147" customFormat="1" ht="18.75" customHeight="1">
      <c r="B111" s="226"/>
      <c r="C111" s="400"/>
      <c r="D111" s="400"/>
      <c r="E111" s="400"/>
      <c r="F111" s="400"/>
      <c r="G111" s="400"/>
      <c r="H111" s="400"/>
      <c r="I111" s="400"/>
      <c r="J111" s="401"/>
      <c r="K111" s="401"/>
      <c r="L111" s="401"/>
      <c r="M111" s="401"/>
      <c r="N111" s="401"/>
      <c r="O111" s="401"/>
      <c r="P111" s="401"/>
      <c r="Q111" s="401"/>
      <c r="R111" s="401"/>
      <c r="S111" s="401"/>
      <c r="T111" s="401"/>
      <c r="U111" s="401"/>
      <c r="V111" s="401"/>
      <c r="W111" s="401"/>
      <c r="X111" s="228"/>
      <c r="Y111" s="228"/>
      <c r="Z111" s="228"/>
      <c r="AA111" s="228"/>
      <c r="AB111" s="228"/>
      <c r="AC111" s="228"/>
      <c r="AD111" s="228"/>
      <c r="AE111" s="228"/>
      <c r="AF111" s="226"/>
      <c r="AG111" s="228"/>
      <c r="AH111" s="228"/>
      <c r="AI111" s="228"/>
      <c r="AJ111" s="228"/>
      <c r="AK111" s="226"/>
      <c r="AL111" s="226"/>
      <c r="AM111" s="226"/>
      <c r="AN111" s="228"/>
      <c r="AO111" s="228"/>
      <c r="AP111" s="228"/>
      <c r="AQ111" s="228"/>
      <c r="AR111" s="228"/>
      <c r="AS111" s="226"/>
      <c r="AT111" s="228"/>
      <c r="AU111" s="228"/>
      <c r="AV111" s="228"/>
      <c r="AW111" s="228"/>
      <c r="AX111" s="228"/>
      <c r="AY111" s="228"/>
      <c r="AZ111" s="228"/>
      <c r="BA111" s="228"/>
      <c r="BB111" s="228"/>
      <c r="BC111" s="228"/>
      <c r="BD111" s="228"/>
      <c r="BE111" s="228"/>
      <c r="BF111" s="228"/>
      <c r="BG111" s="228"/>
      <c r="BH111" s="60"/>
      <c r="BI111" s="60"/>
      <c r="BJ111" s="60"/>
      <c r="BK111" s="60"/>
      <c r="BL111" s="60"/>
      <c r="BM111" s="60"/>
      <c r="BN111" s="60"/>
    </row>
    <row r="112" spans="1:66" s="147" customFormat="1" ht="18.75" customHeight="1">
      <c r="B112" s="226"/>
      <c r="C112" s="228"/>
      <c r="D112" s="228"/>
      <c r="E112" s="228"/>
      <c r="F112" s="228"/>
      <c r="G112" s="228"/>
      <c r="H112" s="228"/>
      <c r="I112" s="226"/>
      <c r="J112" s="401" t="s">
        <v>257</v>
      </c>
      <c r="K112" s="401"/>
      <c r="L112" s="401"/>
      <c r="M112" s="401"/>
      <c r="N112" s="401"/>
      <c r="O112" s="401"/>
      <c r="P112" s="401"/>
      <c r="Q112" s="401"/>
      <c r="R112" s="401"/>
      <c r="S112" s="401"/>
      <c r="T112" s="401"/>
      <c r="U112" s="401"/>
      <c r="V112" s="401"/>
      <c r="W112" s="401"/>
      <c r="X112" s="401"/>
      <c r="Y112" s="401"/>
      <c r="Z112" s="401"/>
      <c r="AA112" s="402" t="s">
        <v>258</v>
      </c>
      <c r="AB112" s="402"/>
      <c r="AC112" s="402"/>
      <c r="AD112" s="402"/>
      <c r="AE112" s="402"/>
      <c r="AF112" s="405" t="s">
        <v>247</v>
      </c>
      <c r="AG112" s="401" t="s">
        <v>259</v>
      </c>
      <c r="AH112" s="401"/>
      <c r="AI112" s="401"/>
      <c r="AJ112" s="401"/>
      <c r="AK112" s="401"/>
      <c r="AL112" s="401"/>
      <c r="AM112" s="226"/>
      <c r="AN112" s="228"/>
      <c r="AO112" s="228"/>
      <c r="AP112" s="228"/>
      <c r="AQ112" s="228"/>
      <c r="AR112" s="228"/>
      <c r="AS112" s="226"/>
      <c r="AT112" s="228"/>
      <c r="AU112" s="228"/>
      <c r="AV112" s="228"/>
      <c r="AW112" s="228"/>
      <c r="AX112" s="228"/>
      <c r="AY112" s="228"/>
      <c r="AZ112" s="228"/>
      <c r="BA112" s="228"/>
      <c r="BB112" s="228"/>
      <c r="BC112" s="228"/>
      <c r="BD112" s="228"/>
      <c r="BE112" s="228"/>
      <c r="BF112" s="228"/>
      <c r="BG112" s="228"/>
      <c r="BH112" s="60"/>
      <c r="BI112" s="60"/>
      <c r="BJ112" s="60"/>
      <c r="BK112" s="60"/>
      <c r="BL112" s="60"/>
      <c r="BM112" s="60"/>
      <c r="BN112" s="60"/>
    </row>
    <row r="113" spans="2:83" s="147" customFormat="1" ht="18.75" customHeight="1">
      <c r="B113" s="226"/>
      <c r="C113" s="228"/>
      <c r="D113" s="228"/>
      <c r="E113" s="228"/>
      <c r="F113" s="228"/>
      <c r="G113" s="228"/>
      <c r="H113" s="228"/>
      <c r="I113" s="226"/>
      <c r="J113" s="401"/>
      <c r="K113" s="401"/>
      <c r="L113" s="401"/>
      <c r="M113" s="401"/>
      <c r="N113" s="401"/>
      <c r="O113" s="401"/>
      <c r="P113" s="401"/>
      <c r="Q113" s="401"/>
      <c r="R113" s="401"/>
      <c r="S113" s="401"/>
      <c r="T113" s="401"/>
      <c r="U113" s="401"/>
      <c r="V113" s="401"/>
      <c r="W113" s="401"/>
      <c r="X113" s="401"/>
      <c r="Y113" s="401"/>
      <c r="Z113" s="401"/>
      <c r="AA113" s="228"/>
      <c r="AB113" s="226"/>
      <c r="AC113" s="226"/>
      <c r="AD113" s="226"/>
      <c r="AE113" s="226"/>
      <c r="AF113" s="405"/>
      <c r="AG113" s="401"/>
      <c r="AH113" s="401"/>
      <c r="AI113" s="401"/>
      <c r="AJ113" s="401"/>
      <c r="AK113" s="401"/>
      <c r="AL113" s="401"/>
      <c r="AM113" s="226"/>
      <c r="AN113" s="228"/>
      <c r="AO113" s="228"/>
      <c r="AP113" s="228"/>
      <c r="AQ113" s="228"/>
      <c r="AR113" s="228"/>
      <c r="AS113" s="228"/>
      <c r="AT113" s="228"/>
      <c r="AU113" s="228"/>
      <c r="AV113" s="228"/>
      <c r="AW113" s="228"/>
      <c r="AX113" s="228"/>
      <c r="AY113" s="228"/>
      <c r="AZ113" s="228"/>
      <c r="BA113" s="228"/>
      <c r="BB113" s="228"/>
      <c r="BC113" s="228"/>
      <c r="BD113" s="228"/>
      <c r="BE113" s="228"/>
      <c r="BF113" s="228"/>
      <c r="BG113" s="228"/>
      <c r="BH113" s="60"/>
      <c r="BI113" s="60"/>
      <c r="BJ113" s="60"/>
      <c r="BK113" s="60"/>
      <c r="BL113" s="60"/>
      <c r="BM113" s="60"/>
      <c r="BN113" s="60"/>
    </row>
    <row r="114" spans="2:83" s="147" customFormat="1" ht="18.75" customHeight="1">
      <c r="B114" s="226"/>
      <c r="C114" s="228"/>
      <c r="D114" s="228"/>
      <c r="E114" s="228"/>
      <c r="F114" s="228"/>
      <c r="G114" s="228"/>
      <c r="H114" s="261"/>
      <c r="I114" s="228"/>
      <c r="J114" s="226"/>
      <c r="K114" s="229" t="s">
        <v>260</v>
      </c>
      <c r="L114" s="229"/>
      <c r="M114" s="229"/>
      <c r="N114" s="229"/>
      <c r="O114" s="229"/>
      <c r="P114" s="229"/>
      <c r="Q114" s="229"/>
      <c r="R114" s="229"/>
      <c r="S114" s="228"/>
      <c r="T114" s="228"/>
      <c r="U114" s="228"/>
      <c r="V114" s="228"/>
      <c r="W114" s="228"/>
      <c r="X114" s="228"/>
      <c r="Y114" s="228"/>
      <c r="Z114" s="228"/>
      <c r="AA114" s="228"/>
      <c r="AB114" s="228"/>
      <c r="AC114" s="228"/>
      <c r="AD114" s="228"/>
      <c r="AE114" s="228"/>
      <c r="AF114" s="228"/>
      <c r="AG114" s="226"/>
      <c r="AH114" s="228"/>
      <c r="AI114" s="228"/>
      <c r="AJ114" s="228"/>
      <c r="AK114" s="226"/>
      <c r="AL114" s="226"/>
      <c r="AM114" s="226"/>
      <c r="AN114" s="226"/>
      <c r="AO114" s="228"/>
      <c r="AP114" s="228"/>
      <c r="AQ114" s="228"/>
      <c r="AR114" s="228"/>
      <c r="AS114" s="228"/>
      <c r="AT114" s="228"/>
      <c r="AU114" s="228"/>
      <c r="AV114" s="228"/>
      <c r="AW114" s="228"/>
      <c r="AX114" s="228"/>
      <c r="AY114" s="228"/>
      <c r="AZ114" s="228"/>
      <c r="BA114" s="228"/>
      <c r="BB114" s="228"/>
      <c r="BC114" s="228"/>
      <c r="BD114" s="228"/>
      <c r="BE114" s="228"/>
      <c r="BF114" s="228"/>
      <c r="BG114" s="228"/>
      <c r="BH114" s="226"/>
      <c r="BN114" s="60"/>
      <c r="BO114" s="60"/>
      <c r="BP114" s="60"/>
      <c r="BQ114" s="60"/>
      <c r="BR114" s="60"/>
      <c r="BS114" s="60"/>
      <c r="BX114" s="60"/>
      <c r="CE114" s="60"/>
    </row>
    <row r="115" spans="2:83" s="147" customFormat="1" ht="18.75" customHeight="1">
      <c r="B115" s="226"/>
      <c r="C115" s="228"/>
      <c r="D115" s="228"/>
      <c r="E115" s="228"/>
      <c r="F115" s="228"/>
      <c r="G115" s="228"/>
      <c r="H115" s="261"/>
      <c r="I115" s="228"/>
      <c r="J115" s="115"/>
      <c r="K115" s="115"/>
      <c r="L115" s="115"/>
      <c r="M115" s="226"/>
      <c r="N115" s="115"/>
      <c r="O115" s="115"/>
      <c r="P115" s="115"/>
      <c r="Q115" s="115"/>
      <c r="R115" s="115"/>
      <c r="S115" s="115"/>
      <c r="T115" s="115"/>
      <c r="U115" s="115"/>
      <c r="V115" s="226"/>
      <c r="W115" s="149"/>
      <c r="X115" s="149"/>
      <c r="Y115" s="149"/>
      <c r="Z115" s="226"/>
      <c r="AA115" s="401" t="s">
        <v>261</v>
      </c>
      <c r="AB115" s="401"/>
      <c r="AC115" s="401"/>
      <c r="AD115" s="401"/>
      <c r="AE115" s="401"/>
      <c r="AF115" s="226"/>
      <c r="AG115" s="226"/>
      <c r="AH115" s="226"/>
      <c r="AI115" s="149"/>
      <c r="AJ115" s="149"/>
      <c r="AK115" s="226"/>
      <c r="AL115" s="150"/>
      <c r="AM115" s="150"/>
      <c r="AN115" s="226"/>
      <c r="AO115" s="226"/>
      <c r="AP115" s="226"/>
      <c r="AQ115" s="226"/>
      <c r="AR115" s="226"/>
      <c r="AS115" s="228"/>
      <c r="AT115" s="228"/>
      <c r="AU115" s="226"/>
      <c r="AV115" s="226"/>
      <c r="AW115" s="226"/>
      <c r="AX115" s="226"/>
      <c r="AY115" s="226"/>
      <c r="AZ115" s="228"/>
      <c r="BA115" s="228"/>
      <c r="BB115" s="228"/>
      <c r="BC115" s="228"/>
      <c r="BD115" s="228"/>
      <c r="BE115" s="228"/>
      <c r="BF115" s="228"/>
      <c r="BG115" s="228"/>
      <c r="BH115" s="226"/>
      <c r="BN115" s="60"/>
      <c r="BO115" s="60"/>
      <c r="BP115" s="60"/>
      <c r="BQ115" s="60"/>
      <c r="BR115" s="60"/>
      <c r="BS115" s="60"/>
      <c r="BT115" s="60"/>
      <c r="BU115" s="60"/>
      <c r="BV115" s="60"/>
      <c r="BW115" s="60"/>
      <c r="BX115" s="60"/>
      <c r="CE115" s="60"/>
    </row>
    <row r="116" spans="2:83" s="147" customFormat="1" ht="18.75" customHeight="1">
      <c r="B116" s="226"/>
      <c r="C116" s="228"/>
      <c r="D116" s="228"/>
      <c r="E116" s="228"/>
      <c r="F116" s="228"/>
      <c r="G116" s="228"/>
      <c r="H116" s="261"/>
      <c r="I116" s="228"/>
      <c r="J116" s="115"/>
      <c r="K116" s="115"/>
      <c r="L116" s="115"/>
      <c r="M116" s="226"/>
      <c r="N116" s="115"/>
      <c r="O116" s="115"/>
      <c r="P116" s="115"/>
      <c r="Q116" s="115"/>
      <c r="R116" s="115"/>
      <c r="S116" s="115"/>
      <c r="T116" s="115"/>
      <c r="U116" s="115"/>
      <c r="V116" s="226"/>
      <c r="W116" s="149"/>
      <c r="X116" s="149"/>
      <c r="Y116" s="149"/>
      <c r="Z116" s="226"/>
      <c r="AA116" s="401"/>
      <c r="AB116" s="401"/>
      <c r="AC116" s="401"/>
      <c r="AD116" s="401"/>
      <c r="AE116" s="401"/>
      <c r="AF116" s="226"/>
      <c r="AG116" s="226"/>
      <c r="AH116" s="226"/>
      <c r="AI116" s="149"/>
      <c r="AJ116" s="149"/>
      <c r="AK116" s="226"/>
      <c r="AL116" s="150"/>
      <c r="AM116" s="150"/>
      <c r="AN116" s="226"/>
      <c r="AO116" s="226"/>
      <c r="AP116" s="226"/>
      <c r="AQ116" s="226"/>
      <c r="AR116" s="226"/>
      <c r="AS116" s="228"/>
      <c r="AT116" s="228"/>
      <c r="AU116" s="226"/>
      <c r="AV116" s="226"/>
      <c r="AW116" s="226"/>
      <c r="AX116" s="226"/>
      <c r="AY116" s="226"/>
      <c r="AZ116" s="228"/>
      <c r="BA116" s="228"/>
      <c r="BB116" s="228"/>
      <c r="BC116" s="228"/>
      <c r="BD116" s="228"/>
      <c r="BE116" s="228"/>
      <c r="BF116" s="228"/>
      <c r="BG116" s="228"/>
      <c r="BH116" s="228"/>
      <c r="BI116" s="60"/>
      <c r="BJ116" s="60"/>
      <c r="BK116" s="60"/>
      <c r="BL116" s="60"/>
      <c r="BM116" s="60"/>
    </row>
    <row r="117" spans="2:83" s="147" customFormat="1" ht="18.75" customHeight="1">
      <c r="B117" s="226"/>
      <c r="C117" s="228" t="s">
        <v>272</v>
      </c>
      <c r="D117" s="228"/>
      <c r="E117" s="228"/>
      <c r="F117" s="228"/>
      <c r="G117" s="228"/>
      <c r="H117" s="228"/>
      <c r="I117" s="401" t="str">
        <f>W48</f>
        <v>삼각형</v>
      </c>
      <c r="J117" s="401"/>
      <c r="K117" s="401"/>
      <c r="L117" s="401"/>
      <c r="M117" s="401"/>
      <c r="N117" s="401"/>
      <c r="O117" s="401"/>
      <c r="P117" s="401"/>
      <c r="Q117" s="228"/>
      <c r="R117" s="228"/>
      <c r="S117" s="228"/>
      <c r="T117" s="228"/>
      <c r="U117" s="228"/>
      <c r="V117" s="228"/>
      <c r="W117" s="228"/>
      <c r="X117" s="228"/>
      <c r="Y117" s="228"/>
      <c r="Z117" s="226"/>
      <c r="AA117" s="226"/>
      <c r="AB117" s="226"/>
      <c r="AC117" s="226"/>
      <c r="AD117" s="226"/>
      <c r="AE117" s="226"/>
      <c r="AF117" s="226"/>
      <c r="AG117" s="226"/>
      <c r="AH117" s="228"/>
      <c r="AI117" s="228"/>
      <c r="AJ117" s="228"/>
      <c r="AK117" s="228"/>
      <c r="AL117" s="228"/>
      <c r="AM117" s="228"/>
      <c r="AN117" s="228"/>
      <c r="AO117" s="228"/>
      <c r="AP117" s="228"/>
      <c r="AQ117" s="228"/>
      <c r="AR117" s="228"/>
      <c r="AS117" s="228"/>
      <c r="AT117" s="228"/>
      <c r="AU117" s="228"/>
      <c r="AV117" s="228"/>
      <c r="AW117" s="228"/>
      <c r="AX117" s="228"/>
      <c r="AY117" s="228"/>
      <c r="AZ117" s="228"/>
      <c r="BA117" s="228"/>
      <c r="BB117" s="228"/>
      <c r="BC117" s="228"/>
      <c r="BD117" s="228"/>
      <c r="BE117" s="228"/>
      <c r="BF117" s="228"/>
      <c r="BG117" s="228"/>
      <c r="BH117" s="60"/>
      <c r="BI117" s="60"/>
      <c r="BJ117" s="60"/>
      <c r="BK117" s="60"/>
      <c r="BL117" s="60"/>
      <c r="BM117" s="60"/>
      <c r="BN117" s="60"/>
    </row>
    <row r="118" spans="2:83" s="147" customFormat="1" ht="18.75" customHeight="1">
      <c r="B118" s="226"/>
      <c r="C118" s="400" t="s">
        <v>273</v>
      </c>
      <c r="D118" s="400"/>
      <c r="E118" s="400"/>
      <c r="F118" s="400"/>
      <c r="G118" s="400"/>
      <c r="H118" s="400"/>
      <c r="I118" s="228"/>
      <c r="J118" s="228"/>
      <c r="K118" s="228"/>
      <c r="L118" s="228"/>
      <c r="M118" s="228"/>
      <c r="N118" s="228"/>
      <c r="O118" s="228"/>
      <c r="P118" s="403" t="e">
        <f>-Calcu!M27</f>
        <v>#VALUE!</v>
      </c>
      <c r="Q118" s="403"/>
      <c r="R118" s="400" t="s">
        <v>262</v>
      </c>
      <c r="S118" s="400"/>
      <c r="T118" s="531">
        <f>Calcu!N27</f>
        <v>0</v>
      </c>
      <c r="U118" s="531"/>
      <c r="V118" s="531"/>
      <c r="W118" s="400" t="s">
        <v>136</v>
      </c>
      <c r="X118" s="400"/>
      <c r="Y118" s="405" t="s">
        <v>247</v>
      </c>
      <c r="Z118" s="397" t="e">
        <f>P118*T118</f>
        <v>#VALUE!</v>
      </c>
      <c r="AA118" s="397"/>
      <c r="AB118" s="397"/>
      <c r="AC118" s="397"/>
      <c r="AD118" s="400" t="s">
        <v>139</v>
      </c>
      <c r="AE118" s="400"/>
      <c r="AF118" s="400"/>
      <c r="AG118" s="400"/>
      <c r="AH118" s="400"/>
      <c r="AI118" s="400"/>
      <c r="AJ118" s="400"/>
      <c r="AK118" s="228"/>
      <c r="AL118" s="228"/>
      <c r="AM118" s="228"/>
      <c r="AN118" s="228"/>
      <c r="AO118" s="228"/>
      <c r="AP118" s="228"/>
      <c r="AQ118" s="228"/>
      <c r="AR118" s="226"/>
      <c r="AS118" s="226"/>
      <c r="AT118" s="226"/>
      <c r="AU118" s="226"/>
      <c r="AV118" s="226"/>
      <c r="AW118" s="226"/>
      <c r="AX118" s="226"/>
      <c r="AY118" s="226"/>
      <c r="AZ118" s="226"/>
      <c r="BA118" s="226"/>
      <c r="BB118" s="226"/>
      <c r="BC118" s="226"/>
      <c r="BD118" s="226"/>
      <c r="BE118" s="226"/>
      <c r="BF118" s="226"/>
      <c r="BG118" s="226"/>
      <c r="BH118" s="60"/>
      <c r="BI118" s="60"/>
      <c r="BJ118" s="60"/>
      <c r="BK118" s="60"/>
      <c r="BL118" s="60"/>
      <c r="BM118" s="60"/>
    </row>
    <row r="119" spans="2:83" s="147" customFormat="1" ht="18.75" customHeight="1">
      <c r="B119" s="226"/>
      <c r="C119" s="400"/>
      <c r="D119" s="400"/>
      <c r="E119" s="400"/>
      <c r="F119" s="400"/>
      <c r="G119" s="400"/>
      <c r="H119" s="400"/>
      <c r="I119" s="228"/>
      <c r="J119" s="228"/>
      <c r="K119" s="228"/>
      <c r="L119" s="228"/>
      <c r="M119" s="228"/>
      <c r="N119" s="228"/>
      <c r="O119" s="228"/>
      <c r="P119" s="403"/>
      <c r="Q119" s="403"/>
      <c r="R119" s="400"/>
      <c r="S119" s="400"/>
      <c r="T119" s="531"/>
      <c r="U119" s="531"/>
      <c r="V119" s="531"/>
      <c r="W119" s="400"/>
      <c r="X119" s="400"/>
      <c r="Y119" s="405"/>
      <c r="Z119" s="397"/>
      <c r="AA119" s="397"/>
      <c r="AB119" s="397"/>
      <c r="AC119" s="397"/>
      <c r="AD119" s="400"/>
      <c r="AE119" s="400"/>
      <c r="AF119" s="400"/>
      <c r="AG119" s="400"/>
      <c r="AH119" s="400"/>
      <c r="AI119" s="400"/>
      <c r="AJ119" s="400"/>
      <c r="AK119" s="228"/>
      <c r="AL119" s="228"/>
      <c r="AM119" s="228"/>
      <c r="AN119" s="228"/>
      <c r="AO119" s="228"/>
      <c r="AP119" s="228"/>
      <c r="AQ119" s="228"/>
      <c r="AR119" s="226"/>
      <c r="AS119" s="226"/>
      <c r="AT119" s="226"/>
      <c r="AU119" s="226"/>
      <c r="AV119" s="226"/>
      <c r="AW119" s="226"/>
      <c r="AX119" s="226"/>
      <c r="AY119" s="226"/>
      <c r="AZ119" s="226"/>
      <c r="BA119" s="226"/>
      <c r="BB119" s="226"/>
      <c r="BC119" s="226"/>
      <c r="BD119" s="226"/>
      <c r="BE119" s="226"/>
      <c r="BF119" s="226"/>
      <c r="BG119" s="226"/>
      <c r="BH119" s="60"/>
      <c r="BI119" s="60"/>
      <c r="BJ119" s="60"/>
      <c r="BK119" s="60"/>
      <c r="BL119" s="60"/>
      <c r="BM119" s="60"/>
    </row>
    <row r="120" spans="2:83" s="147" customFormat="1" ht="18.75" customHeight="1">
      <c r="B120" s="226"/>
      <c r="C120" s="228" t="s">
        <v>274</v>
      </c>
      <c r="D120" s="228"/>
      <c r="E120" s="228"/>
      <c r="F120" s="228"/>
      <c r="G120" s="228"/>
      <c r="H120" s="228"/>
      <c r="I120" s="228"/>
      <c r="J120" s="226"/>
      <c r="K120" s="58" t="s">
        <v>263</v>
      </c>
      <c r="L120" s="403" t="e">
        <f>Z118</f>
        <v>#VALUE!</v>
      </c>
      <c r="M120" s="403"/>
      <c r="N120" s="403"/>
      <c r="O120" s="403"/>
      <c r="P120" s="150" t="s">
        <v>264</v>
      </c>
      <c r="Q120" s="226"/>
      <c r="R120" s="226"/>
      <c r="S120" s="226"/>
      <c r="T120" s="226"/>
      <c r="U120" s="226"/>
      <c r="V120" s="226"/>
      <c r="W120" s="226"/>
      <c r="X120" s="226"/>
      <c r="Y120" s="58" t="s">
        <v>263</v>
      </c>
      <c r="Z120" s="226" t="s">
        <v>247</v>
      </c>
      <c r="AA120" s="398" t="e">
        <f>ABS(L120*P48)</f>
        <v>#VALUE!</v>
      </c>
      <c r="AB120" s="398"/>
      <c r="AC120" s="398"/>
      <c r="AD120" s="229" t="s">
        <v>136</v>
      </c>
      <c r="AE120" s="229"/>
      <c r="AF120" s="226"/>
      <c r="AG120" s="226"/>
      <c r="AH120" s="226"/>
      <c r="AI120" s="226"/>
      <c r="AJ120" s="226"/>
      <c r="AK120" s="226"/>
      <c r="AL120" s="226"/>
      <c r="AM120" s="226"/>
      <c r="AN120" s="226"/>
      <c r="AO120" s="226"/>
      <c r="AP120" s="226"/>
      <c r="AQ120" s="226"/>
      <c r="AR120" s="226"/>
      <c r="AS120" s="226"/>
      <c r="AT120" s="226"/>
      <c r="AU120" s="151"/>
      <c r="AV120" s="150"/>
      <c r="AW120" s="228"/>
      <c r="AX120" s="226"/>
      <c r="AY120" s="226"/>
      <c r="AZ120" s="226"/>
      <c r="BA120" s="226"/>
      <c r="BB120" s="226"/>
      <c r="BC120" s="226"/>
      <c r="BD120" s="226"/>
      <c r="BE120" s="226"/>
      <c r="BF120" s="226"/>
      <c r="BG120" s="226"/>
      <c r="BH120" s="60"/>
      <c r="BI120" s="60"/>
      <c r="BP120" s="229"/>
      <c r="BQ120" s="227"/>
    </row>
    <row r="121" spans="2:83" s="147" customFormat="1" ht="18.75" customHeight="1">
      <c r="B121" s="226"/>
      <c r="C121" s="228" t="s">
        <v>275</v>
      </c>
      <c r="D121" s="228"/>
      <c r="E121" s="228"/>
      <c r="F121" s="228"/>
      <c r="G121" s="228"/>
      <c r="H121" s="228" t="s">
        <v>383</v>
      </c>
      <c r="J121" s="228"/>
      <c r="K121" s="228"/>
      <c r="L121" s="228"/>
      <c r="M121" s="228"/>
      <c r="N121" s="228"/>
      <c r="O121" s="228"/>
      <c r="P121" s="228"/>
      <c r="Q121" s="228"/>
      <c r="R121" s="150"/>
      <c r="S121" s="228"/>
      <c r="T121" s="228"/>
      <c r="U121" s="228"/>
      <c r="V121" s="58"/>
      <c r="W121" s="228"/>
      <c r="X121" s="228"/>
      <c r="Y121" s="228"/>
      <c r="Z121" s="228"/>
      <c r="AA121" s="228"/>
      <c r="AB121" s="228"/>
      <c r="AC121" s="228"/>
      <c r="AD121" s="228"/>
      <c r="AE121" s="226"/>
      <c r="AF121" s="226"/>
      <c r="AG121" s="226"/>
      <c r="AH121" s="226"/>
      <c r="AI121" s="226"/>
      <c r="AJ121" s="226"/>
      <c r="AK121" s="226"/>
      <c r="AL121" s="226"/>
      <c r="AM121" s="226"/>
      <c r="AN121" s="226"/>
      <c r="AO121" s="226"/>
      <c r="AP121" s="226"/>
      <c r="AQ121" s="226"/>
      <c r="AR121" s="226"/>
      <c r="AS121" s="226"/>
      <c r="AT121" s="226"/>
      <c r="AU121" s="226"/>
      <c r="AV121" s="226"/>
      <c r="AW121" s="226"/>
      <c r="AX121" s="226"/>
      <c r="AY121" s="226"/>
      <c r="AZ121" s="226"/>
      <c r="BA121" s="226"/>
      <c r="BB121" s="226"/>
      <c r="BC121" s="226"/>
      <c r="BD121" s="226"/>
      <c r="BE121" s="226"/>
      <c r="BF121" s="226"/>
      <c r="BG121" s="226"/>
      <c r="BH121" s="60"/>
      <c r="BI121" s="60"/>
      <c r="BJ121" s="60"/>
      <c r="BK121" s="60"/>
      <c r="BL121" s="60"/>
    </row>
    <row r="122" spans="2:83" s="147" customFormat="1" ht="18.75" customHeight="1">
      <c r="B122" s="226"/>
      <c r="C122" s="228"/>
      <c r="D122" s="228"/>
      <c r="E122" s="228"/>
      <c r="F122" s="228"/>
      <c r="G122" s="228"/>
      <c r="H122" s="228"/>
      <c r="I122" s="228"/>
      <c r="J122" s="228"/>
      <c r="K122" s="228"/>
      <c r="L122" s="228"/>
      <c r="M122" s="228"/>
      <c r="N122" s="228"/>
      <c r="O122" s="228"/>
      <c r="P122" s="228"/>
      <c r="Q122" s="228"/>
      <c r="R122" s="150"/>
      <c r="S122" s="228"/>
      <c r="T122" s="228"/>
      <c r="U122" s="228"/>
      <c r="V122" s="228"/>
      <c r="W122" s="228"/>
      <c r="X122" s="228"/>
      <c r="Y122" s="228"/>
      <c r="Z122" s="228"/>
      <c r="AA122" s="228"/>
      <c r="AB122" s="228"/>
      <c r="AC122" s="228"/>
      <c r="AD122" s="228"/>
      <c r="AE122" s="226"/>
      <c r="AF122" s="226"/>
      <c r="AG122" s="226"/>
      <c r="AH122" s="226"/>
      <c r="AI122" s="226"/>
      <c r="AJ122" s="226"/>
      <c r="AK122" s="226"/>
      <c r="AL122" s="226"/>
      <c r="AM122" s="226"/>
      <c r="AN122" s="226"/>
      <c r="AO122" s="226"/>
      <c r="AP122" s="226"/>
      <c r="AQ122" s="226"/>
      <c r="AR122" s="226"/>
      <c r="AS122" s="226"/>
      <c r="AT122" s="226"/>
      <c r="AU122" s="226"/>
      <c r="AV122" s="226"/>
      <c r="AW122" s="226"/>
      <c r="AX122" s="226"/>
      <c r="AY122" s="226"/>
      <c r="AZ122" s="226"/>
      <c r="BA122" s="226"/>
      <c r="BB122" s="226"/>
      <c r="BC122" s="226"/>
      <c r="BD122" s="226"/>
      <c r="BE122" s="226"/>
      <c r="BF122" s="226"/>
      <c r="BG122" s="226"/>
      <c r="BH122" s="60"/>
      <c r="BI122" s="60"/>
      <c r="BJ122" s="60"/>
      <c r="BK122" s="60"/>
      <c r="BL122" s="60"/>
    </row>
    <row r="123" spans="2:83" s="147" customFormat="1" ht="18.75" customHeight="1">
      <c r="B123" s="226"/>
      <c r="C123" s="228"/>
      <c r="D123" s="228"/>
      <c r="E123" s="228"/>
      <c r="F123" s="228"/>
      <c r="G123" s="228"/>
      <c r="H123" s="228"/>
      <c r="I123" s="228"/>
      <c r="J123" s="228"/>
      <c r="K123" s="228"/>
      <c r="L123" s="228"/>
      <c r="M123" s="228"/>
      <c r="N123" s="228"/>
      <c r="O123" s="228"/>
      <c r="P123" s="228"/>
      <c r="Q123" s="228"/>
      <c r="R123" s="150"/>
      <c r="S123" s="228"/>
      <c r="T123" s="228"/>
      <c r="U123" s="228"/>
      <c r="V123" s="228"/>
      <c r="W123" s="228"/>
      <c r="X123" s="228"/>
      <c r="Y123" s="228"/>
      <c r="Z123" s="228"/>
      <c r="AA123" s="228"/>
      <c r="AB123" s="228"/>
      <c r="AC123" s="228"/>
      <c r="AD123" s="228"/>
      <c r="AE123" s="226"/>
      <c r="AF123" s="226"/>
      <c r="AG123" s="226"/>
      <c r="AH123" s="226"/>
      <c r="AI123" s="226"/>
      <c r="AJ123" s="226"/>
      <c r="AK123" s="226"/>
      <c r="AL123" s="226"/>
      <c r="AM123" s="226"/>
      <c r="AN123" s="226"/>
      <c r="AO123" s="226"/>
      <c r="AP123" s="226"/>
      <c r="AQ123" s="226"/>
      <c r="AR123" s="226"/>
      <c r="AS123" s="226"/>
      <c r="AT123" s="226"/>
      <c r="AU123" s="226"/>
      <c r="AV123" s="226"/>
      <c r="AW123" s="226"/>
      <c r="AX123" s="226"/>
      <c r="AY123" s="226"/>
      <c r="AZ123" s="226"/>
      <c r="BA123" s="226"/>
      <c r="BB123" s="226"/>
      <c r="BC123" s="226"/>
      <c r="BD123" s="226"/>
      <c r="BE123" s="226"/>
      <c r="BF123" s="226"/>
      <c r="BG123" s="226"/>
      <c r="BH123" s="60"/>
      <c r="BI123" s="60"/>
      <c r="BJ123" s="60"/>
      <c r="BK123" s="60"/>
      <c r="BL123" s="60"/>
    </row>
    <row r="124" spans="2:83" s="147" customFormat="1" ht="18.75" customHeight="1">
      <c r="B124" s="226"/>
      <c r="C124" s="228"/>
      <c r="D124" s="228"/>
      <c r="E124" s="228"/>
      <c r="F124" s="228"/>
      <c r="G124" s="228"/>
      <c r="H124" s="228"/>
      <c r="I124" s="228"/>
      <c r="J124" s="228"/>
      <c r="K124" s="228"/>
      <c r="L124" s="228"/>
      <c r="M124" s="228"/>
      <c r="N124" s="228"/>
      <c r="O124" s="228"/>
      <c r="P124" s="228"/>
      <c r="Q124" s="228"/>
      <c r="R124" s="150"/>
      <c r="S124" s="228"/>
      <c r="T124" s="228"/>
      <c r="U124" s="228"/>
      <c r="V124" s="228"/>
      <c r="W124" s="228"/>
      <c r="X124" s="228"/>
      <c r="Y124" s="228"/>
      <c r="Z124" s="228"/>
      <c r="AA124" s="228"/>
      <c r="AB124" s="401">
        <f>AQ48</f>
        <v>100</v>
      </c>
      <c r="AC124" s="401"/>
      <c r="AD124" s="228"/>
      <c r="AE124" s="226"/>
      <c r="AF124" s="226"/>
      <c r="AG124" s="226"/>
      <c r="AH124" s="226"/>
      <c r="AI124" s="226"/>
      <c r="AJ124" s="226"/>
      <c r="AK124" s="226"/>
      <c r="AL124" s="226"/>
      <c r="AM124" s="226"/>
      <c r="AN124" s="226"/>
      <c r="AO124" s="226"/>
      <c r="AP124" s="226"/>
      <c r="AQ124" s="226"/>
      <c r="AR124" s="226"/>
      <c r="AS124" s="226"/>
      <c r="AT124" s="226"/>
      <c r="AU124" s="226"/>
      <c r="AV124" s="226"/>
      <c r="AW124" s="226"/>
      <c r="AX124" s="226"/>
      <c r="AY124" s="226"/>
      <c r="AZ124" s="226"/>
      <c r="BA124" s="226"/>
      <c r="BB124" s="226"/>
      <c r="BC124" s="226"/>
      <c r="BD124" s="226"/>
      <c r="BE124" s="226"/>
      <c r="BF124" s="226"/>
      <c r="BG124" s="226"/>
      <c r="BH124" s="60"/>
      <c r="BI124" s="60"/>
      <c r="BJ124" s="60"/>
      <c r="BK124" s="60"/>
      <c r="BL124" s="60"/>
    </row>
    <row r="125" spans="2:83" s="147" customFormat="1" ht="18.75" customHeight="1">
      <c r="B125" s="226"/>
      <c r="C125" s="228"/>
      <c r="D125" s="228"/>
      <c r="E125" s="228"/>
      <c r="F125" s="228"/>
      <c r="G125" s="228"/>
      <c r="H125" s="228"/>
      <c r="I125" s="228"/>
      <c r="J125" s="228"/>
      <c r="K125" s="228"/>
      <c r="L125" s="228"/>
      <c r="M125" s="228"/>
      <c r="N125" s="228"/>
      <c r="O125" s="228"/>
      <c r="P125" s="228"/>
      <c r="Q125" s="228"/>
      <c r="R125" s="150"/>
      <c r="S125" s="228"/>
      <c r="T125" s="228"/>
      <c r="U125" s="228"/>
      <c r="V125" s="228"/>
      <c r="W125" s="228"/>
      <c r="X125" s="228"/>
      <c r="Y125" s="228"/>
      <c r="Z125" s="228"/>
      <c r="AA125" s="228"/>
      <c r="AB125" s="401"/>
      <c r="AC125" s="401"/>
      <c r="AD125" s="228"/>
      <c r="AE125" s="226"/>
      <c r="AF125" s="226"/>
      <c r="AG125" s="226"/>
      <c r="AH125" s="226"/>
      <c r="AI125" s="226"/>
      <c r="AJ125" s="226"/>
      <c r="AK125" s="226"/>
      <c r="AL125" s="226"/>
      <c r="AM125" s="226"/>
      <c r="AN125" s="226"/>
      <c r="AO125" s="226"/>
      <c r="AP125" s="226"/>
      <c r="AQ125" s="226"/>
      <c r="AR125" s="226"/>
      <c r="AS125" s="226"/>
      <c r="AT125" s="226"/>
      <c r="AU125" s="226"/>
      <c r="AV125" s="226"/>
      <c r="AW125" s="226"/>
      <c r="AX125" s="226"/>
      <c r="AY125" s="226"/>
      <c r="AZ125" s="226"/>
      <c r="BA125" s="226"/>
      <c r="BB125" s="226"/>
      <c r="BC125" s="226"/>
      <c r="BD125" s="226"/>
      <c r="BE125" s="226"/>
      <c r="BF125" s="226"/>
      <c r="BG125" s="226"/>
      <c r="BH125" s="60"/>
      <c r="BI125" s="60"/>
      <c r="BJ125" s="60"/>
      <c r="BK125" s="60"/>
      <c r="BL125" s="60"/>
    </row>
    <row r="126" spans="2:83" s="147" customFormat="1" ht="18.75" customHeight="1">
      <c r="B126" s="226"/>
      <c r="C126" s="228"/>
      <c r="D126" s="228"/>
      <c r="E126" s="228"/>
      <c r="F126" s="228"/>
      <c r="G126" s="228"/>
      <c r="H126" s="228"/>
      <c r="I126" s="228"/>
      <c r="J126" s="228"/>
      <c r="K126" s="228"/>
      <c r="L126" s="228"/>
      <c r="M126" s="228"/>
      <c r="N126" s="228"/>
      <c r="O126" s="228"/>
      <c r="P126" s="228"/>
      <c r="Q126" s="228"/>
      <c r="R126" s="150"/>
      <c r="S126" s="228"/>
      <c r="T126" s="228"/>
      <c r="U126" s="228"/>
      <c r="V126" s="228"/>
      <c r="W126" s="228"/>
      <c r="X126" s="228"/>
      <c r="Y126" s="228"/>
      <c r="Z126" s="228"/>
      <c r="AA126" s="228"/>
      <c r="AB126" s="228"/>
      <c r="AC126" s="228"/>
      <c r="AD126" s="228"/>
      <c r="AE126" s="226"/>
      <c r="AF126" s="226"/>
      <c r="AG126" s="226"/>
      <c r="AH126" s="226"/>
      <c r="AI126" s="226"/>
      <c r="AJ126" s="226"/>
      <c r="AK126" s="226"/>
      <c r="AL126" s="226"/>
      <c r="AM126" s="226"/>
      <c r="AN126" s="226"/>
      <c r="AO126" s="226"/>
      <c r="AP126" s="226"/>
      <c r="AQ126" s="226"/>
      <c r="AR126" s="226"/>
      <c r="AS126" s="226"/>
      <c r="AT126" s="226"/>
      <c r="AU126" s="226"/>
      <c r="AV126" s="226"/>
      <c r="AW126" s="226"/>
      <c r="AX126" s="226"/>
      <c r="AY126" s="226"/>
      <c r="AZ126" s="226"/>
      <c r="BA126" s="226"/>
      <c r="BB126" s="226"/>
      <c r="BC126" s="226"/>
      <c r="BD126" s="226"/>
      <c r="BE126" s="226"/>
      <c r="BF126" s="226"/>
      <c r="BG126" s="226"/>
      <c r="BH126" s="60"/>
      <c r="BI126" s="60"/>
      <c r="BJ126" s="60"/>
      <c r="BK126" s="60"/>
      <c r="BL126" s="60"/>
    </row>
    <row r="127" spans="2:83" s="147" customFormat="1" ht="18.75" customHeight="1">
      <c r="B127" s="226"/>
      <c r="C127" s="228"/>
      <c r="D127" s="228"/>
      <c r="E127" s="228"/>
      <c r="F127" s="228"/>
      <c r="G127" s="228"/>
      <c r="H127" s="228"/>
      <c r="I127" s="228"/>
      <c r="J127" s="228"/>
      <c r="K127" s="228"/>
      <c r="L127" s="228"/>
      <c r="M127" s="228"/>
      <c r="N127" s="228"/>
      <c r="O127" s="228"/>
      <c r="P127" s="228"/>
      <c r="Q127" s="228"/>
      <c r="R127" s="150"/>
      <c r="S127" s="228"/>
      <c r="T127" s="228"/>
      <c r="U127" s="228"/>
      <c r="V127" s="228"/>
      <c r="W127" s="228"/>
      <c r="X127" s="228"/>
      <c r="Y127" s="228"/>
      <c r="Z127" s="228"/>
      <c r="AA127" s="228"/>
      <c r="AB127" s="228"/>
      <c r="AC127" s="228"/>
      <c r="AD127" s="228"/>
      <c r="AE127" s="226"/>
      <c r="AF127" s="226"/>
      <c r="AG127" s="226"/>
      <c r="AH127" s="226"/>
      <c r="AI127" s="226"/>
      <c r="AJ127" s="226"/>
      <c r="AK127" s="226"/>
      <c r="AL127" s="226"/>
      <c r="AM127" s="226"/>
      <c r="AN127" s="226"/>
      <c r="AO127" s="226"/>
      <c r="AP127" s="226"/>
      <c r="AQ127" s="226"/>
      <c r="AR127" s="226"/>
      <c r="AS127" s="226"/>
      <c r="AT127" s="226"/>
      <c r="AU127" s="226"/>
      <c r="AV127" s="226"/>
      <c r="AW127" s="226"/>
      <c r="AX127" s="226"/>
      <c r="AY127" s="226"/>
      <c r="AZ127" s="226"/>
      <c r="BA127" s="226"/>
      <c r="BB127" s="226"/>
      <c r="BC127" s="226"/>
      <c r="BD127" s="226"/>
      <c r="BE127" s="226"/>
      <c r="BF127" s="226"/>
      <c r="BG127" s="226"/>
      <c r="BH127" s="60"/>
      <c r="BI127" s="60"/>
      <c r="BJ127" s="60"/>
      <c r="BK127" s="60"/>
      <c r="BL127" s="60"/>
    </row>
    <row r="128" spans="2:83" s="147" customFormat="1" ht="18.75" customHeight="1">
      <c r="B128" s="59" t="s">
        <v>408</v>
      </c>
      <c r="D128" s="228"/>
      <c r="E128" s="228"/>
      <c r="F128" s="228"/>
      <c r="G128" s="228"/>
      <c r="H128" s="228"/>
      <c r="I128" s="228"/>
      <c r="J128" s="228"/>
      <c r="K128" s="228"/>
      <c r="L128" s="228"/>
      <c r="M128" s="228"/>
      <c r="N128" s="228"/>
      <c r="O128" s="228"/>
      <c r="P128" s="228"/>
      <c r="Q128" s="228"/>
      <c r="R128" s="228"/>
      <c r="S128" s="228"/>
      <c r="T128" s="228"/>
      <c r="U128" s="228"/>
      <c r="V128" s="228"/>
      <c r="W128" s="228"/>
      <c r="X128" s="228"/>
      <c r="Y128" s="228"/>
      <c r="Z128" s="228"/>
      <c r="AA128" s="228"/>
      <c r="AB128" s="228"/>
      <c r="AC128" s="228"/>
      <c r="AD128" s="228"/>
      <c r="AE128" s="228"/>
      <c r="AF128" s="228"/>
      <c r="AG128" s="228"/>
      <c r="AH128" s="226"/>
      <c r="AI128" s="226"/>
      <c r="AJ128" s="226"/>
      <c r="AK128" s="226"/>
      <c r="AL128" s="226"/>
      <c r="AM128" s="226"/>
      <c r="AN128" s="226"/>
      <c r="AO128" s="228"/>
      <c r="AP128" s="228"/>
      <c r="AQ128" s="228"/>
      <c r="AR128" s="228"/>
      <c r="AS128" s="228"/>
      <c r="AT128" s="228"/>
      <c r="AU128" s="228"/>
      <c r="AV128" s="228"/>
      <c r="AW128" s="228"/>
      <c r="AX128" s="228"/>
      <c r="AY128" s="228"/>
      <c r="AZ128" s="228"/>
      <c r="BA128" s="228"/>
      <c r="BB128" s="228"/>
      <c r="BC128" s="228"/>
      <c r="BD128" s="228"/>
      <c r="BE128" s="228"/>
      <c r="BF128" s="228"/>
      <c r="BG128" s="228"/>
      <c r="BH128" s="60"/>
      <c r="BI128" s="60"/>
      <c r="BJ128" s="60"/>
      <c r="BK128" s="60"/>
      <c r="BL128" s="60"/>
      <c r="BM128" s="60"/>
      <c r="BN128" s="60"/>
    </row>
    <row r="129" spans="2:68" s="147" customFormat="1" ht="18.75" customHeight="1">
      <c r="B129" s="59"/>
      <c r="C129" s="228" t="str">
        <f>"※ 열평형 상태에서 3점 마이크로미터와 기준 링 게이지의 온도차가 최소 ±"&amp;N132&amp;" ℃이내에서"</f>
        <v>※ 열평형 상태에서 3점 마이크로미터와 기준 링 게이지의 온도차가 최소 ±0.5 ℃이내에서</v>
      </c>
      <c r="D129" s="228"/>
      <c r="E129" s="251"/>
      <c r="F129" s="261"/>
      <c r="G129" s="261"/>
      <c r="H129" s="261"/>
      <c r="I129" s="261"/>
      <c r="J129" s="261"/>
      <c r="K129" s="261"/>
      <c r="L129" s="261"/>
      <c r="M129" s="261"/>
      <c r="N129" s="261"/>
      <c r="O129" s="261"/>
      <c r="P129" s="261"/>
      <c r="Q129" s="261"/>
      <c r="R129" s="261"/>
      <c r="S129" s="261"/>
      <c r="T129" s="261"/>
      <c r="U129" s="261"/>
      <c r="V129" s="261"/>
      <c r="W129" s="261"/>
      <c r="X129" s="261"/>
      <c r="Y129" s="261"/>
      <c r="Z129" s="261"/>
      <c r="AA129" s="261"/>
      <c r="AB129" s="261"/>
      <c r="AC129" s="261"/>
      <c r="AD129" s="261"/>
      <c r="AE129" s="261"/>
      <c r="AF129" s="261"/>
      <c r="AG129" s="261"/>
      <c r="AH129" s="260"/>
      <c r="AI129" s="260"/>
      <c r="AJ129" s="260"/>
      <c r="AK129" s="260"/>
      <c r="AL129" s="260"/>
      <c r="AM129" s="260"/>
      <c r="AN129" s="260"/>
      <c r="AO129" s="261"/>
      <c r="AP129" s="261"/>
      <c r="AQ129" s="261"/>
      <c r="AR129" s="261"/>
      <c r="AS129" s="261"/>
      <c r="AT129" s="261"/>
      <c r="AU129" s="261"/>
      <c r="AV129" s="261"/>
      <c r="AW129" s="261"/>
      <c r="AX129" s="261"/>
      <c r="AY129" s="261"/>
      <c r="AZ129" s="261"/>
      <c r="BA129" s="261"/>
      <c r="BB129" s="261"/>
      <c r="BC129" s="261"/>
      <c r="BD129" s="261"/>
      <c r="BE129" s="261"/>
      <c r="BF129" s="261"/>
      <c r="BG129" s="261"/>
      <c r="BH129" s="60"/>
      <c r="BI129" s="60"/>
      <c r="BJ129" s="60"/>
      <c r="BK129" s="60"/>
      <c r="BL129" s="60"/>
      <c r="BM129" s="60"/>
      <c r="BN129" s="60"/>
    </row>
    <row r="130" spans="2:68" s="147" customFormat="1" ht="18.75" customHeight="1">
      <c r="B130" s="59"/>
      <c r="C130" s="228"/>
      <c r="D130" s="228" t="s">
        <v>384</v>
      </c>
      <c r="E130" s="251"/>
      <c r="F130" s="261"/>
      <c r="G130" s="261"/>
      <c r="H130" s="261"/>
      <c r="I130" s="261"/>
      <c r="J130" s="261"/>
      <c r="K130" s="261"/>
      <c r="L130" s="261"/>
      <c r="M130" s="261"/>
      <c r="N130" s="261"/>
      <c r="O130" s="261"/>
      <c r="P130" s="261"/>
      <c r="Q130" s="261"/>
      <c r="R130" s="261"/>
      <c r="S130" s="261"/>
      <c r="T130" s="261"/>
      <c r="U130" s="261"/>
      <c r="V130" s="261"/>
      <c r="W130" s="261"/>
      <c r="X130" s="261"/>
      <c r="Y130" s="261"/>
      <c r="Z130" s="261"/>
      <c r="AA130" s="261"/>
      <c r="AB130" s="261"/>
      <c r="AC130" s="261"/>
      <c r="AD130" s="261"/>
      <c r="AE130" s="261"/>
      <c r="AF130" s="261"/>
      <c r="AG130" s="261"/>
      <c r="AH130" s="260"/>
      <c r="AI130" s="260"/>
      <c r="AJ130" s="260"/>
      <c r="AK130" s="260"/>
      <c r="AL130" s="260"/>
      <c r="AM130" s="260"/>
      <c r="AN130" s="260"/>
      <c r="AO130" s="261"/>
      <c r="AP130" s="261"/>
      <c r="AQ130" s="261"/>
      <c r="AR130" s="261"/>
      <c r="AS130" s="261"/>
      <c r="AT130" s="261"/>
      <c r="AU130" s="261"/>
      <c r="AV130" s="261"/>
      <c r="AW130" s="261"/>
      <c r="AX130" s="261"/>
      <c r="AY130" s="261"/>
      <c r="AZ130" s="261"/>
      <c r="BA130" s="261"/>
      <c r="BB130" s="261"/>
      <c r="BC130" s="261"/>
      <c r="BD130" s="261"/>
      <c r="BE130" s="261"/>
      <c r="BF130" s="261"/>
      <c r="BG130" s="261"/>
      <c r="BH130" s="60"/>
      <c r="BI130" s="60"/>
      <c r="BJ130" s="60"/>
      <c r="BK130" s="60"/>
      <c r="BL130" s="60"/>
      <c r="BM130" s="60"/>
      <c r="BN130" s="60"/>
    </row>
    <row r="131" spans="2:68" s="147" customFormat="1" ht="18.75" customHeight="1">
      <c r="B131" s="226"/>
      <c r="C131" s="229" t="s">
        <v>276</v>
      </c>
      <c r="D131" s="226"/>
      <c r="E131" s="226"/>
      <c r="F131" s="226"/>
      <c r="G131" s="226"/>
      <c r="H131" s="440" t="str">
        <f>I49</f>
        <v/>
      </c>
      <c r="I131" s="440"/>
      <c r="J131" s="440"/>
      <c r="K131" s="440"/>
      <c r="L131" s="440"/>
      <c r="M131" s="440"/>
      <c r="N131" s="440"/>
      <c r="O131" s="440"/>
      <c r="P131" s="234"/>
      <c r="Q131" s="228"/>
      <c r="R131" s="228"/>
      <c r="S131" s="228"/>
      <c r="T131" s="228"/>
      <c r="U131" s="228"/>
      <c r="V131" s="228"/>
      <c r="W131" s="226"/>
      <c r="X131" s="226"/>
      <c r="Y131" s="226"/>
      <c r="Z131" s="228"/>
      <c r="AA131" s="228"/>
      <c r="AB131" s="228"/>
      <c r="AC131" s="228"/>
      <c r="AD131" s="228"/>
      <c r="AE131" s="228"/>
      <c r="AF131" s="228"/>
      <c r="AG131" s="228"/>
      <c r="AH131" s="226"/>
      <c r="AI131" s="226"/>
      <c r="AJ131" s="226"/>
      <c r="AK131" s="226"/>
      <c r="AL131" s="226"/>
      <c r="AM131" s="226"/>
      <c r="AN131" s="226"/>
      <c r="AO131" s="228"/>
      <c r="AP131" s="228"/>
      <c r="AQ131" s="228"/>
      <c r="AR131" s="228"/>
      <c r="AS131" s="228"/>
      <c r="AT131" s="228"/>
      <c r="AU131" s="228"/>
      <c r="AV131" s="228"/>
      <c r="AW131" s="228"/>
      <c r="AX131" s="228"/>
      <c r="AY131" s="228"/>
      <c r="AZ131" s="228"/>
      <c r="BA131" s="228"/>
      <c r="BB131" s="228"/>
      <c r="BC131" s="228"/>
      <c r="BD131" s="228"/>
      <c r="BE131" s="228"/>
      <c r="BF131" s="228"/>
      <c r="BG131" s="228"/>
      <c r="BH131" s="60"/>
      <c r="BI131" s="60"/>
      <c r="BJ131" s="60"/>
      <c r="BK131" s="60"/>
      <c r="BL131" s="60"/>
      <c r="BM131" s="60"/>
    </row>
    <row r="132" spans="2:68" s="147" customFormat="1" ht="18.75" customHeight="1">
      <c r="B132" s="226"/>
      <c r="C132" s="400" t="s">
        <v>277</v>
      </c>
      <c r="D132" s="400"/>
      <c r="E132" s="400"/>
      <c r="F132" s="400"/>
      <c r="G132" s="400"/>
      <c r="H132" s="400"/>
      <c r="I132" s="400"/>
      <c r="J132" s="474" t="s">
        <v>416</v>
      </c>
      <c r="K132" s="474"/>
      <c r="L132" s="474"/>
      <c r="M132" s="405" t="s">
        <v>247</v>
      </c>
      <c r="N132" s="439">
        <f>Calcu!G28</f>
        <v>0.5</v>
      </c>
      <c r="O132" s="439"/>
      <c r="P132" s="264" t="s">
        <v>417</v>
      </c>
      <c r="Q132" s="267"/>
      <c r="R132" s="405" t="s">
        <v>247</v>
      </c>
      <c r="S132" s="398">
        <f>N132/SQRT(3)</f>
        <v>0.28867513459481292</v>
      </c>
      <c r="T132" s="398"/>
      <c r="U132" s="398"/>
      <c r="V132" s="397" t="str">
        <f>P132</f>
        <v>℃</v>
      </c>
      <c r="W132" s="397"/>
      <c r="X132" s="262"/>
      <c r="Y132" s="228"/>
      <c r="Z132" s="228"/>
      <c r="AA132" s="226"/>
      <c r="AB132" s="226"/>
      <c r="AC132" s="226"/>
      <c r="AD132" s="226"/>
      <c r="AE132" s="226"/>
      <c r="AF132" s="226"/>
      <c r="AG132" s="226"/>
      <c r="AH132" s="226"/>
      <c r="AI132" s="226"/>
      <c r="AJ132" s="226"/>
      <c r="AK132" s="226"/>
      <c r="AL132" s="226"/>
      <c r="AM132" s="226"/>
      <c r="AN132" s="226"/>
      <c r="AO132" s="226"/>
      <c r="AP132" s="226"/>
      <c r="AQ132" s="226"/>
      <c r="AR132" s="226"/>
      <c r="AS132" s="226"/>
      <c r="AT132" s="226"/>
      <c r="AU132" s="226"/>
      <c r="AV132" s="226"/>
      <c r="AW132" s="226"/>
      <c r="AX132" s="228"/>
      <c r="AY132" s="228"/>
      <c r="AZ132" s="228"/>
      <c r="BA132" s="228"/>
      <c r="BB132" s="228"/>
      <c r="BC132" s="228"/>
      <c r="BD132" s="228"/>
      <c r="BE132" s="228"/>
      <c r="BF132" s="228"/>
      <c r="BG132" s="228"/>
      <c r="BH132" s="228"/>
      <c r="BI132" s="228"/>
      <c r="BJ132" s="60"/>
      <c r="BK132" s="60"/>
      <c r="BL132" s="60"/>
      <c r="BM132" s="60"/>
      <c r="BN132" s="60"/>
      <c r="BO132" s="60"/>
      <c r="BP132" s="60"/>
    </row>
    <row r="133" spans="2:68" s="147" customFormat="1" ht="18.75" customHeight="1">
      <c r="B133" s="226"/>
      <c r="C133" s="400"/>
      <c r="D133" s="400"/>
      <c r="E133" s="400"/>
      <c r="F133" s="400"/>
      <c r="G133" s="400"/>
      <c r="H133" s="400"/>
      <c r="I133" s="400"/>
      <c r="J133" s="474"/>
      <c r="K133" s="474"/>
      <c r="L133" s="474"/>
      <c r="M133" s="405"/>
      <c r="N133" s="260"/>
      <c r="O133" s="260"/>
      <c r="P133" s="260"/>
      <c r="Q133" s="260"/>
      <c r="R133" s="405"/>
      <c r="S133" s="398"/>
      <c r="T133" s="398"/>
      <c r="U133" s="398"/>
      <c r="V133" s="397"/>
      <c r="W133" s="397"/>
      <c r="X133" s="262"/>
      <c r="Y133" s="228"/>
      <c r="Z133" s="228"/>
      <c r="AA133" s="226"/>
      <c r="AB133" s="226"/>
      <c r="AC133" s="226"/>
      <c r="AD133" s="226"/>
      <c r="AE133" s="226"/>
      <c r="AF133" s="226"/>
      <c r="AG133" s="226"/>
      <c r="AH133" s="226"/>
      <c r="AI133" s="226"/>
      <c r="AJ133" s="226"/>
      <c r="AK133" s="226"/>
      <c r="AL133" s="226"/>
      <c r="AM133" s="226"/>
      <c r="AN133" s="226"/>
      <c r="AO133" s="226"/>
      <c r="AP133" s="226"/>
      <c r="AQ133" s="226"/>
      <c r="AR133" s="228"/>
      <c r="AS133" s="228"/>
      <c r="AT133" s="228"/>
      <c r="AU133" s="228"/>
      <c r="AV133" s="228"/>
      <c r="AW133" s="228"/>
      <c r="AX133" s="228"/>
      <c r="AY133" s="228"/>
      <c r="AZ133" s="228"/>
      <c r="BA133" s="228"/>
      <c r="BB133" s="228"/>
      <c r="BC133" s="228"/>
      <c r="BD133" s="228"/>
      <c r="BE133" s="228"/>
      <c r="BF133" s="228"/>
      <c r="BG133" s="228"/>
      <c r="BH133" s="228"/>
      <c r="BI133" s="228"/>
      <c r="BJ133" s="60"/>
      <c r="BK133" s="60"/>
      <c r="BL133" s="60"/>
      <c r="BM133" s="60"/>
      <c r="BN133" s="60"/>
      <c r="BO133" s="60"/>
      <c r="BP133" s="60"/>
    </row>
    <row r="134" spans="2:68" s="147" customFormat="1" ht="18.75" customHeight="1">
      <c r="B134" s="226"/>
      <c r="C134" s="228" t="s">
        <v>278</v>
      </c>
      <c r="D134" s="228"/>
      <c r="E134" s="228"/>
      <c r="F134" s="228"/>
      <c r="G134" s="228"/>
      <c r="H134" s="228"/>
      <c r="I134" s="401" t="str">
        <f>W49</f>
        <v>직사각형</v>
      </c>
      <c r="J134" s="401"/>
      <c r="K134" s="401"/>
      <c r="L134" s="401"/>
      <c r="M134" s="401"/>
      <c r="N134" s="401"/>
      <c r="O134" s="401"/>
      <c r="P134" s="401"/>
      <c r="Q134" s="228"/>
      <c r="R134" s="228"/>
      <c r="S134" s="228"/>
      <c r="T134" s="228"/>
      <c r="U134" s="228"/>
      <c r="V134" s="228"/>
      <c r="W134" s="228"/>
      <c r="X134" s="228"/>
      <c r="Y134" s="228"/>
      <c r="Z134" s="226"/>
      <c r="AA134" s="226"/>
      <c r="AB134" s="226"/>
      <c r="AC134" s="226"/>
      <c r="AD134" s="226"/>
      <c r="AE134" s="226"/>
      <c r="AF134" s="226"/>
      <c r="AG134" s="226"/>
      <c r="AH134" s="226"/>
      <c r="AI134" s="226"/>
      <c r="AJ134" s="226"/>
      <c r="AK134" s="226"/>
      <c r="AL134" s="226"/>
      <c r="AM134" s="226"/>
      <c r="AN134" s="226"/>
      <c r="AO134" s="226"/>
      <c r="AP134" s="228"/>
      <c r="AQ134" s="228"/>
      <c r="AR134" s="228"/>
      <c r="AS134" s="228"/>
      <c r="AT134" s="228"/>
      <c r="AU134" s="228"/>
      <c r="AV134" s="228"/>
      <c r="AW134" s="228"/>
      <c r="AX134" s="228"/>
      <c r="AY134" s="228"/>
      <c r="AZ134" s="228"/>
      <c r="BA134" s="228"/>
      <c r="BB134" s="228"/>
      <c r="BC134" s="228"/>
      <c r="BD134" s="228"/>
      <c r="BE134" s="228"/>
      <c r="BF134" s="228"/>
      <c r="BG134" s="228"/>
      <c r="BH134" s="60"/>
      <c r="BI134" s="60"/>
      <c r="BJ134" s="60"/>
      <c r="BK134" s="60"/>
      <c r="BL134" s="60"/>
    </row>
    <row r="135" spans="2:68" s="147" customFormat="1" ht="18.75" customHeight="1">
      <c r="B135" s="226"/>
      <c r="C135" s="400" t="s">
        <v>279</v>
      </c>
      <c r="D135" s="400"/>
      <c r="E135" s="400"/>
      <c r="F135" s="400"/>
      <c r="G135" s="400"/>
      <c r="H135" s="400"/>
      <c r="I135" s="228"/>
      <c r="J135" s="228"/>
      <c r="K135" s="228"/>
      <c r="L135" s="228"/>
      <c r="M135" s="228"/>
      <c r="N135" s="228"/>
      <c r="O135" s="226"/>
      <c r="P135" s="400" t="e">
        <f ca="1">-Calcu!M28*10^6</f>
        <v>#N/A</v>
      </c>
      <c r="Q135" s="400"/>
      <c r="R135" s="400"/>
      <c r="S135" s="400" t="s">
        <v>254</v>
      </c>
      <c r="T135" s="400"/>
      <c r="U135" s="400"/>
      <c r="V135" s="400"/>
      <c r="W135" s="405" t="s">
        <v>84</v>
      </c>
      <c r="X135" s="404">
        <f>Calcu!N28</f>
        <v>0</v>
      </c>
      <c r="Y135" s="404"/>
      <c r="Z135" s="404"/>
      <c r="AA135" s="400" t="s">
        <v>136</v>
      </c>
      <c r="AB135" s="400"/>
      <c r="AC135" s="405" t="s">
        <v>247</v>
      </c>
      <c r="AD135" s="403" t="e">
        <f ca="1">P135*10^-6*X135</f>
        <v>#N/A</v>
      </c>
      <c r="AE135" s="403"/>
      <c r="AF135" s="403"/>
      <c r="AG135" s="400" t="s">
        <v>183</v>
      </c>
      <c r="AH135" s="400"/>
      <c r="AI135" s="400"/>
      <c r="AJ135" s="400"/>
      <c r="AK135" s="400"/>
      <c r="AL135" s="400"/>
      <c r="AM135" s="400"/>
      <c r="AN135" s="230"/>
      <c r="AO135" s="228"/>
      <c r="AP135" s="228"/>
      <c r="AQ135" s="228"/>
      <c r="AR135" s="228"/>
      <c r="AS135" s="228"/>
      <c r="AT135" s="228"/>
      <c r="AU135" s="228"/>
      <c r="AV135" s="228"/>
      <c r="AW135" s="228"/>
      <c r="AX135" s="228"/>
      <c r="AY135" s="228"/>
      <c r="AZ135" s="228"/>
      <c r="BA135" s="228"/>
      <c r="BB135" s="228"/>
      <c r="BC135" s="226"/>
      <c r="BD135" s="226"/>
      <c r="BE135" s="226"/>
      <c r="BF135" s="226"/>
      <c r="BG135" s="226"/>
      <c r="BH135" s="226"/>
    </row>
    <row r="136" spans="2:68" s="147" customFormat="1" ht="18.75" customHeight="1">
      <c r="B136" s="226"/>
      <c r="C136" s="400"/>
      <c r="D136" s="400"/>
      <c r="E136" s="400"/>
      <c r="F136" s="400"/>
      <c r="G136" s="400"/>
      <c r="H136" s="400"/>
      <c r="I136" s="228"/>
      <c r="J136" s="228"/>
      <c r="K136" s="228"/>
      <c r="L136" s="228"/>
      <c r="M136" s="228"/>
      <c r="N136" s="228"/>
      <c r="O136" s="226"/>
      <c r="P136" s="400"/>
      <c r="Q136" s="400"/>
      <c r="R136" s="400"/>
      <c r="S136" s="400"/>
      <c r="T136" s="400"/>
      <c r="U136" s="400"/>
      <c r="V136" s="400"/>
      <c r="W136" s="405"/>
      <c r="X136" s="404"/>
      <c r="Y136" s="404"/>
      <c r="Z136" s="404"/>
      <c r="AA136" s="400"/>
      <c r="AB136" s="400"/>
      <c r="AC136" s="405"/>
      <c r="AD136" s="403"/>
      <c r="AE136" s="403"/>
      <c r="AF136" s="403"/>
      <c r="AG136" s="400"/>
      <c r="AH136" s="400"/>
      <c r="AI136" s="400"/>
      <c r="AJ136" s="400"/>
      <c r="AK136" s="400"/>
      <c r="AL136" s="400"/>
      <c r="AM136" s="400"/>
      <c r="AN136" s="230"/>
      <c r="AO136" s="228"/>
      <c r="AP136" s="228"/>
      <c r="AQ136" s="228"/>
      <c r="AR136" s="228"/>
      <c r="AS136" s="228"/>
      <c r="AT136" s="228"/>
      <c r="AU136" s="228"/>
      <c r="AV136" s="228"/>
      <c r="AW136" s="228"/>
      <c r="AX136" s="228"/>
      <c r="AY136" s="228"/>
      <c r="AZ136" s="228"/>
      <c r="BA136" s="228"/>
      <c r="BB136" s="228"/>
      <c r="BC136" s="226"/>
      <c r="BD136" s="226"/>
      <c r="BE136" s="226"/>
      <c r="BF136" s="226"/>
      <c r="BG136" s="226"/>
      <c r="BH136" s="226"/>
    </row>
    <row r="137" spans="2:68" s="147" customFormat="1" ht="18.75" customHeight="1">
      <c r="B137" s="226"/>
      <c r="C137" s="228" t="s">
        <v>280</v>
      </c>
      <c r="D137" s="228"/>
      <c r="E137" s="228"/>
      <c r="F137" s="228"/>
      <c r="G137" s="228"/>
      <c r="H137" s="228"/>
      <c r="I137" s="228"/>
      <c r="J137" s="226"/>
      <c r="K137" s="58" t="s">
        <v>263</v>
      </c>
      <c r="L137" s="403" t="e">
        <f ca="1">AD135</f>
        <v>#N/A</v>
      </c>
      <c r="M137" s="403"/>
      <c r="N137" s="403"/>
      <c r="O137" s="150" t="s">
        <v>183</v>
      </c>
      <c r="P137" s="226"/>
      <c r="Q137" s="226"/>
      <c r="R137" s="226" t="s">
        <v>84</v>
      </c>
      <c r="S137" s="406">
        <f>S132</f>
        <v>0.28867513459481292</v>
      </c>
      <c r="T137" s="406"/>
      <c r="U137" s="406"/>
      <c r="V137" s="406"/>
      <c r="W137" s="58" t="s">
        <v>263</v>
      </c>
      <c r="X137" s="226" t="s">
        <v>247</v>
      </c>
      <c r="Y137" s="398" t="e">
        <f ca="1">ABS(L137*S137)</f>
        <v>#N/A</v>
      </c>
      <c r="Z137" s="398"/>
      <c r="AA137" s="398"/>
      <c r="AB137" s="229" t="s">
        <v>136</v>
      </c>
      <c r="AC137" s="229"/>
      <c r="AD137" s="226"/>
      <c r="AE137" s="226"/>
      <c r="AF137" s="230"/>
      <c r="AG137" s="226"/>
      <c r="AH137" s="226"/>
      <c r="AI137" s="226"/>
      <c r="AJ137" s="226"/>
      <c r="AK137" s="226"/>
      <c r="AL137" s="226"/>
      <c r="AM137" s="226"/>
      <c r="AN137" s="226"/>
      <c r="AO137" s="226"/>
      <c r="AP137" s="153"/>
      <c r="AQ137" s="153"/>
      <c r="AR137" s="153"/>
      <c r="AS137" s="228"/>
      <c r="AT137" s="228"/>
      <c r="AU137" s="228"/>
      <c r="AV137" s="154"/>
      <c r="AW137" s="154"/>
      <c r="AX137" s="154"/>
      <c r="AY137" s="154"/>
      <c r="AZ137" s="154"/>
      <c r="BA137" s="154"/>
      <c r="BB137" s="226"/>
      <c r="BC137" s="226"/>
      <c r="BD137" s="226"/>
      <c r="BE137" s="226"/>
      <c r="BF137" s="226"/>
      <c r="BG137" s="226"/>
    </row>
    <row r="138" spans="2:68" s="147" customFormat="1" ht="18.75" customHeight="1">
      <c r="B138" s="226"/>
      <c r="C138" s="400" t="s">
        <v>281</v>
      </c>
      <c r="D138" s="400"/>
      <c r="E138" s="400"/>
      <c r="F138" s="400"/>
      <c r="G138" s="400"/>
      <c r="H138" s="228"/>
      <c r="J138" s="228"/>
      <c r="K138" s="228"/>
      <c r="L138" s="228"/>
      <c r="M138" s="228"/>
      <c r="N138" s="228"/>
      <c r="O138" s="228"/>
      <c r="P138" s="228"/>
      <c r="Q138" s="228"/>
      <c r="R138" s="150"/>
      <c r="S138" s="228"/>
      <c r="T138" s="228"/>
      <c r="U138" s="228"/>
      <c r="V138" s="58" t="s">
        <v>385</v>
      </c>
      <c r="W138" s="228"/>
      <c r="X138" s="228"/>
      <c r="Y138" s="228"/>
      <c r="Z138" s="228"/>
      <c r="AA138" s="228"/>
      <c r="AB138" s="228"/>
      <c r="AC138" s="228"/>
      <c r="AD138" s="228"/>
      <c r="AE138" s="226"/>
      <c r="AF138" s="226"/>
      <c r="AG138" s="226"/>
      <c r="AH138" s="226"/>
      <c r="AI138" s="226"/>
      <c r="AJ138" s="226"/>
      <c r="AK138" s="226"/>
      <c r="AL138" s="226"/>
      <c r="AM138" s="226"/>
      <c r="AN138" s="226"/>
      <c r="AO138" s="226"/>
      <c r="AP138" s="226"/>
      <c r="AQ138" s="226"/>
      <c r="AR138" s="226"/>
      <c r="AS138" s="226"/>
      <c r="AT138" s="226"/>
      <c r="AU138" s="228"/>
      <c r="AV138" s="226"/>
      <c r="AW138" s="226"/>
      <c r="AX138" s="226"/>
      <c r="AY138" s="226"/>
      <c r="AZ138" s="226"/>
      <c r="BA138" s="226"/>
      <c r="BB138" s="226"/>
      <c r="BC138" s="226"/>
      <c r="BD138" s="226"/>
      <c r="BE138" s="226"/>
      <c r="BF138" s="226"/>
      <c r="BG138" s="226"/>
    </row>
    <row r="139" spans="2:68" s="147" customFormat="1" ht="18.75" customHeight="1">
      <c r="B139" s="226"/>
      <c r="C139" s="400"/>
      <c r="D139" s="400"/>
      <c r="E139" s="400"/>
      <c r="F139" s="400"/>
      <c r="G139" s="400"/>
      <c r="H139" s="228"/>
      <c r="I139" s="228"/>
      <c r="J139" s="228"/>
      <c r="K139" s="228"/>
      <c r="L139" s="228"/>
      <c r="M139" s="228"/>
      <c r="N139" s="228"/>
      <c r="O139" s="228"/>
      <c r="P139" s="228"/>
      <c r="Q139" s="228"/>
      <c r="R139" s="150"/>
      <c r="S139" s="228"/>
      <c r="T139" s="228"/>
      <c r="U139" s="228"/>
      <c r="V139" s="228"/>
      <c r="W139" s="228"/>
      <c r="X139" s="228"/>
      <c r="Y139" s="228"/>
      <c r="Z139" s="228"/>
      <c r="AA139" s="228"/>
      <c r="AB139" s="228"/>
      <c r="AC139" s="226"/>
      <c r="AD139" s="226"/>
      <c r="AE139" s="226"/>
      <c r="AF139" s="226"/>
      <c r="AG139" s="226"/>
      <c r="AH139" s="226"/>
      <c r="AI139" s="226"/>
      <c r="AJ139" s="226"/>
      <c r="AK139" s="226"/>
      <c r="AL139" s="226"/>
      <c r="AM139" s="226"/>
      <c r="AN139" s="226"/>
      <c r="AO139" s="226"/>
      <c r="AP139" s="226"/>
      <c r="AQ139" s="226"/>
      <c r="AR139" s="226"/>
      <c r="AS139" s="226"/>
      <c r="AT139" s="226"/>
      <c r="AU139" s="226"/>
      <c r="AV139" s="226"/>
      <c r="AW139" s="226"/>
      <c r="AX139" s="226"/>
      <c r="AY139" s="226"/>
      <c r="AZ139" s="226"/>
      <c r="BA139" s="226"/>
      <c r="BB139" s="226"/>
      <c r="BC139" s="226"/>
      <c r="BD139" s="226"/>
      <c r="BE139" s="226"/>
      <c r="BF139" s="226"/>
      <c r="BG139" s="226"/>
    </row>
    <row r="140" spans="2:68" s="147" customFormat="1" ht="18.75" customHeight="1">
      <c r="B140" s="226"/>
      <c r="C140" s="228"/>
      <c r="D140" s="228"/>
      <c r="E140" s="228"/>
      <c r="F140" s="228"/>
      <c r="G140" s="226"/>
      <c r="H140" s="228"/>
      <c r="I140" s="228"/>
      <c r="J140" s="228"/>
      <c r="K140" s="228"/>
      <c r="L140" s="228"/>
      <c r="M140" s="228"/>
      <c r="N140" s="228"/>
      <c r="O140" s="228"/>
      <c r="P140" s="228"/>
      <c r="Q140" s="228"/>
      <c r="R140" s="228"/>
      <c r="S140" s="228"/>
      <c r="T140" s="228"/>
      <c r="U140" s="228"/>
      <c r="V140" s="228"/>
      <c r="W140" s="228"/>
      <c r="X140" s="228"/>
      <c r="Y140" s="228"/>
      <c r="Z140" s="228"/>
      <c r="AA140" s="226"/>
      <c r="AB140" s="226"/>
      <c r="AC140" s="226"/>
      <c r="AD140" s="226"/>
      <c r="AE140" s="226"/>
      <c r="AF140" s="226"/>
      <c r="AG140" s="226"/>
      <c r="AH140" s="226"/>
      <c r="AI140" s="226"/>
      <c r="AJ140" s="226"/>
      <c r="AK140" s="226"/>
      <c r="AL140" s="226"/>
      <c r="AM140" s="226"/>
      <c r="AN140" s="226"/>
      <c r="AO140" s="226"/>
      <c r="AP140" s="226"/>
      <c r="AQ140" s="226"/>
      <c r="AR140" s="226"/>
      <c r="AS140" s="226"/>
      <c r="AT140" s="226"/>
      <c r="AU140" s="226"/>
      <c r="AV140" s="226"/>
      <c r="AW140" s="226"/>
      <c r="AX140" s="226"/>
      <c r="AY140" s="226"/>
      <c r="AZ140" s="226"/>
      <c r="BA140" s="226"/>
      <c r="BB140" s="226"/>
      <c r="BC140" s="226"/>
      <c r="BD140" s="226"/>
      <c r="BE140" s="226"/>
      <c r="BF140" s="226"/>
      <c r="BG140" s="226"/>
    </row>
    <row r="141" spans="2:68" s="147" customFormat="1" ht="18.75" customHeight="1">
      <c r="B141" s="59" t="s">
        <v>409</v>
      </c>
      <c r="D141" s="228"/>
      <c r="E141" s="228"/>
      <c r="F141" s="228"/>
      <c r="G141" s="228"/>
      <c r="H141" s="228"/>
      <c r="I141" s="228"/>
      <c r="J141" s="228"/>
      <c r="K141" s="228"/>
      <c r="L141" s="228"/>
      <c r="M141" s="228"/>
      <c r="N141" s="228"/>
      <c r="O141" s="228"/>
      <c r="P141" s="228"/>
      <c r="Q141" s="228"/>
      <c r="R141" s="228"/>
      <c r="S141" s="228"/>
      <c r="T141" s="228"/>
      <c r="U141" s="228"/>
      <c r="V141" s="228"/>
      <c r="W141" s="228"/>
      <c r="X141" s="228"/>
      <c r="Y141" s="228"/>
      <c r="Z141" s="228"/>
      <c r="AA141" s="228"/>
      <c r="AB141" s="228"/>
      <c r="AC141" s="228"/>
      <c r="AD141" s="228"/>
      <c r="AE141" s="228"/>
      <c r="AF141" s="228"/>
      <c r="AG141" s="228"/>
      <c r="AH141" s="228"/>
      <c r="AI141" s="228"/>
      <c r="AJ141" s="228"/>
      <c r="AK141" s="228"/>
      <c r="AL141" s="228"/>
      <c r="AM141" s="228"/>
      <c r="AN141" s="228"/>
      <c r="AO141" s="228"/>
      <c r="AP141" s="228"/>
      <c r="AQ141" s="228"/>
      <c r="AR141" s="228"/>
      <c r="AS141" s="228"/>
      <c r="AT141" s="228"/>
      <c r="AU141" s="228"/>
      <c r="AV141" s="228"/>
      <c r="AW141" s="228"/>
      <c r="AX141" s="228"/>
      <c r="AY141" s="228"/>
      <c r="AZ141" s="228"/>
      <c r="BA141" s="228"/>
      <c r="BB141" s="226"/>
      <c r="BC141" s="226"/>
      <c r="BD141" s="226"/>
      <c r="BE141" s="226"/>
      <c r="BF141" s="226"/>
      <c r="BG141" s="226"/>
    </row>
    <row r="142" spans="2:68" s="147" customFormat="1" ht="18.75" customHeight="1">
      <c r="B142" s="59"/>
      <c r="C142" s="228" t="s">
        <v>386</v>
      </c>
      <c r="D142" s="228"/>
      <c r="E142" s="228"/>
      <c r="F142" s="228"/>
      <c r="G142" s="228"/>
      <c r="H142" s="228"/>
      <c r="I142" s="228"/>
      <c r="J142" s="228"/>
      <c r="K142" s="228"/>
      <c r="L142" s="228"/>
      <c r="M142" s="228"/>
      <c r="N142" s="228"/>
      <c r="O142" s="228"/>
      <c r="P142" s="228"/>
      <c r="Q142" s="228"/>
      <c r="R142" s="228"/>
      <c r="S142" s="226"/>
      <c r="T142" s="228"/>
      <c r="U142" s="228"/>
      <c r="V142" s="228"/>
      <c r="W142" s="228"/>
      <c r="X142" s="228"/>
      <c r="Y142" s="228"/>
      <c r="Z142" s="228"/>
      <c r="AA142" s="228"/>
      <c r="AB142" s="228"/>
      <c r="AC142" s="228"/>
      <c r="AD142" s="226"/>
      <c r="AE142" s="226"/>
      <c r="AF142" s="226"/>
      <c r="AG142" s="226"/>
      <c r="AH142" s="228"/>
      <c r="AI142" s="261"/>
      <c r="AJ142" s="261"/>
      <c r="AK142" s="261"/>
      <c r="AL142" s="261"/>
      <c r="AM142" s="261"/>
      <c r="AN142" s="261"/>
      <c r="AO142" s="261"/>
      <c r="AP142" s="261"/>
      <c r="AQ142" s="261"/>
      <c r="AR142" s="261"/>
      <c r="AS142" s="261"/>
      <c r="AT142" s="261"/>
      <c r="AU142" s="261"/>
      <c r="AV142" s="261"/>
      <c r="AW142" s="261"/>
      <c r="AX142" s="261"/>
      <c r="AY142" s="261"/>
      <c r="AZ142" s="261"/>
      <c r="BA142" s="261"/>
      <c r="BB142" s="260"/>
      <c r="BC142" s="260"/>
      <c r="BD142" s="260"/>
      <c r="BE142" s="260"/>
      <c r="BF142" s="260"/>
      <c r="BG142" s="260"/>
    </row>
    <row r="143" spans="2:68" s="147" customFormat="1" ht="18.75" customHeight="1">
      <c r="B143" s="226"/>
      <c r="C143" s="229" t="s">
        <v>282</v>
      </c>
      <c r="D143" s="226"/>
      <c r="E143" s="226"/>
      <c r="F143" s="226"/>
      <c r="G143" s="226"/>
      <c r="H143" s="399" t="e">
        <f ca="1">I50*10^6</f>
        <v>#N/A</v>
      </c>
      <c r="I143" s="399"/>
      <c r="J143" s="399"/>
      <c r="K143" s="234" t="s">
        <v>254</v>
      </c>
      <c r="L143" s="234"/>
      <c r="M143" s="234"/>
      <c r="N143" s="234"/>
      <c r="O143" s="234"/>
      <c r="P143" s="234"/>
      <c r="Q143" s="228"/>
      <c r="R143" s="228"/>
      <c r="S143" s="228"/>
      <c r="T143" s="228"/>
      <c r="U143" s="228"/>
      <c r="V143" s="228"/>
      <c r="W143" s="228"/>
      <c r="X143" s="228"/>
      <c r="Y143" s="228"/>
      <c r="Z143" s="228"/>
      <c r="AA143" s="228"/>
      <c r="AB143" s="228"/>
      <c r="AC143" s="228"/>
      <c r="AD143" s="228"/>
      <c r="AE143" s="228"/>
      <c r="AF143" s="228"/>
      <c r="AG143" s="228"/>
      <c r="AH143" s="228"/>
      <c r="AI143" s="228"/>
      <c r="AJ143" s="228"/>
      <c r="AK143" s="228"/>
      <c r="AL143" s="228"/>
      <c r="AM143" s="228"/>
      <c r="AN143" s="228"/>
      <c r="AO143" s="228"/>
      <c r="AP143" s="228"/>
      <c r="AQ143" s="228"/>
      <c r="AR143" s="228"/>
      <c r="AS143" s="228"/>
      <c r="AT143" s="226"/>
      <c r="AU143" s="226"/>
      <c r="AV143" s="226"/>
      <c r="AW143" s="226"/>
      <c r="AX143" s="226"/>
      <c r="AY143" s="226"/>
      <c r="AZ143" s="226"/>
      <c r="BA143" s="226"/>
      <c r="BB143" s="226"/>
      <c r="BC143" s="226"/>
      <c r="BD143" s="226"/>
      <c r="BE143" s="226"/>
      <c r="BF143" s="226"/>
      <c r="BG143" s="226"/>
    </row>
    <row r="144" spans="2:68" s="147" customFormat="1" ht="18.75" customHeight="1">
      <c r="B144" s="226"/>
      <c r="C144" s="228" t="s">
        <v>283</v>
      </c>
      <c r="D144" s="228"/>
      <c r="E144" s="228"/>
      <c r="F144" s="228"/>
      <c r="G144" s="228"/>
      <c r="H144" s="228"/>
      <c r="I144" s="226"/>
      <c r="J144" s="228" t="s">
        <v>266</v>
      </c>
      <c r="K144" s="228"/>
      <c r="L144" s="228"/>
      <c r="M144" s="228"/>
      <c r="N144" s="228"/>
      <c r="O144" s="228"/>
      <c r="P144" s="228"/>
      <c r="Q144" s="228"/>
      <c r="R144" s="228"/>
      <c r="S144" s="228"/>
      <c r="T144" s="228"/>
      <c r="U144" s="226"/>
      <c r="V144" s="226"/>
      <c r="W144" s="61"/>
      <c r="X144" s="228"/>
      <c r="Y144" s="228"/>
      <c r="Z144" s="228"/>
      <c r="AA144" s="228"/>
      <c r="AB144" s="228"/>
      <c r="AC144" s="228"/>
      <c r="AD144" s="228"/>
      <c r="AE144" s="228"/>
      <c r="AF144" s="228"/>
      <c r="AG144" s="228"/>
      <c r="AH144" s="228"/>
      <c r="AI144" s="228"/>
      <c r="AJ144" s="228"/>
      <c r="AK144" s="228"/>
      <c r="AL144" s="226"/>
      <c r="AM144" s="226"/>
      <c r="AN144" s="226"/>
      <c r="AO144" s="228"/>
      <c r="AP144" s="228"/>
      <c r="AQ144" s="228"/>
      <c r="AR144" s="228"/>
      <c r="AS144" s="228"/>
      <c r="AT144" s="228"/>
      <c r="AU144" s="228"/>
      <c r="AV144" s="228"/>
      <c r="AW144" s="228"/>
      <c r="AX144" s="228"/>
      <c r="AY144" s="228"/>
      <c r="AZ144" s="228"/>
      <c r="BA144" s="228"/>
      <c r="BB144" s="228"/>
      <c r="BC144" s="228"/>
      <c r="BD144" s="228"/>
      <c r="BE144" s="228"/>
      <c r="BF144" s="228"/>
      <c r="BG144" s="228"/>
      <c r="BH144" s="60"/>
      <c r="BI144" s="60"/>
      <c r="BJ144" s="60"/>
      <c r="BK144" s="60"/>
      <c r="BL144" s="60"/>
      <c r="BM144" s="60"/>
    </row>
    <row r="145" spans="2:76" s="147" customFormat="1" ht="18.75" customHeight="1">
      <c r="B145" s="226"/>
      <c r="C145" s="228"/>
      <c r="D145" s="228"/>
      <c r="E145" s="228"/>
      <c r="F145" s="228"/>
      <c r="G145" s="228"/>
      <c r="H145" s="228"/>
      <c r="I145" s="226"/>
      <c r="J145" s="228" t="s">
        <v>267</v>
      </c>
      <c r="K145" s="228"/>
      <c r="L145" s="228"/>
      <c r="M145" s="228"/>
      <c r="N145" s="228"/>
      <c r="O145" s="228"/>
      <c r="P145" s="228"/>
      <c r="Q145" s="228"/>
      <c r="R145" s="228"/>
      <c r="S145" s="228"/>
      <c r="T145" s="226"/>
      <c r="U145" s="228"/>
      <c r="V145" s="61"/>
      <c r="W145" s="228"/>
      <c r="X145" s="228"/>
      <c r="Y145" s="228"/>
      <c r="Z145" s="228"/>
      <c r="AA145" s="228"/>
      <c r="AB145" s="228"/>
      <c r="AC145" s="228"/>
      <c r="AD145" s="226"/>
      <c r="AE145" s="228"/>
      <c r="AF145" s="228"/>
      <c r="AG145" s="228"/>
      <c r="AH145" s="228"/>
      <c r="AI145" s="228"/>
      <c r="AJ145" s="228"/>
      <c r="AK145" s="226"/>
      <c r="AL145" s="226"/>
      <c r="AM145" s="226"/>
      <c r="AN145" s="226"/>
      <c r="AO145" s="228"/>
      <c r="AP145" s="228"/>
      <c r="AQ145" s="228"/>
      <c r="AR145" s="228"/>
      <c r="AS145" s="228"/>
      <c r="AT145" s="228"/>
      <c r="AU145" s="228"/>
      <c r="AV145" s="228"/>
      <c r="AW145" s="228"/>
      <c r="AX145" s="228"/>
      <c r="AY145" s="228"/>
      <c r="AZ145" s="228"/>
      <c r="BA145" s="228"/>
      <c r="BB145" s="228"/>
      <c r="BC145" s="228"/>
      <c r="BD145" s="228"/>
      <c r="BE145" s="228"/>
      <c r="BF145" s="228"/>
      <c r="BG145" s="228"/>
      <c r="BH145" s="60"/>
      <c r="BI145" s="60"/>
      <c r="BJ145" s="60"/>
      <c r="BK145" s="60"/>
      <c r="BL145" s="60"/>
      <c r="BM145" s="60"/>
      <c r="BN145" s="60"/>
    </row>
    <row r="146" spans="2:76" s="147" customFormat="1" ht="18.75" customHeight="1">
      <c r="B146" s="226"/>
      <c r="C146" s="228"/>
      <c r="D146" s="228"/>
      <c r="E146" s="228"/>
      <c r="F146" s="228"/>
      <c r="G146" s="228"/>
      <c r="H146" s="228"/>
      <c r="I146" s="261"/>
      <c r="J146" s="226"/>
      <c r="K146" s="229" t="s">
        <v>260</v>
      </c>
      <c r="L146" s="229"/>
      <c r="M146" s="229"/>
      <c r="N146" s="229"/>
      <c r="O146" s="229"/>
      <c r="P146" s="229"/>
      <c r="Q146" s="229"/>
      <c r="R146" s="229"/>
      <c r="S146" s="229"/>
      <c r="T146" s="228"/>
      <c r="U146" s="228"/>
      <c r="V146" s="228"/>
      <c r="W146" s="228"/>
      <c r="X146" s="228"/>
      <c r="Y146" s="228"/>
      <c r="Z146" s="228"/>
      <c r="AA146" s="228"/>
      <c r="AB146" s="228"/>
      <c r="AC146" s="228"/>
      <c r="AD146" s="228"/>
      <c r="AE146" s="228"/>
      <c r="AF146" s="228"/>
      <c r="AG146" s="149"/>
      <c r="AH146" s="228"/>
      <c r="AI146" s="228"/>
      <c r="AJ146" s="228"/>
      <c r="AK146" s="228"/>
      <c r="AL146" s="226"/>
      <c r="AM146" s="226"/>
      <c r="AN146" s="226"/>
      <c r="AO146" s="226"/>
      <c r="AP146" s="228"/>
      <c r="AQ146" s="228"/>
      <c r="AR146" s="228"/>
      <c r="AS146" s="228"/>
      <c r="AT146" s="228"/>
      <c r="AU146" s="228"/>
      <c r="AV146" s="228"/>
      <c r="AW146" s="228"/>
      <c r="AX146" s="228"/>
      <c r="AY146" s="228"/>
      <c r="AZ146" s="228"/>
      <c r="BA146" s="228"/>
      <c r="BB146" s="228"/>
      <c r="BC146" s="228"/>
      <c r="BD146" s="228"/>
      <c r="BE146" s="228"/>
      <c r="BF146" s="228"/>
      <c r="BG146" s="228"/>
      <c r="BH146" s="228"/>
      <c r="BI146" s="60"/>
      <c r="BJ146" s="60"/>
      <c r="BK146" s="60"/>
      <c r="BL146" s="60"/>
      <c r="BM146" s="60"/>
      <c r="BN146" s="60"/>
      <c r="BO146" s="60"/>
    </row>
    <row r="147" spans="2:76" s="147" customFormat="1" ht="18.75" customHeight="1">
      <c r="B147" s="226"/>
      <c r="C147" s="228"/>
      <c r="D147" s="228"/>
      <c r="E147" s="228"/>
      <c r="F147" s="228"/>
      <c r="G147" s="228"/>
      <c r="H147" s="228"/>
      <c r="I147" s="261"/>
      <c r="J147" s="226"/>
      <c r="K147" s="226"/>
      <c r="L147" s="115"/>
      <c r="M147" s="115"/>
      <c r="N147" s="226"/>
      <c r="O147" s="226"/>
      <c r="P147" s="226"/>
      <c r="Q147" s="226"/>
      <c r="R147" s="226"/>
      <c r="S147" s="226"/>
      <c r="T147" s="401"/>
      <c r="U147" s="401"/>
      <c r="V147" s="401"/>
      <c r="W147" s="401"/>
      <c r="X147" s="401"/>
      <c r="Y147" s="401"/>
      <c r="Z147" s="226"/>
      <c r="AA147" s="228"/>
      <c r="AB147" s="149"/>
      <c r="AC147" s="149"/>
      <c r="AD147" s="149"/>
      <c r="AE147" s="149"/>
      <c r="AF147" s="149"/>
      <c r="AG147" s="226"/>
      <c r="AH147" s="149"/>
      <c r="AI147" s="149"/>
      <c r="AJ147" s="149"/>
      <c r="AK147" s="149"/>
      <c r="AL147" s="226"/>
      <c r="AM147" s="150"/>
      <c r="AN147" s="150"/>
      <c r="AO147" s="150"/>
      <c r="AP147" s="150"/>
      <c r="AQ147" s="228"/>
      <c r="AR147" s="228"/>
      <c r="AS147" s="228"/>
      <c r="AT147" s="228"/>
      <c r="AU147" s="228"/>
      <c r="AV147" s="228"/>
      <c r="AW147" s="228"/>
      <c r="AX147" s="228"/>
      <c r="AY147" s="228"/>
      <c r="AZ147" s="228"/>
      <c r="BA147" s="228"/>
      <c r="BB147" s="228"/>
      <c r="BC147" s="228"/>
      <c r="BD147" s="228"/>
      <c r="BE147" s="228"/>
      <c r="BF147" s="228"/>
      <c r="BG147" s="228"/>
      <c r="BH147" s="228"/>
      <c r="BI147" s="60"/>
      <c r="BJ147" s="60"/>
      <c r="BK147" s="60"/>
      <c r="BL147" s="60"/>
      <c r="BM147" s="60"/>
    </row>
    <row r="148" spans="2:76" s="147" customFormat="1" ht="18.75" customHeight="1">
      <c r="B148" s="226"/>
      <c r="C148" s="228" t="s">
        <v>284</v>
      </c>
      <c r="D148" s="228"/>
      <c r="E148" s="228"/>
      <c r="F148" s="228"/>
      <c r="G148" s="228"/>
      <c r="H148" s="228"/>
      <c r="I148" s="401" t="str">
        <f>W50</f>
        <v>삼각형</v>
      </c>
      <c r="J148" s="401"/>
      <c r="K148" s="401"/>
      <c r="L148" s="401"/>
      <c r="M148" s="401"/>
      <c r="N148" s="401"/>
      <c r="O148" s="401"/>
      <c r="P148" s="401"/>
      <c r="Q148" s="228"/>
      <c r="R148" s="228"/>
      <c r="S148" s="228"/>
      <c r="T148" s="228"/>
      <c r="U148" s="228"/>
      <c r="V148" s="228"/>
      <c r="W148" s="228"/>
      <c r="X148" s="228"/>
      <c r="Y148" s="228"/>
      <c r="Z148" s="228"/>
      <c r="AA148" s="226"/>
      <c r="AB148" s="226"/>
      <c r="AC148" s="226"/>
      <c r="AD148" s="226"/>
      <c r="AE148" s="226"/>
      <c r="AF148" s="116"/>
      <c r="AG148" s="226"/>
      <c r="AH148" s="226"/>
      <c r="AI148" s="228"/>
      <c r="AJ148" s="228"/>
      <c r="AK148" s="228"/>
      <c r="AL148" s="228"/>
      <c r="AM148" s="228"/>
      <c r="AN148" s="228"/>
      <c r="AO148" s="228"/>
      <c r="AP148" s="228"/>
      <c r="AQ148" s="228"/>
      <c r="AR148" s="228"/>
      <c r="AS148" s="228"/>
      <c r="AT148" s="228"/>
      <c r="AU148" s="228"/>
      <c r="AV148" s="228"/>
      <c r="AW148" s="228"/>
      <c r="AX148" s="228"/>
      <c r="AY148" s="228"/>
      <c r="AZ148" s="228"/>
      <c r="BA148" s="228"/>
      <c r="BB148" s="228"/>
      <c r="BC148" s="228"/>
      <c r="BD148" s="228"/>
      <c r="BE148" s="228"/>
      <c r="BF148" s="228"/>
      <c r="BG148" s="228"/>
      <c r="BH148" s="60"/>
      <c r="BI148" s="60"/>
      <c r="BJ148" s="60"/>
      <c r="BK148" s="60"/>
      <c r="BL148" s="60"/>
      <c r="BM148" s="60"/>
      <c r="BN148" s="60"/>
    </row>
    <row r="149" spans="2:76" s="147" customFormat="1" ht="18.75" customHeight="1">
      <c r="B149" s="226"/>
      <c r="C149" s="400" t="s">
        <v>285</v>
      </c>
      <c r="D149" s="400"/>
      <c r="E149" s="400"/>
      <c r="F149" s="400"/>
      <c r="G149" s="400"/>
      <c r="H149" s="400"/>
      <c r="I149" s="228"/>
      <c r="J149" s="226"/>
      <c r="K149" s="228"/>
      <c r="L149" s="228"/>
      <c r="M149" s="228"/>
      <c r="N149" s="228"/>
      <c r="O149" s="228"/>
      <c r="P149" s="228"/>
      <c r="Q149" s="397" t="e">
        <f>-Calcu!M29</f>
        <v>#VALUE!</v>
      </c>
      <c r="R149" s="397"/>
      <c r="S149" s="400" t="s">
        <v>262</v>
      </c>
      <c r="T149" s="400"/>
      <c r="U149" s="404">
        <f>Calcu!N29</f>
        <v>0</v>
      </c>
      <c r="V149" s="404"/>
      <c r="W149" s="404"/>
      <c r="X149" s="400" t="s">
        <v>136</v>
      </c>
      <c r="Y149" s="400"/>
      <c r="Z149" s="405" t="s">
        <v>247</v>
      </c>
      <c r="AA149" s="403" t="e">
        <f>Q149*U149</f>
        <v>#VALUE!</v>
      </c>
      <c r="AB149" s="403"/>
      <c r="AC149" s="403"/>
      <c r="AD149" s="403"/>
      <c r="AE149" s="400" t="s">
        <v>139</v>
      </c>
      <c r="AF149" s="400"/>
      <c r="AG149" s="400"/>
      <c r="AH149" s="400"/>
      <c r="AI149" s="400"/>
      <c r="AJ149" s="400"/>
      <c r="AK149" s="400"/>
      <c r="AL149" s="228"/>
      <c r="AM149" s="226"/>
      <c r="AN149" s="226"/>
      <c r="AO149" s="226"/>
      <c r="AP149" s="226"/>
      <c r="AQ149" s="226"/>
      <c r="AR149" s="226"/>
      <c r="AS149" s="226"/>
      <c r="AT149" s="226"/>
      <c r="AU149" s="226"/>
      <c r="AV149" s="226"/>
      <c r="AW149" s="226"/>
      <c r="AX149" s="226"/>
      <c r="AY149" s="226"/>
      <c r="AZ149" s="226"/>
      <c r="BA149" s="228"/>
      <c r="BB149" s="228"/>
      <c r="BC149" s="228"/>
      <c r="BD149" s="228"/>
      <c r="BE149" s="228"/>
      <c r="BF149" s="228"/>
      <c r="BG149" s="228"/>
      <c r="BH149" s="60"/>
      <c r="BI149" s="60"/>
      <c r="BJ149" s="60"/>
      <c r="BK149" s="60"/>
      <c r="BL149" s="60"/>
      <c r="BM149" s="60"/>
      <c r="BN149" s="60"/>
    </row>
    <row r="150" spans="2:76" s="147" customFormat="1" ht="18.75" customHeight="1">
      <c r="B150" s="226"/>
      <c r="C150" s="400"/>
      <c r="D150" s="400"/>
      <c r="E150" s="400"/>
      <c r="F150" s="400"/>
      <c r="G150" s="400"/>
      <c r="H150" s="400"/>
      <c r="I150" s="228"/>
      <c r="J150" s="228"/>
      <c r="K150" s="228"/>
      <c r="L150" s="228"/>
      <c r="M150" s="228"/>
      <c r="N150" s="228"/>
      <c r="O150" s="228"/>
      <c r="P150" s="226"/>
      <c r="Q150" s="397"/>
      <c r="R150" s="397"/>
      <c r="S150" s="400"/>
      <c r="T150" s="400"/>
      <c r="U150" s="404"/>
      <c r="V150" s="404"/>
      <c r="W150" s="404"/>
      <c r="X150" s="400"/>
      <c r="Y150" s="400"/>
      <c r="Z150" s="405"/>
      <c r="AA150" s="403"/>
      <c r="AB150" s="403"/>
      <c r="AC150" s="403"/>
      <c r="AD150" s="403"/>
      <c r="AE150" s="400"/>
      <c r="AF150" s="400"/>
      <c r="AG150" s="400"/>
      <c r="AH150" s="400"/>
      <c r="AI150" s="400"/>
      <c r="AJ150" s="400"/>
      <c r="AK150" s="400"/>
      <c r="AL150" s="228"/>
      <c r="AM150" s="226"/>
      <c r="AN150" s="226"/>
      <c r="AO150" s="226"/>
      <c r="AP150" s="226"/>
      <c r="AQ150" s="226"/>
      <c r="AR150" s="226"/>
      <c r="AS150" s="226"/>
      <c r="AT150" s="226"/>
      <c r="AU150" s="226"/>
      <c r="AV150" s="226"/>
      <c r="AW150" s="226"/>
      <c r="AX150" s="226"/>
      <c r="AY150" s="226"/>
      <c r="AZ150" s="226"/>
      <c r="BA150" s="228"/>
      <c r="BB150" s="228"/>
      <c r="BC150" s="228"/>
      <c r="BD150" s="228"/>
      <c r="BE150" s="228"/>
      <c r="BF150" s="228"/>
      <c r="BG150" s="228"/>
      <c r="BH150" s="60"/>
      <c r="BI150" s="60"/>
      <c r="BJ150" s="60"/>
    </row>
    <row r="151" spans="2:76" s="147" customFormat="1" ht="18.75" customHeight="1">
      <c r="B151" s="226"/>
      <c r="C151" s="228" t="s">
        <v>286</v>
      </c>
      <c r="D151" s="228"/>
      <c r="E151" s="228"/>
      <c r="F151" s="228"/>
      <c r="G151" s="228"/>
      <c r="H151" s="228"/>
      <c r="I151" s="228"/>
      <c r="J151" s="226"/>
      <c r="K151" s="58" t="s">
        <v>263</v>
      </c>
      <c r="L151" s="403" t="e">
        <f>AA149</f>
        <v>#VALUE!</v>
      </c>
      <c r="M151" s="403"/>
      <c r="N151" s="403"/>
      <c r="O151" s="403"/>
      <c r="P151" s="150" t="s">
        <v>269</v>
      </c>
      <c r="Q151" s="226"/>
      <c r="R151" s="226"/>
      <c r="S151" s="226"/>
      <c r="T151" s="226"/>
      <c r="U151" s="226"/>
      <c r="V151" s="226"/>
      <c r="W151" s="226"/>
      <c r="X151" s="226"/>
      <c r="Y151" s="58" t="s">
        <v>263</v>
      </c>
      <c r="Z151" s="226" t="s">
        <v>247</v>
      </c>
      <c r="AA151" s="398" t="e">
        <f>ABS(L151*P50)</f>
        <v>#VALUE!</v>
      </c>
      <c r="AB151" s="398"/>
      <c r="AC151" s="398"/>
      <c r="AD151" s="229" t="s">
        <v>136</v>
      </c>
      <c r="AE151" s="229"/>
      <c r="AF151" s="226"/>
      <c r="AG151" s="226"/>
      <c r="AH151" s="226"/>
      <c r="AI151" s="226"/>
      <c r="AJ151" s="226"/>
      <c r="AK151" s="226"/>
      <c r="AL151" s="226"/>
      <c r="AM151" s="226"/>
      <c r="AN151" s="226"/>
      <c r="AO151" s="226"/>
      <c r="AP151" s="226"/>
      <c r="AQ151" s="226"/>
      <c r="AR151" s="226"/>
      <c r="AS151" s="150"/>
      <c r="AT151" s="228"/>
      <c r="AU151" s="228"/>
      <c r="AV151" s="228"/>
      <c r="AW151" s="151"/>
      <c r="AX151" s="150"/>
      <c r="AY151" s="228"/>
      <c r="AZ151" s="228"/>
      <c r="BA151" s="228"/>
      <c r="BB151" s="228"/>
      <c r="BC151" s="228"/>
      <c r="BD151" s="228"/>
      <c r="BE151" s="226"/>
      <c r="BF151" s="228"/>
      <c r="BG151" s="228"/>
      <c r="BH151" s="60"/>
      <c r="BI151" s="60"/>
      <c r="BJ151" s="60"/>
    </row>
    <row r="152" spans="2:76" s="147" customFormat="1" ht="18.75" customHeight="1">
      <c r="B152" s="226"/>
      <c r="C152" s="228" t="s">
        <v>287</v>
      </c>
      <c r="D152" s="228"/>
      <c r="E152" s="228"/>
      <c r="F152" s="228"/>
      <c r="G152" s="228"/>
      <c r="H152" s="228" t="s">
        <v>383</v>
      </c>
      <c r="I152" s="228"/>
      <c r="J152" s="228"/>
      <c r="K152" s="228"/>
      <c r="L152" s="228"/>
      <c r="M152" s="228"/>
      <c r="N152" s="228"/>
      <c r="O152" s="228"/>
      <c r="P152" s="228"/>
      <c r="Q152" s="228"/>
      <c r="R152" s="150"/>
      <c r="S152" s="228"/>
      <c r="T152" s="228"/>
      <c r="U152" s="228"/>
      <c r="V152" s="58"/>
      <c r="W152" s="228"/>
      <c r="X152" s="228"/>
      <c r="Y152" s="228"/>
      <c r="Z152" s="228"/>
      <c r="AA152" s="228"/>
      <c r="AB152" s="228"/>
      <c r="AC152" s="228"/>
      <c r="AD152" s="228"/>
      <c r="AE152" s="226"/>
      <c r="AF152" s="226"/>
      <c r="AG152" s="226"/>
      <c r="AH152" s="226"/>
      <c r="AI152" s="226"/>
      <c r="AJ152" s="226"/>
      <c r="AK152" s="226"/>
      <c r="AL152" s="226"/>
      <c r="AM152" s="226"/>
      <c r="AN152" s="226"/>
      <c r="AO152" s="226"/>
      <c r="AP152" s="226"/>
      <c r="AQ152" s="226"/>
      <c r="AR152" s="226"/>
      <c r="AS152" s="226"/>
      <c r="AT152" s="226"/>
      <c r="AU152" s="226"/>
      <c r="AV152" s="226"/>
      <c r="AW152" s="226"/>
      <c r="AX152" s="226"/>
      <c r="AY152" s="226"/>
      <c r="AZ152" s="226"/>
      <c r="BA152" s="226"/>
      <c r="BB152" s="226"/>
      <c r="BC152" s="226"/>
      <c r="BD152" s="226"/>
      <c r="BE152" s="226"/>
      <c r="BF152" s="226"/>
      <c r="BG152" s="226"/>
      <c r="BO152" s="227"/>
      <c r="BP152" s="227"/>
      <c r="BQ152" s="227"/>
      <c r="BR152" s="227"/>
      <c r="BS152" s="227"/>
      <c r="BT152" s="227"/>
      <c r="BU152" s="227"/>
      <c r="BV152" s="152"/>
      <c r="BW152" s="152"/>
      <c r="BX152" s="152"/>
    </row>
    <row r="153" spans="2:76" s="147" customFormat="1" ht="18.75" customHeight="1">
      <c r="B153" s="226"/>
      <c r="C153" s="228"/>
      <c r="D153" s="228"/>
      <c r="E153" s="228"/>
      <c r="F153" s="228"/>
      <c r="G153" s="228"/>
      <c r="H153" s="115"/>
      <c r="I153" s="228"/>
      <c r="J153" s="228"/>
      <c r="K153" s="228"/>
      <c r="L153" s="228"/>
      <c r="M153" s="228"/>
      <c r="N153" s="228"/>
      <c r="O153" s="228"/>
      <c r="P153" s="228"/>
      <c r="Q153" s="228"/>
      <c r="R153" s="150"/>
      <c r="S153" s="228"/>
      <c r="T153" s="228"/>
      <c r="U153" s="228"/>
      <c r="V153" s="228"/>
      <c r="W153" s="228"/>
      <c r="X153" s="228"/>
      <c r="Y153" s="228"/>
      <c r="Z153" s="228"/>
      <c r="AA153" s="228"/>
      <c r="AB153" s="228"/>
      <c r="AC153" s="228"/>
      <c r="AD153" s="228"/>
      <c r="AE153" s="226"/>
      <c r="AF153" s="226"/>
      <c r="AG153" s="226"/>
      <c r="AH153" s="226"/>
      <c r="AI153" s="226"/>
      <c r="AJ153" s="226"/>
      <c r="AK153" s="226"/>
      <c r="AL153" s="226"/>
      <c r="AM153" s="226"/>
      <c r="AN153" s="226"/>
      <c r="AO153" s="226"/>
      <c r="AP153" s="226"/>
      <c r="AQ153" s="226"/>
      <c r="AR153" s="226"/>
      <c r="AS153" s="226"/>
      <c r="AT153" s="226"/>
      <c r="AU153" s="226"/>
      <c r="AV153" s="226"/>
      <c r="AW153" s="226"/>
      <c r="AX153" s="226"/>
      <c r="AY153" s="226"/>
      <c r="AZ153" s="226"/>
      <c r="BA153" s="226"/>
      <c r="BB153" s="226"/>
      <c r="BC153" s="226"/>
      <c r="BD153" s="226"/>
      <c r="BE153" s="226"/>
      <c r="BF153" s="226"/>
      <c r="BG153" s="226"/>
    </row>
    <row r="154" spans="2:76" s="147" customFormat="1" ht="18.75" customHeight="1">
      <c r="B154" s="226"/>
      <c r="C154" s="228"/>
      <c r="D154" s="228"/>
      <c r="E154" s="228"/>
      <c r="F154" s="228"/>
      <c r="G154" s="228"/>
      <c r="H154" s="115"/>
      <c r="I154" s="228"/>
      <c r="J154" s="228"/>
      <c r="K154" s="228"/>
      <c r="L154" s="228"/>
      <c r="M154" s="228"/>
      <c r="N154" s="228"/>
      <c r="O154" s="228"/>
      <c r="P154" s="228"/>
      <c r="Q154" s="228"/>
      <c r="R154" s="150"/>
      <c r="S154" s="228"/>
      <c r="T154" s="228"/>
      <c r="U154" s="228"/>
      <c r="V154" s="228"/>
      <c r="W154" s="228"/>
      <c r="X154" s="228"/>
      <c r="Y154" s="228"/>
      <c r="Z154" s="228"/>
      <c r="AA154" s="228"/>
      <c r="AB154" s="228"/>
      <c r="AC154" s="228"/>
      <c r="AD154" s="228"/>
      <c r="AE154" s="226"/>
      <c r="AF154" s="226"/>
      <c r="AG154" s="226"/>
      <c r="AH154" s="226"/>
      <c r="AI154" s="226"/>
      <c r="AJ154" s="226"/>
      <c r="AK154" s="226"/>
      <c r="AL154" s="226"/>
      <c r="AM154" s="226"/>
      <c r="AN154" s="226"/>
      <c r="AO154" s="226"/>
      <c r="AP154" s="226"/>
      <c r="AQ154" s="226"/>
      <c r="AR154" s="226"/>
      <c r="AS154" s="226"/>
      <c r="AT154" s="226"/>
      <c r="AU154" s="226"/>
      <c r="AV154" s="226"/>
      <c r="AW154" s="226"/>
      <c r="AX154" s="226"/>
      <c r="AY154" s="226"/>
      <c r="AZ154" s="226"/>
      <c r="BA154" s="226"/>
      <c r="BB154" s="226"/>
      <c r="BC154" s="226"/>
      <c r="BD154" s="226"/>
      <c r="BE154" s="226"/>
      <c r="BF154" s="226"/>
      <c r="BG154" s="226"/>
    </row>
    <row r="155" spans="2:76" s="147" customFormat="1" ht="18.75" customHeight="1">
      <c r="B155" s="226"/>
      <c r="C155" s="228"/>
      <c r="D155" s="228"/>
      <c r="E155" s="228"/>
      <c r="F155" s="228"/>
      <c r="G155" s="228"/>
      <c r="H155" s="115"/>
      <c r="I155" s="228"/>
      <c r="J155" s="228"/>
      <c r="K155" s="228"/>
      <c r="L155" s="228"/>
      <c r="M155" s="228"/>
      <c r="N155" s="228"/>
      <c r="O155" s="228"/>
      <c r="P155" s="228"/>
      <c r="Q155" s="228"/>
      <c r="R155" s="150"/>
      <c r="S155" s="228"/>
      <c r="T155" s="228"/>
      <c r="U155" s="228"/>
      <c r="V155" s="228"/>
      <c r="W155" s="228"/>
      <c r="X155" s="228"/>
      <c r="Y155" s="405">
        <f>AQ50</f>
        <v>100</v>
      </c>
      <c r="Z155" s="405"/>
      <c r="AA155" s="228"/>
      <c r="AB155" s="228"/>
      <c r="AC155" s="228"/>
      <c r="AD155" s="228"/>
      <c r="AE155" s="226"/>
      <c r="AF155" s="226"/>
      <c r="AG155" s="226"/>
      <c r="AH155" s="226"/>
      <c r="AI155" s="226"/>
      <c r="AJ155" s="226"/>
      <c r="AK155" s="226"/>
      <c r="AL155" s="226"/>
      <c r="AM155" s="226"/>
      <c r="AN155" s="226"/>
      <c r="AO155" s="226"/>
      <c r="AP155" s="226"/>
      <c r="AQ155" s="226"/>
      <c r="AR155" s="226"/>
      <c r="AS155" s="226"/>
      <c r="AT155" s="226"/>
      <c r="AU155" s="226"/>
      <c r="AV155" s="226"/>
      <c r="AW155" s="226"/>
      <c r="AX155" s="226"/>
      <c r="AY155" s="226"/>
      <c r="AZ155" s="226"/>
      <c r="BA155" s="226"/>
      <c r="BB155" s="226"/>
      <c r="BC155" s="226"/>
      <c r="BD155" s="226"/>
      <c r="BE155" s="226"/>
      <c r="BF155" s="226"/>
      <c r="BG155" s="226"/>
    </row>
    <row r="156" spans="2:76" s="147" customFormat="1" ht="18.75" customHeight="1">
      <c r="B156" s="226"/>
      <c r="C156" s="228"/>
      <c r="D156" s="228"/>
      <c r="E156" s="228"/>
      <c r="F156" s="228"/>
      <c r="G156" s="228"/>
      <c r="H156" s="115"/>
      <c r="I156" s="228"/>
      <c r="J156" s="228"/>
      <c r="K156" s="228"/>
      <c r="L156" s="228"/>
      <c r="M156" s="228"/>
      <c r="N156" s="228"/>
      <c r="O156" s="228"/>
      <c r="P156" s="228"/>
      <c r="Q156" s="228"/>
      <c r="R156" s="150"/>
      <c r="S156" s="228"/>
      <c r="T156" s="228"/>
      <c r="U156" s="228"/>
      <c r="V156" s="228"/>
      <c r="W156" s="228"/>
      <c r="X156" s="228"/>
      <c r="Y156" s="405"/>
      <c r="Z156" s="405"/>
      <c r="AA156" s="228"/>
      <c r="AB156" s="228"/>
      <c r="AC156" s="228"/>
      <c r="AD156" s="228"/>
      <c r="AE156" s="226"/>
      <c r="AF156" s="226"/>
      <c r="AG156" s="226"/>
      <c r="AH156" s="226"/>
      <c r="AI156" s="226"/>
      <c r="AJ156" s="226"/>
      <c r="AK156" s="226"/>
      <c r="AL156" s="226"/>
      <c r="AM156" s="226"/>
      <c r="AN156" s="226"/>
      <c r="AO156" s="226"/>
      <c r="AP156" s="226"/>
      <c r="AQ156" s="226"/>
      <c r="AR156" s="226"/>
      <c r="AS156" s="226"/>
      <c r="AT156" s="226"/>
      <c r="AU156" s="226"/>
      <c r="AV156" s="226"/>
      <c r="AW156" s="226"/>
      <c r="AX156" s="226"/>
      <c r="AY156" s="226"/>
      <c r="AZ156" s="226"/>
      <c r="BA156" s="226"/>
      <c r="BB156" s="226"/>
      <c r="BC156" s="226"/>
      <c r="BD156" s="226"/>
      <c r="BE156" s="226"/>
      <c r="BF156" s="226"/>
      <c r="BG156" s="226"/>
    </row>
    <row r="157" spans="2:76" s="147" customFormat="1" ht="18.75" customHeight="1">
      <c r="B157" s="226"/>
      <c r="C157" s="228"/>
      <c r="D157" s="228"/>
      <c r="E157" s="228"/>
      <c r="F157" s="228"/>
      <c r="G157" s="228"/>
      <c r="H157" s="115"/>
      <c r="I157" s="228"/>
      <c r="J157" s="228"/>
      <c r="K157" s="228"/>
      <c r="L157" s="228"/>
      <c r="M157" s="228"/>
      <c r="N157" s="228"/>
      <c r="O157" s="228"/>
      <c r="P157" s="228"/>
      <c r="Q157" s="228"/>
      <c r="R157" s="150"/>
      <c r="S157" s="228"/>
      <c r="T157" s="228"/>
      <c r="U157" s="228"/>
      <c r="V157" s="228"/>
      <c r="W157" s="228"/>
      <c r="X157" s="228"/>
      <c r="Y157" s="228"/>
      <c r="Z157" s="228"/>
      <c r="AA157" s="228"/>
      <c r="AB157" s="228"/>
      <c r="AC157" s="228"/>
      <c r="AD157" s="228"/>
      <c r="AE157" s="226"/>
      <c r="AF157" s="226"/>
      <c r="AG157" s="226"/>
      <c r="AH157" s="226"/>
      <c r="AI157" s="226"/>
      <c r="AJ157" s="226"/>
      <c r="AK157" s="226"/>
      <c r="AL157" s="226"/>
      <c r="AM157" s="226"/>
      <c r="AN157" s="226"/>
      <c r="AO157" s="226"/>
      <c r="AP157" s="226"/>
      <c r="AQ157" s="226"/>
      <c r="AR157" s="226"/>
      <c r="AS157" s="226"/>
      <c r="AT157" s="226"/>
      <c r="AU157" s="226"/>
      <c r="AV157" s="226"/>
      <c r="AW157" s="226"/>
      <c r="AX157" s="226"/>
      <c r="AY157" s="226"/>
      <c r="AZ157" s="226"/>
      <c r="BA157" s="226"/>
      <c r="BB157" s="226"/>
      <c r="BC157" s="226"/>
      <c r="BD157" s="226"/>
      <c r="BE157" s="226"/>
      <c r="BF157" s="226"/>
      <c r="BG157" s="226"/>
    </row>
    <row r="158" spans="2:76" s="147" customFormat="1" ht="18.75" customHeight="1">
      <c r="B158" s="226"/>
      <c r="C158" s="228"/>
      <c r="D158" s="228"/>
      <c r="E158" s="228"/>
      <c r="F158" s="228"/>
      <c r="G158" s="226"/>
      <c r="H158" s="115"/>
      <c r="I158" s="228"/>
      <c r="J158" s="228"/>
      <c r="K158" s="228"/>
      <c r="L158" s="228"/>
      <c r="M158" s="228"/>
      <c r="N158" s="228"/>
      <c r="O158" s="228"/>
      <c r="P158" s="228"/>
      <c r="Q158" s="228"/>
      <c r="R158" s="150"/>
      <c r="S158" s="228"/>
      <c r="T158" s="228"/>
      <c r="U158" s="228"/>
      <c r="V158" s="228"/>
      <c r="W158" s="228"/>
      <c r="X158" s="228"/>
      <c r="Y158" s="228"/>
      <c r="Z158" s="228"/>
      <c r="AA158" s="228"/>
      <c r="AB158" s="228"/>
      <c r="AC158" s="228"/>
      <c r="AD158" s="228"/>
      <c r="AE158" s="226"/>
      <c r="AF158" s="226"/>
      <c r="AG158" s="226"/>
      <c r="AH158" s="226"/>
      <c r="AI158" s="226"/>
      <c r="AJ158" s="226"/>
      <c r="AK158" s="226"/>
      <c r="AL158" s="226"/>
      <c r="AM158" s="226"/>
      <c r="AN158" s="226"/>
      <c r="AO158" s="226"/>
      <c r="AP158" s="226"/>
      <c r="AQ158" s="226"/>
      <c r="AR158" s="226"/>
      <c r="AS158" s="226"/>
      <c r="AT158" s="226"/>
      <c r="AU158" s="226"/>
      <c r="AV158" s="226"/>
      <c r="AW158" s="226"/>
      <c r="AX158" s="226"/>
      <c r="AY158" s="226"/>
      <c r="AZ158" s="226"/>
      <c r="BA158" s="226"/>
      <c r="BB158" s="226"/>
      <c r="BC158" s="226"/>
      <c r="BD158" s="226"/>
      <c r="BE158" s="226"/>
      <c r="BF158" s="226"/>
      <c r="BG158" s="226"/>
    </row>
    <row r="159" spans="2:76" s="147" customFormat="1" ht="18.75" customHeight="1">
      <c r="B159" s="59" t="s">
        <v>410</v>
      </c>
      <c r="D159" s="228"/>
      <c r="E159" s="228"/>
      <c r="F159" s="228"/>
      <c r="G159" s="228"/>
      <c r="H159" s="228"/>
      <c r="I159" s="228"/>
      <c r="J159" s="228"/>
      <c r="K159" s="228"/>
      <c r="L159" s="228"/>
      <c r="M159" s="228"/>
      <c r="N159" s="228"/>
      <c r="O159" s="228"/>
      <c r="P159" s="228"/>
      <c r="Q159" s="228"/>
      <c r="R159" s="228"/>
      <c r="S159" s="228"/>
      <c r="T159" s="228"/>
      <c r="U159" s="228"/>
      <c r="V159" s="228"/>
      <c r="W159" s="228"/>
      <c r="X159" s="228"/>
      <c r="Y159" s="228"/>
      <c r="Z159" s="228"/>
      <c r="AA159" s="228"/>
      <c r="AB159" s="228"/>
      <c r="AC159" s="228"/>
      <c r="AD159" s="228"/>
      <c r="AE159" s="228"/>
      <c r="AF159" s="228"/>
      <c r="AG159" s="228"/>
      <c r="AH159" s="228"/>
      <c r="AI159" s="228"/>
      <c r="AJ159" s="228"/>
      <c r="AK159" s="228"/>
      <c r="AL159" s="228"/>
      <c r="AM159" s="228"/>
      <c r="AN159" s="228"/>
      <c r="AO159" s="228"/>
      <c r="AP159" s="228"/>
      <c r="AQ159" s="228"/>
      <c r="AR159" s="228"/>
      <c r="AS159" s="228"/>
      <c r="AT159" s="228"/>
      <c r="AU159" s="228"/>
      <c r="AV159" s="228"/>
      <c r="AW159" s="228"/>
      <c r="AX159" s="228"/>
      <c r="AY159" s="228"/>
      <c r="AZ159" s="228"/>
      <c r="BA159" s="228"/>
      <c r="BB159" s="228"/>
      <c r="BC159" s="228"/>
      <c r="BD159" s="228"/>
      <c r="BE159" s="228"/>
      <c r="BF159" s="228"/>
      <c r="BG159" s="228"/>
      <c r="BH159" s="60"/>
      <c r="BI159" s="60"/>
      <c r="BJ159" s="60"/>
      <c r="BK159" s="60"/>
      <c r="BL159" s="60"/>
      <c r="BM159" s="60"/>
      <c r="BN159" s="60"/>
    </row>
    <row r="160" spans="2:76" s="147" customFormat="1" ht="18.75" customHeight="1">
      <c r="B160" s="59"/>
      <c r="C160" s="261" t="str">
        <f>"※ 측정실 공기중의 온도를 측정하였고, 측정에 사용된 온도계의 불확도가 "&amp;N163&amp;" ℃를 넘지 않으므로,"</f>
        <v>※ 측정실 공기중의 온도를 측정하였고, 측정에 사용된 온도계의 불확도가 1 ℃를 넘지 않으므로,</v>
      </c>
      <c r="D160" s="261"/>
      <c r="E160" s="261"/>
      <c r="F160" s="261"/>
      <c r="G160" s="261"/>
      <c r="H160" s="261"/>
      <c r="I160" s="261"/>
      <c r="J160" s="261"/>
      <c r="K160" s="261"/>
      <c r="L160" s="261"/>
      <c r="M160" s="261"/>
      <c r="N160" s="261"/>
      <c r="O160" s="261"/>
      <c r="P160" s="261"/>
      <c r="Q160" s="261"/>
      <c r="R160" s="261"/>
      <c r="S160" s="261"/>
      <c r="T160" s="261"/>
      <c r="U160" s="261"/>
      <c r="V160" s="261"/>
      <c r="W160" s="261"/>
      <c r="X160" s="261"/>
      <c r="Y160" s="261"/>
      <c r="Z160" s="261"/>
      <c r="AA160" s="261"/>
      <c r="AB160" s="261"/>
      <c r="AC160" s="261"/>
      <c r="AD160" s="261"/>
      <c r="AE160" s="261"/>
      <c r="AF160" s="261"/>
      <c r="AG160" s="261"/>
      <c r="AH160" s="261"/>
      <c r="AI160" s="261"/>
      <c r="AJ160" s="261"/>
      <c r="AK160" s="261"/>
      <c r="AL160" s="261"/>
      <c r="AM160" s="261"/>
      <c r="AN160" s="261"/>
      <c r="AO160" s="261"/>
      <c r="AP160" s="261"/>
      <c r="AQ160" s="261"/>
      <c r="AR160" s="261"/>
      <c r="AS160" s="261"/>
      <c r="AT160" s="261"/>
      <c r="AU160" s="261"/>
      <c r="AV160" s="261"/>
      <c r="AW160" s="261"/>
      <c r="AX160" s="261"/>
      <c r="AY160" s="261"/>
      <c r="AZ160" s="261"/>
      <c r="BA160" s="261"/>
      <c r="BB160" s="261"/>
      <c r="BC160" s="261"/>
      <c r="BD160" s="261"/>
      <c r="BE160" s="261"/>
      <c r="BF160" s="261"/>
      <c r="BG160" s="261"/>
      <c r="BH160" s="60"/>
      <c r="BI160" s="60"/>
      <c r="BJ160" s="60"/>
      <c r="BK160" s="60"/>
      <c r="BL160" s="60"/>
      <c r="BM160" s="60"/>
      <c r="BN160" s="60"/>
    </row>
    <row r="161" spans="2:74" s="147" customFormat="1" ht="18.75" customHeight="1">
      <c r="B161" s="59"/>
      <c r="C161" s="261"/>
      <c r="D161" s="261" t="s">
        <v>418</v>
      </c>
      <c r="E161" s="261"/>
      <c r="F161" s="261"/>
      <c r="G161" s="261"/>
      <c r="H161" s="261"/>
      <c r="I161" s="261"/>
      <c r="J161" s="261"/>
      <c r="K161" s="261"/>
      <c r="L161" s="261"/>
      <c r="M161" s="261"/>
      <c r="N161" s="261"/>
      <c r="O161" s="261"/>
      <c r="P161" s="261"/>
      <c r="Q161" s="261"/>
      <c r="R161" s="261"/>
      <c r="S161" s="261"/>
      <c r="T161" s="261"/>
      <c r="U161" s="261"/>
      <c r="V161" s="261"/>
      <c r="W161" s="261"/>
      <c r="X161" s="261"/>
      <c r="Y161" s="261"/>
      <c r="Z161" s="261"/>
      <c r="AA161" s="261"/>
      <c r="AB161" s="261"/>
      <c r="AC161" s="261"/>
      <c r="AD161" s="261"/>
      <c r="AE161" s="261"/>
      <c r="AF161" s="261"/>
      <c r="AG161" s="261"/>
      <c r="AH161" s="261"/>
      <c r="AI161" s="261"/>
      <c r="AJ161" s="261"/>
      <c r="AK161" s="261"/>
      <c r="AL161" s="261"/>
      <c r="AM161" s="261"/>
      <c r="AN161" s="261"/>
      <c r="AO161" s="261"/>
      <c r="AP161" s="261"/>
      <c r="AQ161" s="261"/>
      <c r="AR161" s="261"/>
      <c r="AS161" s="261"/>
      <c r="AT161" s="261"/>
      <c r="AU161" s="261"/>
      <c r="AV161" s="261"/>
      <c r="AW161" s="261"/>
      <c r="AX161" s="261"/>
      <c r="AY161" s="261"/>
      <c r="AZ161" s="261"/>
      <c r="BA161" s="261"/>
      <c r="BB161" s="261"/>
      <c r="BC161" s="261"/>
      <c r="BD161" s="261"/>
      <c r="BE161" s="261"/>
      <c r="BF161" s="261"/>
      <c r="BG161" s="261"/>
      <c r="BH161" s="60"/>
      <c r="BI161" s="60"/>
      <c r="BJ161" s="60"/>
      <c r="BK161" s="60"/>
      <c r="BL161" s="60"/>
      <c r="BM161" s="60"/>
      <c r="BN161" s="60"/>
    </row>
    <row r="162" spans="2:74" s="147" customFormat="1" ht="18.75" customHeight="1">
      <c r="B162" s="226"/>
      <c r="C162" s="229" t="s">
        <v>288</v>
      </c>
      <c r="D162" s="226"/>
      <c r="E162" s="226"/>
      <c r="F162" s="226"/>
      <c r="G162" s="226"/>
      <c r="H162" s="440" t="str">
        <f>I51</f>
        <v/>
      </c>
      <c r="I162" s="440"/>
      <c r="J162" s="440"/>
      <c r="K162" s="440"/>
      <c r="L162" s="440"/>
      <c r="M162" s="440"/>
      <c r="N162" s="440"/>
      <c r="O162" s="440"/>
      <c r="P162" s="234"/>
      <c r="Q162" s="228"/>
      <c r="R162" s="228"/>
      <c r="S162" s="228"/>
      <c r="T162" s="228"/>
      <c r="U162" s="228"/>
      <c r="V162" s="228"/>
      <c r="W162" s="228"/>
      <c r="X162" s="228"/>
      <c r="Y162" s="228"/>
      <c r="Z162" s="228"/>
      <c r="AA162" s="228"/>
      <c r="AB162" s="228"/>
      <c r="AC162" s="228"/>
      <c r="AD162" s="228"/>
      <c r="AE162" s="228"/>
      <c r="AF162" s="228"/>
      <c r="AG162" s="228"/>
      <c r="AH162" s="228"/>
      <c r="AI162" s="228"/>
      <c r="AJ162" s="228"/>
      <c r="AK162" s="228"/>
      <c r="AL162" s="228"/>
      <c r="AM162" s="228"/>
      <c r="AN162" s="228"/>
      <c r="AO162" s="228"/>
      <c r="AP162" s="228"/>
      <c r="AQ162" s="228"/>
      <c r="AR162" s="228"/>
      <c r="AS162" s="228"/>
      <c r="AT162" s="228"/>
      <c r="AU162" s="228"/>
      <c r="AV162" s="228"/>
      <c r="AW162" s="228"/>
      <c r="AX162" s="228"/>
      <c r="AY162" s="228"/>
      <c r="AZ162" s="228"/>
      <c r="BA162" s="228"/>
      <c r="BB162" s="228"/>
      <c r="BC162" s="228"/>
      <c r="BD162" s="228"/>
      <c r="BE162" s="228"/>
      <c r="BF162" s="228"/>
      <c r="BG162" s="228"/>
      <c r="BH162" s="60"/>
      <c r="BI162" s="60"/>
      <c r="BJ162" s="60"/>
      <c r="BK162" s="60"/>
      <c r="BL162" s="60"/>
      <c r="BM162" s="60"/>
    </row>
    <row r="163" spans="2:74" s="147" customFormat="1" ht="18.75" customHeight="1">
      <c r="B163" s="226"/>
      <c r="C163" s="400" t="s">
        <v>289</v>
      </c>
      <c r="D163" s="400"/>
      <c r="E163" s="400"/>
      <c r="F163" s="400"/>
      <c r="G163" s="400"/>
      <c r="H163" s="400"/>
      <c r="I163" s="400"/>
      <c r="J163" s="474" t="s">
        <v>419</v>
      </c>
      <c r="K163" s="474"/>
      <c r="L163" s="474"/>
      <c r="M163" s="405" t="s">
        <v>247</v>
      </c>
      <c r="N163" s="439">
        <f>Calcu!G30</f>
        <v>1</v>
      </c>
      <c r="O163" s="439"/>
      <c r="P163" s="264" t="s">
        <v>420</v>
      </c>
      <c r="Q163" s="267"/>
      <c r="R163" s="405" t="s">
        <v>247</v>
      </c>
      <c r="S163" s="398">
        <f>N163/SQRT(3)</f>
        <v>0.57735026918962584</v>
      </c>
      <c r="T163" s="398"/>
      <c r="U163" s="398"/>
      <c r="V163" s="397" t="str">
        <f>P163</f>
        <v>℃</v>
      </c>
      <c r="W163" s="397"/>
      <c r="X163" s="262"/>
      <c r="Y163" s="155"/>
      <c r="Z163" s="156"/>
      <c r="AA163" s="156"/>
      <c r="AB163" s="156"/>
      <c r="AC163" s="228"/>
      <c r="AD163" s="228"/>
      <c r="AE163" s="228"/>
      <c r="AF163" s="228"/>
      <c r="AG163" s="228"/>
      <c r="AH163" s="228"/>
      <c r="AI163" s="228"/>
      <c r="AM163" s="228"/>
      <c r="AN163" s="228"/>
      <c r="AO163" s="226"/>
      <c r="AP163" s="226"/>
      <c r="AQ163" s="226"/>
      <c r="AR163" s="226"/>
      <c r="AS163" s="228"/>
      <c r="AT163" s="228"/>
      <c r="AU163" s="228"/>
      <c r="AV163" s="228"/>
      <c r="AW163" s="228"/>
      <c r="AX163" s="228"/>
      <c r="AY163" s="228"/>
      <c r="AZ163" s="228"/>
      <c r="BA163" s="228"/>
      <c r="BB163" s="228"/>
      <c r="BC163" s="228"/>
      <c r="BD163" s="228"/>
      <c r="BE163" s="228"/>
      <c r="BF163" s="228"/>
      <c r="BG163" s="228"/>
      <c r="BH163" s="228"/>
      <c r="BI163" s="228"/>
      <c r="BJ163" s="60"/>
      <c r="BK163" s="60"/>
      <c r="BL163" s="60"/>
      <c r="BM163" s="60"/>
      <c r="BN163" s="60"/>
      <c r="BO163" s="60"/>
      <c r="BP163" s="60"/>
      <c r="BQ163" s="60"/>
      <c r="BR163" s="60"/>
      <c r="BS163" s="60"/>
    </row>
    <row r="164" spans="2:74" s="147" customFormat="1" ht="18.75" customHeight="1">
      <c r="B164" s="226"/>
      <c r="C164" s="400"/>
      <c r="D164" s="400"/>
      <c r="E164" s="400"/>
      <c r="F164" s="400"/>
      <c r="G164" s="400"/>
      <c r="H164" s="400"/>
      <c r="I164" s="400"/>
      <c r="J164" s="474"/>
      <c r="K164" s="474"/>
      <c r="L164" s="474"/>
      <c r="M164" s="405"/>
      <c r="N164" s="260"/>
      <c r="O164" s="260"/>
      <c r="P164" s="260"/>
      <c r="Q164" s="260"/>
      <c r="R164" s="405"/>
      <c r="S164" s="398"/>
      <c r="T164" s="398"/>
      <c r="U164" s="398"/>
      <c r="V164" s="397"/>
      <c r="W164" s="397"/>
      <c r="X164" s="262"/>
      <c r="Y164" s="155"/>
      <c r="Z164" s="156"/>
      <c r="AA164" s="156"/>
      <c r="AB164" s="156"/>
      <c r="AC164" s="228"/>
      <c r="AD164" s="228"/>
      <c r="AE164" s="228"/>
      <c r="AF164" s="228"/>
      <c r="AG164" s="228"/>
      <c r="AH164" s="228"/>
      <c r="AI164" s="228"/>
      <c r="AJ164" s="228"/>
      <c r="AK164" s="226"/>
      <c r="AL164" s="228"/>
      <c r="AM164" s="228"/>
      <c r="AN164" s="228"/>
      <c r="AO164" s="226"/>
      <c r="AP164" s="226"/>
      <c r="AQ164" s="226"/>
      <c r="AR164" s="226"/>
      <c r="AS164" s="228"/>
      <c r="AT164" s="228"/>
      <c r="AU164" s="228"/>
      <c r="AV164" s="228"/>
      <c r="AW164" s="228"/>
      <c r="AX164" s="228"/>
      <c r="AY164" s="228"/>
      <c r="AZ164" s="228"/>
      <c r="BA164" s="228"/>
      <c r="BB164" s="228"/>
      <c r="BC164" s="228"/>
      <c r="BD164" s="228"/>
      <c r="BE164" s="228"/>
      <c r="BF164" s="228"/>
      <c r="BG164" s="228"/>
      <c r="BH164" s="228"/>
      <c r="BI164" s="228"/>
      <c r="BJ164" s="60"/>
      <c r="BK164" s="60"/>
      <c r="BL164" s="60"/>
      <c r="BM164" s="60"/>
      <c r="BN164" s="60"/>
      <c r="BO164" s="60"/>
      <c r="BP164" s="60"/>
      <c r="BQ164" s="60"/>
      <c r="BR164" s="60"/>
      <c r="BS164" s="60"/>
    </row>
    <row r="165" spans="2:74" s="147" customFormat="1" ht="18.75" customHeight="1">
      <c r="B165" s="226"/>
      <c r="C165" s="228" t="s">
        <v>290</v>
      </c>
      <c r="D165" s="228"/>
      <c r="E165" s="228"/>
      <c r="F165" s="228"/>
      <c r="G165" s="228"/>
      <c r="H165" s="228"/>
      <c r="I165" s="401" t="str">
        <f>W51</f>
        <v>직사각형</v>
      </c>
      <c r="J165" s="401"/>
      <c r="K165" s="401"/>
      <c r="L165" s="401"/>
      <c r="M165" s="401"/>
      <c r="N165" s="401"/>
      <c r="O165" s="401"/>
      <c r="P165" s="401"/>
      <c r="Q165" s="228"/>
      <c r="R165" s="228"/>
      <c r="S165" s="228"/>
      <c r="T165" s="228"/>
      <c r="U165" s="228"/>
      <c r="V165" s="228"/>
      <c r="W165" s="228"/>
      <c r="X165" s="228"/>
      <c r="Y165" s="228"/>
      <c r="Z165" s="226"/>
      <c r="AA165" s="226"/>
      <c r="AB165" s="226"/>
      <c r="AC165" s="226"/>
      <c r="AD165" s="226"/>
      <c r="AE165" s="226"/>
      <c r="AF165" s="226"/>
      <c r="AG165" s="226"/>
      <c r="AH165" s="228"/>
      <c r="AI165" s="228"/>
      <c r="AJ165" s="228"/>
      <c r="AK165" s="228"/>
      <c r="AL165" s="228"/>
      <c r="AM165" s="228"/>
      <c r="AN165" s="228"/>
      <c r="AO165" s="228"/>
      <c r="AP165" s="228"/>
      <c r="AQ165" s="228"/>
      <c r="AR165" s="228"/>
      <c r="AS165" s="228"/>
      <c r="AT165" s="228"/>
      <c r="AU165" s="228"/>
      <c r="AV165" s="228"/>
      <c r="AW165" s="228"/>
      <c r="AX165" s="228"/>
      <c r="AY165" s="228"/>
      <c r="AZ165" s="228"/>
      <c r="BA165" s="228"/>
      <c r="BB165" s="228"/>
      <c r="BC165" s="228"/>
      <c r="BD165" s="228"/>
      <c r="BE165" s="228"/>
      <c r="BF165" s="226"/>
      <c r="BG165" s="228"/>
      <c r="BH165" s="60"/>
      <c r="BI165" s="60"/>
      <c r="BJ165" s="60"/>
      <c r="BK165" s="60"/>
      <c r="BL165" s="60"/>
      <c r="BM165" s="60"/>
      <c r="BN165" s="60"/>
      <c r="BO165" s="60"/>
      <c r="BP165" s="60"/>
      <c r="BQ165" s="60"/>
      <c r="BR165" s="60"/>
      <c r="BS165" s="60"/>
      <c r="BT165" s="60"/>
      <c r="BU165" s="60"/>
      <c r="BV165" s="60"/>
    </row>
    <row r="166" spans="2:74" s="147" customFormat="1" ht="18.75" customHeight="1">
      <c r="B166" s="226"/>
      <c r="C166" s="400" t="s">
        <v>291</v>
      </c>
      <c r="D166" s="400"/>
      <c r="E166" s="400"/>
      <c r="F166" s="400"/>
      <c r="G166" s="400"/>
      <c r="H166" s="400"/>
      <c r="I166" s="228"/>
      <c r="J166" s="228"/>
      <c r="K166" s="228"/>
      <c r="L166" s="228"/>
      <c r="M166" s="228"/>
      <c r="N166" s="228"/>
      <c r="O166" s="226"/>
      <c r="P166" s="399" t="e">
        <f ca="1">Calcu!M30*10^6</f>
        <v>#N/A</v>
      </c>
      <c r="Q166" s="399"/>
      <c r="R166" s="399"/>
      <c r="S166" s="400" t="s">
        <v>254</v>
      </c>
      <c r="T166" s="400"/>
      <c r="U166" s="400"/>
      <c r="V166" s="400"/>
      <c r="W166" s="405" t="s">
        <v>84</v>
      </c>
      <c r="X166" s="404">
        <f>Calcu!N30</f>
        <v>0</v>
      </c>
      <c r="Y166" s="404"/>
      <c r="Z166" s="404"/>
      <c r="AA166" s="400" t="s">
        <v>136</v>
      </c>
      <c r="AB166" s="400"/>
      <c r="AC166" s="405" t="s">
        <v>247</v>
      </c>
      <c r="AD166" s="403" t="e">
        <f ca="1">P166*10^-6*X166</f>
        <v>#N/A</v>
      </c>
      <c r="AE166" s="403"/>
      <c r="AF166" s="403"/>
      <c r="AG166" s="400" t="s">
        <v>183</v>
      </c>
      <c r="AH166" s="400"/>
      <c r="AI166" s="400"/>
      <c r="AJ166" s="400"/>
      <c r="AK166" s="400"/>
      <c r="AL166" s="400"/>
      <c r="AM166" s="400"/>
      <c r="AN166" s="230"/>
      <c r="AO166" s="228"/>
      <c r="AP166" s="228"/>
      <c r="AQ166" s="228"/>
      <c r="AR166" s="228"/>
      <c r="AS166" s="228"/>
      <c r="AT166" s="228"/>
      <c r="AU166" s="228"/>
      <c r="AV166" s="228"/>
      <c r="AW166" s="228"/>
      <c r="AX166" s="228"/>
      <c r="AY166" s="228"/>
      <c r="AZ166" s="228"/>
      <c r="BA166" s="228"/>
      <c r="BB166" s="228"/>
      <c r="BC166" s="228"/>
      <c r="BD166" s="228"/>
      <c r="BE166" s="228"/>
      <c r="BF166" s="228"/>
      <c r="BG166" s="228"/>
      <c r="BH166" s="60"/>
      <c r="BI166" s="60"/>
      <c r="BJ166" s="60"/>
      <c r="BK166" s="60"/>
      <c r="BL166" s="60"/>
      <c r="BM166" s="60"/>
    </row>
    <row r="167" spans="2:74" s="147" customFormat="1" ht="18.75" customHeight="1">
      <c r="B167" s="226"/>
      <c r="C167" s="400"/>
      <c r="D167" s="400"/>
      <c r="E167" s="400"/>
      <c r="F167" s="400"/>
      <c r="G167" s="400"/>
      <c r="H167" s="400"/>
      <c r="I167" s="228"/>
      <c r="J167" s="228"/>
      <c r="K167" s="228"/>
      <c r="L167" s="228"/>
      <c r="M167" s="228"/>
      <c r="N167" s="228"/>
      <c r="O167" s="228"/>
      <c r="P167" s="399"/>
      <c r="Q167" s="399"/>
      <c r="R167" s="399"/>
      <c r="S167" s="400"/>
      <c r="T167" s="400"/>
      <c r="U167" s="400"/>
      <c r="V167" s="400"/>
      <c r="W167" s="405"/>
      <c r="X167" s="404"/>
      <c r="Y167" s="404"/>
      <c r="Z167" s="404"/>
      <c r="AA167" s="400"/>
      <c r="AB167" s="400"/>
      <c r="AC167" s="405"/>
      <c r="AD167" s="403"/>
      <c r="AE167" s="403"/>
      <c r="AF167" s="403"/>
      <c r="AG167" s="400"/>
      <c r="AH167" s="400"/>
      <c r="AI167" s="400"/>
      <c r="AJ167" s="400"/>
      <c r="AK167" s="400"/>
      <c r="AL167" s="400"/>
      <c r="AM167" s="400"/>
      <c r="AN167" s="230"/>
      <c r="AO167" s="228"/>
      <c r="AP167" s="228"/>
      <c r="AQ167" s="228"/>
      <c r="AR167" s="228"/>
      <c r="AS167" s="228"/>
      <c r="AT167" s="228"/>
      <c r="AU167" s="228"/>
      <c r="AV167" s="228"/>
      <c r="AW167" s="228"/>
      <c r="AX167" s="228"/>
      <c r="AY167" s="228"/>
      <c r="AZ167" s="228"/>
      <c r="BA167" s="228"/>
      <c r="BB167" s="228"/>
      <c r="BC167" s="228"/>
      <c r="BD167" s="228"/>
      <c r="BE167" s="228"/>
      <c r="BF167" s="228"/>
      <c r="BG167" s="228"/>
      <c r="BH167" s="60"/>
      <c r="BI167" s="60"/>
      <c r="BJ167" s="60"/>
      <c r="BK167" s="60"/>
      <c r="BL167" s="60"/>
      <c r="BM167" s="60"/>
    </row>
    <row r="168" spans="2:74" s="147" customFormat="1" ht="18.75" customHeight="1">
      <c r="B168" s="226"/>
      <c r="C168" s="228" t="s">
        <v>292</v>
      </c>
      <c r="D168" s="228"/>
      <c r="E168" s="228"/>
      <c r="F168" s="228"/>
      <c r="G168" s="228"/>
      <c r="H168" s="228"/>
      <c r="I168" s="228"/>
      <c r="J168" s="226"/>
      <c r="K168" s="58" t="s">
        <v>263</v>
      </c>
      <c r="L168" s="403" t="e">
        <f ca="1">AD166</f>
        <v>#N/A</v>
      </c>
      <c r="M168" s="403"/>
      <c r="N168" s="403"/>
      <c r="O168" s="150" t="s">
        <v>183</v>
      </c>
      <c r="P168" s="226"/>
      <c r="Q168" s="226"/>
      <c r="R168" s="226" t="s">
        <v>84</v>
      </c>
      <c r="S168" s="406">
        <f>S163</f>
        <v>0.57735026918962584</v>
      </c>
      <c r="T168" s="406"/>
      <c r="U168" s="406"/>
      <c r="V168" s="406"/>
      <c r="W168" s="58" t="s">
        <v>263</v>
      </c>
      <c r="X168" s="226" t="s">
        <v>247</v>
      </c>
      <c r="Y168" s="398" t="e">
        <f ca="1">ABS(L168*S168)</f>
        <v>#N/A</v>
      </c>
      <c r="Z168" s="398"/>
      <c r="AA168" s="398"/>
      <c r="AB168" s="229" t="s">
        <v>136</v>
      </c>
      <c r="AC168" s="229"/>
      <c r="AD168" s="226"/>
      <c r="AE168" s="226"/>
      <c r="AF168" s="230"/>
      <c r="AG168" s="226"/>
      <c r="AH168" s="226"/>
      <c r="AI168" s="228"/>
      <c r="AJ168" s="226"/>
      <c r="AK168" s="228"/>
      <c r="AL168" s="226"/>
      <c r="AM168" s="226"/>
      <c r="AN168" s="226"/>
      <c r="AO168" s="228"/>
      <c r="AP168" s="228"/>
      <c r="AQ168" s="228"/>
      <c r="AR168" s="228"/>
      <c r="AS168" s="228"/>
      <c r="AT168" s="228"/>
      <c r="AU168" s="228"/>
      <c r="AV168" s="228"/>
      <c r="AW168" s="228"/>
      <c r="AX168" s="228"/>
      <c r="AY168" s="228"/>
      <c r="AZ168" s="228"/>
      <c r="BA168" s="228"/>
      <c r="BB168" s="228"/>
      <c r="BC168" s="228"/>
      <c r="BD168" s="228"/>
      <c r="BE168" s="228"/>
      <c r="BF168" s="228"/>
      <c r="BG168" s="228"/>
      <c r="BH168" s="60"/>
      <c r="BI168" s="60"/>
      <c r="BJ168" s="60"/>
      <c r="BK168" s="60"/>
    </row>
    <row r="169" spans="2:74" s="147" customFormat="1" ht="18.75" customHeight="1">
      <c r="B169" s="226"/>
      <c r="C169" s="400" t="s">
        <v>293</v>
      </c>
      <c r="D169" s="400"/>
      <c r="E169" s="400"/>
      <c r="F169" s="400"/>
      <c r="G169" s="400"/>
      <c r="H169" s="228"/>
      <c r="J169" s="228"/>
      <c r="K169" s="228"/>
      <c r="L169" s="228"/>
      <c r="M169" s="228"/>
      <c r="N169" s="228"/>
      <c r="O169" s="228"/>
      <c r="P169" s="228"/>
      <c r="Q169" s="228"/>
      <c r="R169" s="150"/>
      <c r="S169" s="228"/>
      <c r="T169" s="228"/>
      <c r="U169" s="228"/>
      <c r="V169" s="58" t="s">
        <v>90</v>
      </c>
      <c r="W169" s="228"/>
      <c r="X169" s="228"/>
      <c r="Y169" s="228"/>
      <c r="Z169" s="228"/>
      <c r="AA169" s="228"/>
      <c r="AB169" s="228"/>
      <c r="AC169" s="228"/>
      <c r="AD169" s="228"/>
      <c r="AE169" s="226"/>
      <c r="AF169" s="226"/>
      <c r="AG169" s="226"/>
      <c r="AH169" s="226"/>
      <c r="AI169" s="226"/>
      <c r="AJ169" s="226"/>
      <c r="AK169" s="226"/>
      <c r="AL169" s="226"/>
      <c r="AM169" s="226"/>
      <c r="AN169" s="226"/>
      <c r="AO169" s="226"/>
      <c r="AP169" s="226"/>
      <c r="AQ169" s="226"/>
      <c r="AR169" s="226"/>
      <c r="AS169" s="226"/>
      <c r="AT169" s="226"/>
      <c r="AU169" s="226"/>
      <c r="AV169" s="226"/>
      <c r="AW169" s="226"/>
      <c r="AX169" s="226"/>
      <c r="AY169" s="226"/>
      <c r="AZ169" s="226"/>
      <c r="BA169" s="226"/>
      <c r="BB169" s="226"/>
      <c r="BC169" s="226"/>
      <c r="BD169" s="226"/>
      <c r="BE169" s="226"/>
      <c r="BF169" s="226"/>
      <c r="BG169" s="226"/>
      <c r="BH169" s="60"/>
      <c r="BI169" s="60"/>
      <c r="BJ169" s="60"/>
      <c r="BK169" s="60"/>
      <c r="BP169" s="60"/>
      <c r="BS169" s="60"/>
      <c r="BT169" s="60"/>
      <c r="BU169" s="60"/>
    </row>
    <row r="170" spans="2:74" s="147" customFormat="1" ht="18.75" customHeight="1">
      <c r="B170" s="226"/>
      <c r="C170" s="400"/>
      <c r="D170" s="400"/>
      <c r="E170" s="400"/>
      <c r="F170" s="400"/>
      <c r="G170" s="400"/>
      <c r="H170" s="228"/>
      <c r="I170" s="228"/>
      <c r="J170" s="228"/>
      <c r="K170" s="228"/>
      <c r="L170" s="228"/>
      <c r="M170" s="228"/>
      <c r="N170" s="228"/>
      <c r="O170" s="228"/>
      <c r="P170" s="228"/>
      <c r="Q170" s="228"/>
      <c r="R170" s="150"/>
      <c r="S170" s="228"/>
      <c r="T170" s="228"/>
      <c r="U170" s="228"/>
      <c r="V170" s="228"/>
      <c r="W170" s="228"/>
      <c r="X170" s="228"/>
      <c r="Y170" s="228"/>
      <c r="Z170" s="228"/>
      <c r="AA170" s="228"/>
      <c r="AB170" s="228"/>
      <c r="AC170" s="226"/>
      <c r="AD170" s="226"/>
      <c r="AE170" s="226"/>
      <c r="AF170" s="226"/>
      <c r="AG170" s="226"/>
      <c r="AH170" s="226"/>
      <c r="AI170" s="226"/>
      <c r="AJ170" s="226"/>
      <c r="AK170" s="226"/>
      <c r="AL170" s="226"/>
      <c r="AM170" s="226"/>
      <c r="AN170" s="226"/>
      <c r="AO170" s="226"/>
      <c r="AP170" s="226"/>
      <c r="AQ170" s="226"/>
      <c r="AR170" s="226"/>
      <c r="AS170" s="226"/>
      <c r="AT170" s="226"/>
      <c r="AU170" s="226"/>
      <c r="AV170" s="226"/>
      <c r="AW170" s="226"/>
      <c r="AX170" s="226"/>
      <c r="AY170" s="226"/>
      <c r="AZ170" s="226"/>
      <c r="BA170" s="226"/>
      <c r="BB170" s="226"/>
      <c r="BC170" s="226"/>
      <c r="BD170" s="226"/>
      <c r="BE170" s="226"/>
      <c r="BF170" s="226"/>
      <c r="BG170" s="226"/>
      <c r="BH170" s="60"/>
      <c r="BI170" s="60"/>
      <c r="BJ170" s="60"/>
      <c r="BK170" s="60"/>
      <c r="BP170" s="60"/>
      <c r="BS170" s="60"/>
      <c r="BT170" s="60"/>
      <c r="BU170" s="60"/>
    </row>
    <row r="171" spans="2:74" s="147" customFormat="1" ht="18.75" customHeight="1">
      <c r="B171" s="226"/>
      <c r="C171" s="228"/>
      <c r="D171" s="228"/>
      <c r="E171" s="228"/>
      <c r="F171" s="228"/>
      <c r="G171" s="226"/>
      <c r="H171" s="228"/>
      <c r="I171" s="228"/>
      <c r="J171" s="228"/>
      <c r="K171" s="228"/>
      <c r="L171" s="228"/>
      <c r="M171" s="228"/>
      <c r="N171" s="228"/>
      <c r="O171" s="228"/>
      <c r="P171" s="228"/>
      <c r="Q171" s="228"/>
      <c r="R171" s="228"/>
      <c r="S171" s="228"/>
      <c r="T171" s="228"/>
      <c r="U171" s="228"/>
      <c r="V171" s="228"/>
      <c r="W171" s="228"/>
      <c r="X171" s="226"/>
      <c r="Y171" s="226"/>
      <c r="Z171" s="226"/>
      <c r="AA171" s="226"/>
      <c r="AB171" s="226"/>
      <c r="AC171" s="226"/>
      <c r="AD171" s="226"/>
      <c r="AE171" s="226"/>
      <c r="AF171" s="226"/>
      <c r="AG171" s="226"/>
      <c r="AH171" s="226"/>
      <c r="AI171" s="226"/>
      <c r="AJ171" s="226"/>
      <c r="AK171" s="226"/>
      <c r="AL171" s="226"/>
      <c r="AM171" s="226"/>
      <c r="AN171" s="226"/>
      <c r="AO171" s="226"/>
      <c r="AP171" s="226"/>
      <c r="AQ171" s="226"/>
      <c r="AR171" s="226"/>
      <c r="AS171" s="226"/>
      <c r="AT171" s="226"/>
      <c r="AU171" s="226"/>
      <c r="AV171" s="226"/>
      <c r="AW171" s="226"/>
      <c r="AX171" s="226"/>
      <c r="AY171" s="226"/>
      <c r="AZ171" s="226"/>
      <c r="BA171" s="226"/>
      <c r="BB171" s="226"/>
      <c r="BC171" s="226"/>
      <c r="BD171" s="226"/>
      <c r="BE171" s="226"/>
      <c r="BF171" s="226"/>
      <c r="BG171" s="226"/>
    </row>
    <row r="172" spans="2:74" s="147" customFormat="1" ht="18.75" customHeight="1">
      <c r="B172" s="59" t="s">
        <v>528</v>
      </c>
      <c r="D172" s="228"/>
      <c r="E172" s="228"/>
      <c r="F172" s="228"/>
      <c r="G172" s="226"/>
      <c r="H172" s="228"/>
      <c r="I172" s="228"/>
      <c r="J172" s="228"/>
      <c r="K172" s="228"/>
      <c r="L172" s="228"/>
      <c r="M172" s="228"/>
      <c r="N172" s="228"/>
      <c r="O172" s="228"/>
      <c r="P172" s="228"/>
      <c r="Q172" s="228"/>
      <c r="R172" s="228"/>
      <c r="S172" s="228"/>
      <c r="T172" s="228"/>
      <c r="U172" s="228"/>
      <c r="V172" s="228"/>
      <c r="W172" s="228"/>
      <c r="X172" s="228"/>
      <c r="Y172" s="228"/>
      <c r="Z172" s="228"/>
      <c r="AA172" s="228"/>
      <c r="AB172" s="228"/>
      <c r="AC172" s="228"/>
      <c r="AD172" s="228"/>
      <c r="AE172" s="226"/>
      <c r="AF172" s="228"/>
      <c r="AG172" s="226"/>
      <c r="AH172" s="226"/>
      <c r="AI172" s="226"/>
      <c r="AJ172" s="226"/>
      <c r="AK172" s="226"/>
      <c r="AL172" s="226"/>
      <c r="AM172" s="226"/>
      <c r="AN172" s="226"/>
      <c r="AO172" s="226"/>
      <c r="AP172" s="226"/>
      <c r="AQ172" s="226"/>
      <c r="AR172" s="226"/>
      <c r="AS172" s="226"/>
      <c r="AT172" s="226"/>
      <c r="AU172" s="226"/>
      <c r="AV172" s="226"/>
      <c r="AW172" s="226"/>
      <c r="AX172" s="226"/>
      <c r="AY172" s="226"/>
      <c r="AZ172" s="226"/>
      <c r="BA172" s="226"/>
      <c r="BB172" s="226"/>
      <c r="BC172" s="226"/>
      <c r="BD172" s="226"/>
      <c r="BE172" s="226"/>
      <c r="BF172" s="226"/>
      <c r="BG172" s="226"/>
    </row>
    <row r="173" spans="2:74" s="147" customFormat="1" ht="18.75" customHeight="1">
      <c r="B173" s="59"/>
      <c r="C173" s="261" t="s">
        <v>421</v>
      </c>
      <c r="D173" s="261"/>
      <c r="E173" s="261"/>
      <c r="F173" s="261"/>
      <c r="G173" s="260"/>
      <c r="H173" s="261"/>
      <c r="I173" s="261"/>
      <c r="J173" s="261"/>
      <c r="K173" s="261"/>
      <c r="L173" s="261"/>
      <c r="M173" s="261"/>
      <c r="N173" s="261"/>
      <c r="O173" s="261"/>
      <c r="P173" s="261"/>
      <c r="Q173" s="261"/>
      <c r="R173" s="261"/>
      <c r="S173" s="261"/>
      <c r="T173" s="261"/>
      <c r="U173" s="261"/>
      <c r="V173" s="261"/>
      <c r="W173" s="261"/>
      <c r="X173" s="261"/>
      <c r="Y173" s="261"/>
      <c r="Z173" s="261"/>
      <c r="AA173" s="261"/>
      <c r="AB173" s="261"/>
      <c r="AC173" s="261"/>
      <c r="AD173" s="261"/>
      <c r="AE173" s="260"/>
      <c r="AF173" s="261"/>
      <c r="AG173" s="260"/>
      <c r="AH173" s="260"/>
      <c r="AI173" s="260"/>
      <c r="AJ173" s="260"/>
      <c r="AK173" s="260"/>
      <c r="AL173" s="260"/>
      <c r="AM173" s="260"/>
      <c r="AN173" s="260"/>
      <c r="AO173" s="260"/>
      <c r="AP173" s="260"/>
      <c r="AQ173" s="260"/>
      <c r="AR173" s="260"/>
      <c r="AS173" s="260"/>
      <c r="AT173" s="260"/>
      <c r="AU173" s="260"/>
      <c r="AV173" s="260"/>
      <c r="AW173" s="260"/>
      <c r="AX173" s="260"/>
      <c r="AY173" s="260"/>
      <c r="AZ173" s="260"/>
      <c r="BA173" s="260"/>
      <c r="BB173" s="260"/>
      <c r="BC173" s="260"/>
      <c r="BD173" s="260"/>
      <c r="BE173" s="260"/>
      <c r="BF173" s="260"/>
      <c r="BG173" s="260"/>
    </row>
    <row r="174" spans="2:74" s="147" customFormat="1" ht="18.75" customHeight="1">
      <c r="B174" s="226"/>
      <c r="C174" s="229" t="s">
        <v>387</v>
      </c>
      <c r="D174" s="226"/>
      <c r="E174" s="226"/>
      <c r="F174" s="226"/>
      <c r="G174" s="226"/>
      <c r="H174" s="536">
        <f>I52</f>
        <v>0</v>
      </c>
      <c r="I174" s="536"/>
      <c r="J174" s="536"/>
      <c r="K174" s="536"/>
      <c r="L174" s="536"/>
      <c r="M174" s="536"/>
      <c r="N174" s="536"/>
      <c r="O174" s="536"/>
      <c r="P174" s="234"/>
      <c r="Q174" s="228"/>
      <c r="R174" s="228"/>
      <c r="S174" s="228"/>
      <c r="T174" s="228"/>
      <c r="U174" s="228"/>
      <c r="V174" s="228"/>
      <c r="W174" s="228"/>
      <c r="X174" s="228"/>
      <c r="Y174" s="228"/>
      <c r="Z174" s="228"/>
      <c r="AA174" s="228"/>
      <c r="AB174" s="228"/>
      <c r="AC174" s="228"/>
      <c r="AD174" s="228"/>
      <c r="AE174" s="228"/>
      <c r="AF174" s="228"/>
      <c r="AG174" s="228"/>
      <c r="AH174" s="228"/>
      <c r="AI174" s="226"/>
      <c r="AJ174" s="226"/>
      <c r="AK174" s="226"/>
      <c r="AL174" s="226"/>
      <c r="AM174" s="226"/>
      <c r="AN174" s="226"/>
      <c r="AO174" s="226"/>
      <c r="AP174" s="226"/>
      <c r="AQ174" s="226"/>
      <c r="AR174" s="226"/>
      <c r="AS174" s="228"/>
      <c r="AT174" s="228"/>
      <c r="AU174" s="228"/>
      <c r="AV174" s="228"/>
      <c r="AW174" s="228"/>
      <c r="AX174" s="228"/>
      <c r="AY174" s="226"/>
      <c r="AZ174" s="226"/>
      <c r="BA174" s="226"/>
      <c r="BB174" s="226"/>
      <c r="BC174" s="226"/>
      <c r="BD174" s="226"/>
      <c r="BE174" s="226"/>
      <c r="BF174" s="226"/>
      <c r="BG174" s="226"/>
    </row>
    <row r="175" spans="2:74" s="147" customFormat="1" ht="18.75" customHeight="1">
      <c r="B175" s="226"/>
      <c r="C175" s="228" t="s">
        <v>388</v>
      </c>
      <c r="D175" s="228"/>
      <c r="E175" s="228"/>
      <c r="F175" s="228"/>
      <c r="G175" s="228"/>
      <c r="H175" s="228"/>
      <c r="I175" s="226"/>
      <c r="J175" s="228" t="s">
        <v>422</v>
      </c>
      <c r="K175" s="228"/>
      <c r="L175" s="228"/>
      <c r="M175" s="228"/>
      <c r="N175" s="228"/>
      <c r="O175" s="228"/>
      <c r="P175" s="397">
        <f>T176/1000</f>
        <v>0</v>
      </c>
      <c r="Q175" s="397"/>
      <c r="R175" s="397"/>
      <c r="S175" s="262" t="s">
        <v>423</v>
      </c>
      <c r="T175" s="262"/>
      <c r="U175" s="228"/>
      <c r="V175" s="226"/>
      <c r="W175" s="226"/>
      <c r="AC175" s="228"/>
      <c r="AD175" s="228"/>
      <c r="AE175" s="228"/>
      <c r="AF175" s="226"/>
      <c r="AG175" s="226"/>
      <c r="AH175" s="226"/>
      <c r="AI175" s="226"/>
      <c r="AJ175" s="226"/>
      <c r="AK175" s="226"/>
      <c r="AL175" s="226"/>
      <c r="AM175" s="226"/>
      <c r="AN175" s="228"/>
      <c r="AO175" s="228"/>
      <c r="AP175" s="228"/>
      <c r="AQ175" s="228"/>
      <c r="AR175" s="228"/>
      <c r="AS175" s="228"/>
      <c r="AT175" s="228"/>
      <c r="AU175" s="228"/>
      <c r="AV175" s="228"/>
      <c r="AW175" s="228"/>
      <c r="AX175" s="228"/>
      <c r="AY175" s="226"/>
      <c r="AZ175" s="226"/>
      <c r="BA175" s="226"/>
      <c r="BB175" s="226"/>
      <c r="BC175" s="226"/>
      <c r="BD175" s="226"/>
      <c r="BE175" s="226"/>
      <c r="BF175" s="226"/>
      <c r="BG175" s="226"/>
    </row>
    <row r="176" spans="2:74" s="147" customFormat="1" ht="18.75" customHeight="1">
      <c r="B176" s="226"/>
      <c r="C176" s="228"/>
      <c r="D176" s="228"/>
      <c r="E176" s="228"/>
      <c r="F176" s="228"/>
      <c r="G176" s="228"/>
      <c r="H176" s="228"/>
      <c r="I176" s="261"/>
      <c r="K176" s="537" t="s">
        <v>529</v>
      </c>
      <c r="L176" s="537"/>
      <c r="M176" s="537"/>
      <c r="N176" s="405" t="s">
        <v>247</v>
      </c>
      <c r="O176" s="532" t="s">
        <v>424</v>
      </c>
      <c r="P176" s="533"/>
      <c r="Q176" s="533"/>
      <c r="R176" s="533"/>
      <c r="S176" s="405" t="s">
        <v>247</v>
      </c>
      <c r="T176" s="439">
        <f>Calcu!G31</f>
        <v>0</v>
      </c>
      <c r="U176" s="439"/>
      <c r="V176" s="264" t="s">
        <v>425</v>
      </c>
      <c r="W176" s="264"/>
      <c r="X176" s="534" t="s">
        <v>247</v>
      </c>
      <c r="Y176" s="398">
        <f>T176/2/SQRT(3)</f>
        <v>0</v>
      </c>
      <c r="Z176" s="398"/>
      <c r="AA176" s="398"/>
      <c r="AB176" s="538" t="str">
        <f>V176</f>
        <v>μm</v>
      </c>
      <c r="AC176" s="538"/>
      <c r="AD176" s="228"/>
      <c r="AE176" s="226"/>
      <c r="AF176" s="226"/>
      <c r="AG176" s="226"/>
      <c r="AH176" s="226"/>
      <c r="AI176" s="226"/>
      <c r="AJ176" s="226"/>
      <c r="AK176" s="226"/>
      <c r="AL176" s="226"/>
      <c r="AM176" s="226"/>
      <c r="AN176" s="226"/>
      <c r="AO176" s="226"/>
      <c r="AP176" s="226"/>
      <c r="AQ176" s="226"/>
      <c r="AR176" s="228"/>
      <c r="AS176" s="228"/>
      <c r="AT176" s="228"/>
      <c r="AU176" s="228"/>
      <c r="AV176" s="228"/>
      <c r="AW176" s="228"/>
      <c r="AX176" s="228"/>
      <c r="AY176" s="228"/>
      <c r="AZ176" s="226"/>
      <c r="BA176" s="226"/>
      <c r="BB176" s="226"/>
      <c r="BC176" s="226"/>
      <c r="BD176" s="226"/>
      <c r="BE176" s="226"/>
      <c r="BF176" s="226"/>
      <c r="BG176" s="226"/>
      <c r="BH176" s="226"/>
    </row>
    <row r="177" spans="2:60" s="147" customFormat="1" ht="18.75" customHeight="1">
      <c r="B177" s="226"/>
      <c r="C177" s="228"/>
      <c r="D177" s="228"/>
      <c r="E177" s="228"/>
      <c r="F177" s="228"/>
      <c r="G177" s="228"/>
      <c r="H177" s="228"/>
      <c r="I177" s="261"/>
      <c r="J177" s="268"/>
      <c r="K177" s="537"/>
      <c r="L177" s="537"/>
      <c r="M177" s="537"/>
      <c r="N177" s="405"/>
      <c r="O177" s="535"/>
      <c r="P177" s="535"/>
      <c r="Q177" s="535"/>
      <c r="R177" s="535"/>
      <c r="S177" s="405"/>
      <c r="T177" s="535"/>
      <c r="U177" s="535"/>
      <c r="V177" s="535"/>
      <c r="W177" s="535"/>
      <c r="X177" s="534"/>
      <c r="Y177" s="398"/>
      <c r="Z177" s="398"/>
      <c r="AA177" s="398"/>
      <c r="AB177" s="538"/>
      <c r="AC177" s="538"/>
      <c r="AD177" s="228"/>
      <c r="AE177" s="226"/>
      <c r="AF177" s="226"/>
      <c r="AG177" s="226"/>
      <c r="AH177" s="226"/>
      <c r="AI177" s="226"/>
      <c r="AJ177" s="226"/>
      <c r="AK177" s="226"/>
      <c r="AL177" s="226"/>
      <c r="AM177" s="226"/>
      <c r="AN177" s="226"/>
      <c r="AO177" s="226"/>
      <c r="AP177" s="226"/>
      <c r="AQ177" s="226"/>
      <c r="AR177" s="228"/>
      <c r="AS177" s="228"/>
      <c r="AT177" s="228"/>
      <c r="AU177" s="228"/>
      <c r="AV177" s="228"/>
      <c r="AW177" s="228"/>
      <c r="AX177" s="228"/>
      <c r="AY177" s="228"/>
      <c r="AZ177" s="226"/>
      <c r="BA177" s="226"/>
      <c r="BB177" s="226"/>
      <c r="BC177" s="226"/>
      <c r="BD177" s="226"/>
      <c r="BE177" s="226"/>
      <c r="BF177" s="226"/>
      <c r="BG177" s="226"/>
      <c r="BH177" s="226"/>
    </row>
    <row r="178" spans="2:60" s="147" customFormat="1" ht="18.75" customHeight="1">
      <c r="B178" s="226"/>
      <c r="C178" s="228" t="s">
        <v>389</v>
      </c>
      <c r="D178" s="228"/>
      <c r="E178" s="228"/>
      <c r="F178" s="228"/>
      <c r="G178" s="228"/>
      <c r="H178" s="228"/>
      <c r="I178" s="401" t="str">
        <f>W52</f>
        <v>직사각형</v>
      </c>
      <c r="J178" s="401"/>
      <c r="K178" s="401"/>
      <c r="L178" s="401"/>
      <c r="M178" s="401"/>
      <c r="N178" s="401"/>
      <c r="O178" s="401"/>
      <c r="P178" s="401"/>
      <c r="Q178" s="228"/>
      <c r="R178" s="228"/>
      <c r="S178" s="228"/>
      <c r="T178" s="228"/>
      <c r="U178" s="228"/>
      <c r="V178" s="228"/>
      <c r="W178" s="228"/>
      <c r="X178" s="228"/>
      <c r="Y178" s="228"/>
      <c r="Z178" s="226"/>
      <c r="AA178" s="226"/>
      <c r="AB178" s="226"/>
      <c r="AC178" s="226"/>
      <c r="AD178" s="226"/>
      <c r="AE178" s="226"/>
      <c r="AF178" s="226"/>
      <c r="AG178" s="226"/>
      <c r="AH178" s="228"/>
      <c r="AI178" s="228"/>
      <c r="AJ178" s="228"/>
      <c r="AK178" s="228"/>
      <c r="AL178" s="228"/>
      <c r="AM178" s="228"/>
      <c r="AN178" s="228"/>
      <c r="AO178" s="228"/>
      <c r="AP178" s="228"/>
      <c r="AQ178" s="228"/>
      <c r="AR178" s="228"/>
      <c r="AS178" s="228"/>
      <c r="AT178" s="228"/>
      <c r="AU178" s="228"/>
      <c r="AV178" s="228"/>
      <c r="AW178" s="228"/>
      <c r="AX178" s="228"/>
      <c r="AY178" s="226"/>
      <c r="AZ178" s="226"/>
      <c r="BA178" s="226"/>
      <c r="BB178" s="226"/>
      <c r="BC178" s="226"/>
      <c r="BD178" s="226"/>
      <c r="BE178" s="226"/>
      <c r="BF178" s="226"/>
      <c r="BG178" s="226"/>
    </row>
    <row r="179" spans="2:60" s="147" customFormat="1" ht="18.75" customHeight="1">
      <c r="B179" s="226"/>
      <c r="C179" s="400" t="s">
        <v>390</v>
      </c>
      <c r="D179" s="400"/>
      <c r="E179" s="400"/>
      <c r="F179" s="400"/>
      <c r="G179" s="400"/>
      <c r="H179" s="400"/>
      <c r="I179" s="228"/>
      <c r="J179" s="228"/>
      <c r="K179" s="228"/>
      <c r="L179" s="228"/>
      <c r="M179" s="228"/>
      <c r="N179" s="405"/>
      <c r="O179" s="405"/>
      <c r="P179" s="157"/>
      <c r="Q179" s="157"/>
      <c r="R179" s="157"/>
      <c r="S179" s="228"/>
      <c r="T179" s="228"/>
      <c r="U179" s="228"/>
      <c r="V179" s="228"/>
      <c r="W179" s="228"/>
      <c r="X179" s="228"/>
      <c r="Y179" s="228"/>
      <c r="Z179" s="158"/>
      <c r="AA179" s="158"/>
      <c r="AB179" s="228"/>
      <c r="AC179" s="228"/>
      <c r="AD179" s="228"/>
      <c r="AE179" s="228"/>
      <c r="AF179" s="228"/>
      <c r="AG179" s="228"/>
      <c r="AH179" s="228"/>
      <c r="AI179" s="228"/>
      <c r="AJ179" s="228"/>
      <c r="AK179" s="228"/>
      <c r="AL179" s="226"/>
      <c r="AM179" s="226"/>
      <c r="AN179" s="226"/>
      <c r="AO179" s="228"/>
      <c r="AP179" s="228"/>
      <c r="AQ179" s="228"/>
      <c r="AR179" s="228"/>
      <c r="AS179" s="228"/>
      <c r="AT179" s="228"/>
      <c r="AU179" s="228"/>
      <c r="AV179" s="228"/>
      <c r="AW179" s="228"/>
      <c r="AX179" s="228"/>
      <c r="AY179" s="226"/>
      <c r="AZ179" s="226"/>
      <c r="BA179" s="226"/>
      <c r="BB179" s="226"/>
      <c r="BC179" s="226"/>
      <c r="BD179" s="226"/>
      <c r="BE179" s="226"/>
      <c r="BF179" s="226"/>
      <c r="BG179" s="226"/>
    </row>
    <row r="180" spans="2:60" s="147" customFormat="1" ht="18.75" customHeight="1">
      <c r="B180" s="226"/>
      <c r="C180" s="400"/>
      <c r="D180" s="400"/>
      <c r="E180" s="400"/>
      <c r="F180" s="400"/>
      <c r="G180" s="400"/>
      <c r="H180" s="400"/>
      <c r="I180" s="228"/>
      <c r="J180" s="228"/>
      <c r="K180" s="228"/>
      <c r="L180" s="228"/>
      <c r="M180" s="228"/>
      <c r="N180" s="405"/>
      <c r="O180" s="405"/>
      <c r="P180" s="157"/>
      <c r="Q180" s="157"/>
      <c r="R180" s="157"/>
      <c r="S180" s="228"/>
      <c r="T180" s="228"/>
      <c r="U180" s="228"/>
      <c r="V180" s="228"/>
      <c r="W180" s="228"/>
      <c r="X180" s="228"/>
      <c r="Y180" s="228"/>
      <c r="Z180" s="158"/>
      <c r="AA180" s="158"/>
      <c r="AB180" s="228"/>
      <c r="AC180" s="228"/>
      <c r="AD180" s="228"/>
      <c r="AE180" s="228"/>
      <c r="AF180" s="228"/>
      <c r="AG180" s="228"/>
      <c r="AH180" s="228"/>
      <c r="AI180" s="228"/>
      <c r="AJ180" s="228"/>
      <c r="AK180" s="228"/>
      <c r="AL180" s="226"/>
      <c r="AM180" s="226"/>
      <c r="AN180" s="226"/>
      <c r="AO180" s="228"/>
      <c r="AP180" s="228"/>
      <c r="AQ180" s="228"/>
      <c r="AR180" s="228"/>
      <c r="AS180" s="228"/>
      <c r="AT180" s="228"/>
      <c r="AU180" s="228"/>
      <c r="AV180" s="228"/>
      <c r="AW180" s="228"/>
      <c r="AX180" s="228"/>
      <c r="AY180" s="226"/>
      <c r="AZ180" s="226"/>
      <c r="BA180" s="226"/>
      <c r="BB180" s="226"/>
      <c r="BC180" s="226"/>
      <c r="BD180" s="226"/>
      <c r="BE180" s="226"/>
      <c r="BF180" s="226"/>
      <c r="BG180" s="226"/>
    </row>
    <row r="181" spans="2:60" s="147" customFormat="1" ht="18.75" customHeight="1">
      <c r="B181" s="226"/>
      <c r="C181" s="228" t="s">
        <v>391</v>
      </c>
      <c r="D181" s="228"/>
      <c r="E181" s="228"/>
      <c r="F181" s="228"/>
      <c r="G181" s="228"/>
      <c r="H181" s="228"/>
      <c r="I181" s="228"/>
      <c r="J181" s="226"/>
      <c r="K181" s="226" t="s">
        <v>263</v>
      </c>
      <c r="L181" s="405">
        <v>1</v>
      </c>
      <c r="M181" s="405"/>
      <c r="N181" s="266" t="s">
        <v>84</v>
      </c>
      <c r="O181" s="398">
        <f>Y176</f>
        <v>0</v>
      </c>
      <c r="P181" s="398"/>
      <c r="Q181" s="398"/>
      <c r="R181" s="396" t="str">
        <f>AB176</f>
        <v>μm</v>
      </c>
      <c r="S181" s="397"/>
      <c r="T181" s="265" t="s">
        <v>426</v>
      </c>
      <c r="U181" s="74" t="s">
        <v>247</v>
      </c>
      <c r="V181" s="398">
        <f>L181*O181</f>
        <v>0</v>
      </c>
      <c r="W181" s="398"/>
      <c r="X181" s="398"/>
      <c r="Y181" s="263" t="str">
        <f>R181</f>
        <v>μm</v>
      </c>
      <c r="Z181" s="57"/>
      <c r="AA181" s="262"/>
      <c r="AB181" s="159"/>
      <c r="AC181" s="150"/>
      <c r="AD181" s="226"/>
      <c r="AE181" s="228"/>
      <c r="AF181" s="226"/>
      <c r="AG181" s="226"/>
      <c r="AH181" s="226"/>
      <c r="AI181" s="226"/>
      <c r="AJ181" s="226"/>
      <c r="AK181" s="228"/>
      <c r="AL181" s="226"/>
      <c r="AM181" s="226"/>
      <c r="AN181" s="226"/>
      <c r="AO181" s="228"/>
      <c r="AP181" s="228"/>
      <c r="AQ181" s="228"/>
      <c r="AR181" s="228"/>
      <c r="AS181" s="228"/>
      <c r="AT181" s="228"/>
      <c r="AU181" s="228"/>
      <c r="AV181" s="228"/>
      <c r="AW181" s="228"/>
      <c r="AX181" s="228"/>
      <c r="AY181" s="226"/>
      <c r="AZ181" s="226"/>
      <c r="BA181" s="226"/>
      <c r="BB181" s="226"/>
      <c r="BC181" s="226"/>
      <c r="BD181" s="226"/>
      <c r="BE181" s="226"/>
      <c r="BF181" s="226"/>
      <c r="BG181" s="226"/>
    </row>
    <row r="182" spans="2:60" s="147" customFormat="1" ht="18.75" customHeight="1">
      <c r="B182" s="226"/>
      <c r="C182" s="400" t="s">
        <v>392</v>
      </c>
      <c r="D182" s="400"/>
      <c r="E182" s="400"/>
      <c r="F182" s="400"/>
      <c r="G182" s="400"/>
      <c r="H182" s="228"/>
      <c r="J182" s="228"/>
      <c r="K182" s="228"/>
      <c r="L182" s="228"/>
      <c r="M182" s="228"/>
      <c r="N182" s="228"/>
      <c r="O182" s="228"/>
      <c r="P182" s="228"/>
      <c r="Q182" s="228"/>
      <c r="R182" s="150"/>
      <c r="S182" s="228"/>
      <c r="T182" s="228"/>
      <c r="U182" s="228"/>
      <c r="W182" s="228"/>
      <c r="X182" s="58" t="s">
        <v>90</v>
      </c>
      <c r="Y182" s="228"/>
      <c r="Z182" s="228"/>
      <c r="AA182" s="228"/>
      <c r="AB182" s="228"/>
      <c r="AC182" s="228"/>
      <c r="AD182" s="228"/>
      <c r="AE182" s="226"/>
      <c r="AF182" s="226"/>
      <c r="AG182" s="226"/>
      <c r="AH182" s="226"/>
      <c r="AI182" s="226"/>
      <c r="AJ182" s="226"/>
      <c r="AK182" s="226"/>
      <c r="AL182" s="226"/>
      <c r="AM182" s="226"/>
      <c r="AN182" s="226"/>
      <c r="AO182" s="226"/>
      <c r="AP182" s="226"/>
      <c r="AQ182" s="226"/>
      <c r="AR182" s="226"/>
      <c r="AS182" s="226"/>
      <c r="AT182" s="226"/>
      <c r="AU182" s="226"/>
      <c r="AV182" s="226"/>
      <c r="AW182" s="226"/>
      <c r="AX182" s="226"/>
      <c r="AY182" s="226"/>
      <c r="AZ182" s="226"/>
      <c r="BA182" s="226"/>
      <c r="BB182" s="226"/>
      <c r="BC182" s="226"/>
      <c r="BD182" s="226"/>
      <c r="BE182" s="226"/>
      <c r="BF182" s="226"/>
      <c r="BG182" s="226"/>
    </row>
    <row r="183" spans="2:60" s="147" customFormat="1" ht="18.75" customHeight="1">
      <c r="B183" s="226"/>
      <c r="C183" s="400"/>
      <c r="D183" s="400"/>
      <c r="E183" s="400"/>
      <c r="F183" s="400"/>
      <c r="G183" s="400"/>
      <c r="H183" s="228"/>
      <c r="I183" s="228"/>
      <c r="J183" s="228"/>
      <c r="K183" s="228"/>
      <c r="L183" s="228"/>
      <c r="M183" s="228"/>
      <c r="N183" s="228"/>
      <c r="O183" s="228"/>
      <c r="P183" s="228"/>
      <c r="Q183" s="228"/>
      <c r="R183" s="150"/>
      <c r="S183" s="228"/>
      <c r="T183" s="228"/>
      <c r="U183" s="228"/>
      <c r="V183" s="228"/>
      <c r="W183" s="228"/>
      <c r="X183" s="228"/>
      <c r="Y183" s="228"/>
      <c r="Z183" s="228"/>
      <c r="AA183" s="228"/>
      <c r="AB183" s="228"/>
      <c r="AC183" s="228"/>
      <c r="AD183" s="228"/>
      <c r="AE183" s="226"/>
      <c r="AF183" s="226"/>
      <c r="AG183" s="226"/>
      <c r="AH183" s="226"/>
      <c r="AI183" s="226"/>
      <c r="AJ183" s="226"/>
      <c r="AK183" s="226"/>
      <c r="AL183" s="226"/>
      <c r="AM183" s="226"/>
      <c r="AN183" s="226"/>
      <c r="AO183" s="226"/>
      <c r="AP183" s="226"/>
      <c r="AQ183" s="226"/>
      <c r="AR183" s="226"/>
      <c r="AS183" s="226"/>
      <c r="AT183" s="226"/>
      <c r="AU183" s="226"/>
      <c r="AV183" s="226"/>
      <c r="AW183" s="226"/>
      <c r="AX183" s="226"/>
      <c r="AY183" s="226"/>
      <c r="AZ183" s="226"/>
      <c r="BA183" s="226"/>
      <c r="BB183" s="226"/>
      <c r="BC183" s="226"/>
      <c r="BD183" s="226"/>
      <c r="BE183" s="226"/>
      <c r="BF183" s="226"/>
      <c r="BG183" s="226"/>
    </row>
    <row r="184" spans="2:60" s="147" customFormat="1" ht="18.75" customHeight="1">
      <c r="B184" s="226"/>
      <c r="C184" s="59"/>
      <c r="D184" s="228"/>
      <c r="E184" s="228"/>
      <c r="F184" s="228"/>
      <c r="G184" s="226"/>
      <c r="H184" s="228"/>
      <c r="I184" s="228"/>
      <c r="J184" s="228"/>
      <c r="K184" s="228"/>
      <c r="L184" s="228"/>
      <c r="M184" s="228"/>
      <c r="N184" s="228"/>
      <c r="O184" s="228"/>
      <c r="P184" s="228"/>
      <c r="Q184" s="228"/>
      <c r="R184" s="228"/>
      <c r="S184" s="228"/>
      <c r="T184" s="228"/>
      <c r="U184" s="228"/>
      <c r="V184" s="228"/>
      <c r="W184" s="228"/>
      <c r="X184" s="228"/>
      <c r="Y184" s="228"/>
      <c r="Z184" s="228"/>
      <c r="AA184" s="228"/>
      <c r="AB184" s="228"/>
      <c r="AC184" s="228"/>
      <c r="AD184" s="228"/>
      <c r="AE184" s="226"/>
      <c r="AF184" s="228"/>
      <c r="AG184" s="226"/>
      <c r="AH184" s="226"/>
      <c r="AI184" s="226"/>
      <c r="AJ184" s="226"/>
      <c r="AK184" s="226"/>
      <c r="AL184" s="226"/>
      <c r="AM184" s="226"/>
      <c r="AN184" s="226"/>
      <c r="AO184" s="226"/>
      <c r="AP184" s="226"/>
      <c r="AQ184" s="226"/>
      <c r="AR184" s="226"/>
      <c r="AS184" s="226"/>
      <c r="AT184" s="226"/>
      <c r="AU184" s="226"/>
      <c r="AV184" s="226"/>
      <c r="AW184" s="226"/>
      <c r="AX184" s="226"/>
      <c r="AY184" s="226"/>
      <c r="AZ184" s="226"/>
      <c r="BA184" s="226"/>
      <c r="BB184" s="226"/>
      <c r="BC184" s="226"/>
      <c r="BD184" s="226"/>
      <c r="BE184" s="226"/>
      <c r="BF184" s="226"/>
      <c r="BG184" s="226"/>
    </row>
    <row r="185" spans="2:60" s="147" customFormat="1" ht="18.75" customHeight="1">
      <c r="B185" s="59" t="s">
        <v>530</v>
      </c>
      <c r="C185" s="228"/>
      <c r="E185" s="228"/>
      <c r="F185" s="228"/>
      <c r="G185" s="226"/>
      <c r="H185" s="228"/>
      <c r="I185" s="228"/>
      <c r="J185" s="228"/>
      <c r="K185" s="228"/>
      <c r="L185" s="228"/>
      <c r="M185" s="228"/>
      <c r="N185" s="228"/>
      <c r="O185" s="228"/>
      <c r="P185" s="228"/>
      <c r="Q185" s="228"/>
      <c r="R185" s="228"/>
      <c r="S185" s="228"/>
      <c r="T185" s="228"/>
      <c r="U185" s="228"/>
      <c r="V185" s="228"/>
      <c r="W185" s="228"/>
      <c r="X185" s="228"/>
      <c r="Y185" s="228"/>
      <c r="Z185" s="228"/>
      <c r="AA185" s="228"/>
      <c r="AB185" s="228"/>
      <c r="AC185" s="228"/>
      <c r="AD185" s="228"/>
      <c r="AE185" s="226"/>
      <c r="AF185" s="228"/>
      <c r="AG185" s="226"/>
      <c r="AH185" s="226"/>
      <c r="AI185" s="226"/>
      <c r="AJ185" s="226"/>
      <c r="AK185" s="226"/>
      <c r="AL185" s="226"/>
      <c r="AM185" s="226"/>
      <c r="AN185" s="226"/>
      <c r="AO185" s="226"/>
      <c r="AP185" s="226"/>
      <c r="AQ185" s="226"/>
      <c r="AR185" s="226"/>
      <c r="AS185" s="226"/>
      <c r="AT185" s="226"/>
      <c r="AU185" s="226"/>
      <c r="AV185" s="226"/>
      <c r="AW185" s="226"/>
      <c r="AX185" s="226"/>
      <c r="AY185" s="226"/>
      <c r="AZ185" s="226"/>
      <c r="BA185" s="226"/>
      <c r="BB185" s="226"/>
      <c r="BC185" s="226"/>
      <c r="BD185" s="226"/>
      <c r="BE185" s="226"/>
      <c r="BF185" s="226"/>
      <c r="BG185" s="226"/>
    </row>
    <row r="186" spans="2:60" s="147" customFormat="1" ht="18.75" customHeight="1">
      <c r="B186" s="59"/>
      <c r="C186" s="228" t="s">
        <v>395</v>
      </c>
      <c r="D186" s="228"/>
      <c r="E186" s="228"/>
      <c r="F186" s="228"/>
      <c r="G186" s="228"/>
      <c r="H186" s="228"/>
      <c r="I186" s="228"/>
      <c r="J186" s="261"/>
      <c r="K186" s="261"/>
      <c r="L186" s="261"/>
      <c r="M186" s="261"/>
      <c r="N186" s="261"/>
      <c r="O186" s="261"/>
      <c r="P186" s="261"/>
      <c r="Q186" s="261"/>
      <c r="R186" s="261"/>
      <c r="S186" s="261"/>
      <c r="T186" s="261"/>
      <c r="U186" s="261"/>
      <c r="V186" s="261"/>
      <c r="W186" s="261"/>
      <c r="X186" s="261"/>
      <c r="Y186" s="261"/>
      <c r="Z186" s="261"/>
      <c r="AA186" s="261"/>
      <c r="AB186" s="261"/>
      <c r="AC186" s="261"/>
      <c r="AD186" s="261"/>
      <c r="AE186" s="260"/>
      <c r="AF186" s="261"/>
      <c r="AG186" s="260"/>
      <c r="AH186" s="260"/>
      <c r="AI186" s="260"/>
      <c r="AJ186" s="260"/>
      <c r="AK186" s="260"/>
      <c r="AL186" s="260"/>
      <c r="AM186" s="260"/>
      <c r="AN186" s="260"/>
      <c r="AO186" s="260"/>
      <c r="AP186" s="260"/>
      <c r="AQ186" s="260"/>
      <c r="AR186" s="260"/>
      <c r="AS186" s="260"/>
      <c r="AT186" s="260"/>
      <c r="AU186" s="260"/>
      <c r="AV186" s="260"/>
      <c r="AW186" s="260"/>
      <c r="AX186" s="260"/>
      <c r="AY186" s="260"/>
      <c r="AZ186" s="260"/>
      <c r="BA186" s="260"/>
      <c r="BB186" s="260"/>
      <c r="BC186" s="260"/>
      <c r="BD186" s="260"/>
      <c r="BE186" s="260"/>
      <c r="BF186" s="260"/>
      <c r="BG186" s="260"/>
    </row>
    <row r="187" spans="2:60" s="147" customFormat="1" ht="18.75" customHeight="1">
      <c r="B187" s="59"/>
      <c r="C187" s="229"/>
      <c r="D187" s="228" t="s">
        <v>396</v>
      </c>
      <c r="E187" s="238"/>
      <c r="F187" s="238"/>
      <c r="G187" s="238"/>
      <c r="H187" s="252"/>
      <c r="I187" s="252"/>
      <c r="J187" s="261"/>
      <c r="K187" s="261"/>
      <c r="L187" s="261"/>
      <c r="M187" s="261"/>
      <c r="N187" s="261"/>
      <c r="O187" s="261"/>
      <c r="P187" s="261"/>
      <c r="Q187" s="261"/>
      <c r="R187" s="261"/>
      <c r="S187" s="261"/>
      <c r="T187" s="261"/>
      <c r="U187" s="261"/>
      <c r="V187" s="261"/>
      <c r="W187" s="261"/>
      <c r="X187" s="261"/>
      <c r="Y187" s="261"/>
      <c r="Z187" s="261"/>
      <c r="AA187" s="261"/>
      <c r="AB187" s="261"/>
      <c r="AC187" s="261"/>
      <c r="AD187" s="261"/>
      <c r="AE187" s="260"/>
      <c r="AF187" s="261"/>
      <c r="AG187" s="260"/>
      <c r="AH187" s="260"/>
      <c r="AI187" s="260"/>
      <c r="AJ187" s="260"/>
      <c r="AK187" s="260"/>
      <c r="AL187" s="260"/>
      <c r="AM187" s="260"/>
      <c r="AN187" s="260"/>
      <c r="AO187" s="260"/>
      <c r="AP187" s="260"/>
      <c r="AQ187" s="260"/>
      <c r="AR187" s="260"/>
      <c r="AS187" s="260"/>
      <c r="AT187" s="260"/>
      <c r="AU187" s="260"/>
      <c r="AV187" s="260"/>
      <c r="AW187" s="260"/>
      <c r="AX187" s="260"/>
      <c r="AY187" s="260"/>
      <c r="AZ187" s="260"/>
      <c r="BA187" s="260"/>
      <c r="BB187" s="260"/>
      <c r="BC187" s="260"/>
      <c r="BD187" s="260"/>
      <c r="BE187" s="260"/>
      <c r="BF187" s="260"/>
      <c r="BG187" s="260"/>
    </row>
    <row r="188" spans="2:60" s="147" customFormat="1" ht="18.75" customHeight="1">
      <c r="B188" s="226"/>
      <c r="C188" s="229" t="s">
        <v>393</v>
      </c>
      <c r="D188" s="226"/>
      <c r="E188" s="226"/>
      <c r="F188" s="226"/>
      <c r="G188" s="226"/>
      <c r="H188" s="545">
        <v>0</v>
      </c>
      <c r="I188" s="545"/>
      <c r="J188" s="545"/>
      <c r="K188" s="545"/>
      <c r="L188" s="545"/>
      <c r="M188" s="545"/>
      <c r="N188" s="545"/>
      <c r="O188" s="545"/>
      <c r="P188" s="234"/>
      <c r="Q188" s="228"/>
      <c r="R188" s="228"/>
      <c r="S188" s="228"/>
      <c r="T188" s="228"/>
      <c r="U188" s="228"/>
      <c r="V188" s="228"/>
      <c r="W188" s="228"/>
      <c r="X188" s="228"/>
      <c r="Y188" s="228"/>
      <c r="Z188" s="228"/>
      <c r="AA188" s="228"/>
      <c r="AB188" s="228"/>
      <c r="AC188" s="228"/>
      <c r="AD188" s="228"/>
      <c r="AE188" s="228"/>
      <c r="AF188" s="228"/>
      <c r="AG188" s="228"/>
      <c r="AH188" s="228"/>
      <c r="AI188" s="228"/>
      <c r="AJ188" s="228"/>
      <c r="AK188" s="228"/>
      <c r="AL188" s="228"/>
      <c r="AM188" s="228"/>
      <c r="AN188" s="228"/>
      <c r="AO188" s="228"/>
      <c r="AP188" s="228"/>
      <c r="AQ188" s="228"/>
      <c r="AR188" s="228"/>
      <c r="AS188" s="228"/>
      <c r="AT188" s="228"/>
      <c r="AU188" s="228"/>
      <c r="AV188" s="228"/>
      <c r="AW188" s="228"/>
      <c r="AX188" s="228"/>
      <c r="AY188" s="226"/>
      <c r="AZ188" s="226"/>
      <c r="BA188" s="226"/>
      <c r="BB188" s="226"/>
      <c r="BC188" s="226"/>
      <c r="BD188" s="226"/>
      <c r="BE188" s="226"/>
      <c r="BF188" s="226"/>
      <c r="BG188" s="226"/>
    </row>
    <row r="189" spans="2:60" s="147" customFormat="1" ht="18.75" customHeight="1">
      <c r="B189" s="226"/>
      <c r="C189" s="400" t="s">
        <v>394</v>
      </c>
      <c r="D189" s="400"/>
      <c r="E189" s="400"/>
      <c r="F189" s="400"/>
      <c r="G189" s="400"/>
      <c r="H189" s="400"/>
      <c r="I189" s="400"/>
      <c r="J189" s="537" t="s">
        <v>531</v>
      </c>
      <c r="K189" s="537"/>
      <c r="L189" s="537"/>
      <c r="M189" s="534" t="s">
        <v>247</v>
      </c>
      <c r="N189" s="439">
        <f>Calcu!G32</f>
        <v>1</v>
      </c>
      <c r="O189" s="439"/>
      <c r="P189" s="264" t="s">
        <v>427</v>
      </c>
      <c r="Q189" s="264"/>
      <c r="R189" s="534" t="s">
        <v>247</v>
      </c>
      <c r="S189" s="398">
        <f>N189/2/SQRT(3)</f>
        <v>0.28867513459481292</v>
      </c>
      <c r="T189" s="398"/>
      <c r="U189" s="398"/>
      <c r="V189" s="397" t="str">
        <f>P189</f>
        <v>μm</v>
      </c>
      <c r="W189" s="397"/>
      <c r="X189" s="156"/>
      <c r="Y189" s="156"/>
      <c r="Z189" s="156"/>
      <c r="AA189" s="228"/>
      <c r="AB189" s="228"/>
      <c r="AC189" s="228"/>
      <c r="AD189" s="228"/>
      <c r="AE189" s="228"/>
      <c r="AF189" s="228"/>
      <c r="AG189" s="228"/>
      <c r="AH189" s="228"/>
      <c r="AI189" s="228"/>
      <c r="AJ189" s="228"/>
      <c r="AK189" s="228"/>
      <c r="AL189" s="228"/>
      <c r="AM189" s="226"/>
      <c r="AN189" s="226"/>
      <c r="AO189" s="226"/>
      <c r="AP189" s="226"/>
      <c r="AQ189" s="228"/>
      <c r="AR189" s="228"/>
      <c r="AS189" s="228"/>
      <c r="AT189" s="228"/>
      <c r="AU189" s="228"/>
      <c r="AV189" s="228"/>
      <c r="AW189" s="228"/>
      <c r="AX189" s="228"/>
      <c r="AY189" s="226"/>
      <c r="AZ189" s="226"/>
      <c r="BA189" s="226"/>
      <c r="BB189" s="226"/>
      <c r="BC189" s="226"/>
      <c r="BD189" s="226"/>
      <c r="BE189" s="226"/>
      <c r="BF189" s="226"/>
      <c r="BG189" s="226"/>
    </row>
    <row r="190" spans="2:60" s="147" customFormat="1" ht="18.75" customHeight="1">
      <c r="B190" s="226"/>
      <c r="C190" s="400"/>
      <c r="D190" s="400"/>
      <c r="E190" s="400"/>
      <c r="F190" s="400"/>
      <c r="G190" s="400"/>
      <c r="H190" s="400"/>
      <c r="I190" s="400"/>
      <c r="J190" s="537"/>
      <c r="K190" s="537"/>
      <c r="L190" s="537"/>
      <c r="M190" s="534"/>
      <c r="N190" s="535"/>
      <c r="O190" s="535"/>
      <c r="P190" s="535"/>
      <c r="Q190" s="535"/>
      <c r="R190" s="534"/>
      <c r="S190" s="398"/>
      <c r="T190" s="398"/>
      <c r="U190" s="398"/>
      <c r="V190" s="397"/>
      <c r="W190" s="397"/>
      <c r="X190" s="156"/>
      <c r="Y190" s="156"/>
      <c r="Z190" s="156"/>
      <c r="AA190" s="228"/>
      <c r="AB190" s="228"/>
      <c r="AC190" s="228"/>
      <c r="AD190" s="228"/>
      <c r="AE190" s="228"/>
      <c r="AF190" s="228"/>
      <c r="AG190" s="228"/>
      <c r="AH190" s="228"/>
      <c r="AI190" s="228"/>
      <c r="AJ190" s="228"/>
      <c r="AK190" s="228"/>
      <c r="AL190" s="228"/>
      <c r="AM190" s="226"/>
      <c r="AN190" s="226"/>
      <c r="AO190" s="226"/>
      <c r="AP190" s="226"/>
      <c r="AQ190" s="228"/>
      <c r="AR190" s="228"/>
      <c r="AS190" s="228"/>
      <c r="AT190" s="228"/>
      <c r="AU190" s="228"/>
      <c r="AV190" s="228"/>
      <c r="AW190" s="228"/>
      <c r="AX190" s="228"/>
      <c r="AY190" s="226"/>
      <c r="AZ190" s="226"/>
      <c r="BA190" s="226"/>
      <c r="BB190" s="226"/>
      <c r="BC190" s="226"/>
      <c r="BD190" s="226"/>
      <c r="BE190" s="226"/>
      <c r="BF190" s="226"/>
      <c r="BG190" s="226"/>
    </row>
    <row r="191" spans="2:60" s="147" customFormat="1" ht="18.75" customHeight="1">
      <c r="B191" s="226"/>
      <c r="C191" s="228" t="s">
        <v>397</v>
      </c>
      <c r="D191" s="228"/>
      <c r="E191" s="228"/>
      <c r="F191" s="228"/>
      <c r="G191" s="228"/>
      <c r="H191" s="228"/>
      <c r="I191" s="401" t="str">
        <f>W53</f>
        <v>직사각형</v>
      </c>
      <c r="J191" s="401"/>
      <c r="K191" s="401"/>
      <c r="L191" s="401"/>
      <c r="M191" s="401"/>
      <c r="N191" s="401"/>
      <c r="O191" s="401"/>
      <c r="P191" s="401"/>
      <c r="Q191" s="228"/>
      <c r="R191" s="228"/>
      <c r="S191" s="228"/>
      <c r="T191" s="228"/>
      <c r="U191" s="228"/>
      <c r="V191" s="228"/>
      <c r="W191" s="228"/>
      <c r="X191" s="228"/>
      <c r="Y191" s="228"/>
      <c r="Z191" s="226"/>
      <c r="AA191" s="226"/>
      <c r="AB191" s="226"/>
      <c r="AC191" s="226"/>
      <c r="AD191" s="226"/>
      <c r="AE191" s="226"/>
      <c r="AF191" s="226"/>
      <c r="AG191" s="226"/>
      <c r="AH191" s="228"/>
      <c r="AI191" s="228"/>
      <c r="AJ191" s="228"/>
      <c r="AK191" s="228"/>
      <c r="AL191" s="226"/>
      <c r="AM191" s="226"/>
      <c r="AN191" s="226"/>
      <c r="AO191" s="226"/>
      <c r="AP191" s="226"/>
      <c r="AQ191" s="226"/>
      <c r="AR191" s="226"/>
      <c r="AS191" s="228"/>
      <c r="AT191" s="228"/>
      <c r="AU191" s="228"/>
      <c r="AV191" s="228"/>
      <c r="AW191" s="228"/>
      <c r="AX191" s="228"/>
      <c r="AY191" s="226"/>
      <c r="AZ191" s="226"/>
      <c r="BA191" s="226"/>
      <c r="BB191" s="226"/>
      <c r="BC191" s="226"/>
      <c r="BD191" s="226"/>
      <c r="BE191" s="226"/>
      <c r="BF191" s="226"/>
      <c r="BG191" s="226"/>
    </row>
    <row r="192" spans="2:60" s="147" customFormat="1" ht="18.75" customHeight="1">
      <c r="B192" s="226"/>
      <c r="C192" s="400" t="s">
        <v>398</v>
      </c>
      <c r="D192" s="400"/>
      <c r="E192" s="400"/>
      <c r="F192" s="400"/>
      <c r="G192" s="400"/>
      <c r="H192" s="400"/>
      <c r="I192" s="228"/>
      <c r="J192" s="228"/>
      <c r="K192" s="228"/>
      <c r="L192" s="228"/>
      <c r="M192" s="228"/>
      <c r="N192" s="228"/>
      <c r="O192" s="226"/>
      <c r="P192" s="157"/>
      <c r="Q192" s="157"/>
      <c r="R192" s="157"/>
      <c r="S192" s="228"/>
      <c r="T192" s="228"/>
      <c r="U192" s="228"/>
      <c r="V192" s="228"/>
      <c r="W192" s="228"/>
      <c r="X192" s="228"/>
      <c r="Y192" s="228"/>
      <c r="Z192" s="158"/>
      <c r="AA192" s="158"/>
      <c r="AB192" s="228"/>
      <c r="AC192" s="228"/>
      <c r="AD192" s="228"/>
      <c r="AE192" s="228"/>
      <c r="AF192" s="228"/>
      <c r="AG192" s="228"/>
      <c r="AH192" s="228"/>
      <c r="AI192" s="228"/>
      <c r="AJ192" s="228"/>
      <c r="AK192" s="228"/>
      <c r="AL192" s="226"/>
      <c r="AM192" s="226"/>
      <c r="AN192" s="226"/>
      <c r="AO192" s="228"/>
      <c r="AP192" s="228"/>
      <c r="AQ192" s="228"/>
      <c r="AR192" s="228"/>
      <c r="AS192" s="228"/>
      <c r="AT192" s="228"/>
      <c r="AU192" s="228"/>
      <c r="AV192" s="228"/>
      <c r="AW192" s="228"/>
      <c r="AX192" s="228"/>
      <c r="AY192" s="226"/>
      <c r="AZ192" s="226"/>
      <c r="BA192" s="226"/>
      <c r="BB192" s="226"/>
      <c r="BC192" s="226"/>
      <c r="BD192" s="226"/>
      <c r="BE192" s="226"/>
      <c r="BF192" s="226"/>
      <c r="BG192" s="226"/>
    </row>
    <row r="193" spans="1:78" s="147" customFormat="1" ht="18.75" customHeight="1">
      <c r="B193" s="226"/>
      <c r="C193" s="400"/>
      <c r="D193" s="400"/>
      <c r="E193" s="400"/>
      <c r="F193" s="400"/>
      <c r="G193" s="400"/>
      <c r="H193" s="400"/>
      <c r="I193" s="228"/>
      <c r="J193" s="228"/>
      <c r="K193" s="228"/>
      <c r="L193" s="228"/>
      <c r="M193" s="228"/>
      <c r="N193" s="228"/>
      <c r="O193" s="228"/>
      <c r="P193" s="157"/>
      <c r="Q193" s="157"/>
      <c r="R193" s="157"/>
      <c r="S193" s="228"/>
      <c r="T193" s="228"/>
      <c r="U193" s="228"/>
      <c r="V193" s="228"/>
      <c r="W193" s="228"/>
      <c r="X193" s="228"/>
      <c r="Y193" s="228"/>
      <c r="Z193" s="158"/>
      <c r="AA193" s="158"/>
      <c r="AB193" s="228"/>
      <c r="AC193" s="228"/>
      <c r="AD193" s="228"/>
      <c r="AE193" s="228"/>
      <c r="AF193" s="228"/>
      <c r="AG193" s="228"/>
      <c r="AH193" s="228"/>
      <c r="AI193" s="228"/>
      <c r="AJ193" s="228"/>
      <c r="AK193" s="228"/>
      <c r="AL193" s="226"/>
      <c r="AM193" s="226"/>
      <c r="AN193" s="226"/>
      <c r="AO193" s="228"/>
      <c r="AP193" s="228"/>
      <c r="AQ193" s="228"/>
      <c r="AR193" s="228"/>
      <c r="AS193" s="228"/>
      <c r="AT193" s="228"/>
      <c r="AU193" s="228"/>
      <c r="AV193" s="228"/>
      <c r="AW193" s="228"/>
      <c r="AX193" s="228"/>
      <c r="AY193" s="226"/>
      <c r="AZ193" s="226"/>
      <c r="BA193" s="226"/>
      <c r="BB193" s="226"/>
      <c r="BC193" s="226"/>
      <c r="BD193" s="226"/>
      <c r="BE193" s="226"/>
      <c r="BF193" s="226"/>
      <c r="BG193" s="226"/>
    </row>
    <row r="194" spans="1:78" s="147" customFormat="1" ht="18.75" customHeight="1">
      <c r="B194" s="226"/>
      <c r="C194" s="228" t="s">
        <v>399</v>
      </c>
      <c r="D194" s="228"/>
      <c r="E194" s="228"/>
      <c r="F194" s="228"/>
      <c r="G194" s="228"/>
      <c r="H194" s="228"/>
      <c r="I194" s="228"/>
      <c r="J194" s="226"/>
      <c r="K194" s="226" t="s">
        <v>263</v>
      </c>
      <c r="L194" s="405">
        <v>1</v>
      </c>
      <c r="M194" s="405"/>
      <c r="N194" s="266" t="s">
        <v>428</v>
      </c>
      <c r="O194" s="398">
        <f>S189</f>
        <v>0.28867513459481292</v>
      </c>
      <c r="P194" s="398"/>
      <c r="Q194" s="398"/>
      <c r="R194" s="396" t="str">
        <f>V189</f>
        <v>μm</v>
      </c>
      <c r="S194" s="397"/>
      <c r="T194" s="265" t="s">
        <v>426</v>
      </c>
      <c r="U194" s="74" t="s">
        <v>247</v>
      </c>
      <c r="V194" s="398">
        <f>L194*O194</f>
        <v>0.28867513459481292</v>
      </c>
      <c r="W194" s="398"/>
      <c r="X194" s="398"/>
      <c r="Y194" s="263" t="str">
        <f>R194</f>
        <v>μm</v>
      </c>
      <c r="Z194" s="57"/>
      <c r="AA194" s="262"/>
      <c r="AB194" s="159"/>
      <c r="AC194" s="150"/>
      <c r="AD194" s="226"/>
      <c r="AE194" s="228"/>
      <c r="AF194" s="226"/>
      <c r="AG194" s="226"/>
      <c r="AH194" s="226"/>
      <c r="AI194" s="226"/>
      <c r="AJ194" s="226"/>
      <c r="AK194" s="228"/>
      <c r="AL194" s="226"/>
      <c r="AM194" s="226"/>
      <c r="AN194" s="226"/>
      <c r="AO194" s="228"/>
      <c r="AP194" s="228"/>
      <c r="AQ194" s="228"/>
      <c r="AR194" s="228"/>
      <c r="AS194" s="228"/>
      <c r="AT194" s="228"/>
      <c r="AU194" s="228"/>
      <c r="AV194" s="228"/>
      <c r="AW194" s="228"/>
      <c r="AX194" s="228"/>
      <c r="AY194" s="226"/>
      <c r="AZ194" s="226"/>
      <c r="BA194" s="226"/>
      <c r="BB194" s="226"/>
      <c r="BC194" s="226"/>
      <c r="BD194" s="226"/>
      <c r="BE194" s="226"/>
      <c r="BF194" s="226"/>
      <c r="BG194" s="226"/>
    </row>
    <row r="195" spans="1:78" s="147" customFormat="1" ht="18.75" customHeight="1">
      <c r="B195" s="226"/>
      <c r="C195" s="400" t="s">
        <v>400</v>
      </c>
      <c r="D195" s="400"/>
      <c r="E195" s="400"/>
      <c r="F195" s="400"/>
      <c r="G195" s="400"/>
      <c r="H195" s="228"/>
      <c r="J195" s="228"/>
      <c r="K195" s="228"/>
      <c r="L195" s="228"/>
      <c r="M195" s="228"/>
      <c r="N195" s="228"/>
      <c r="O195" s="228"/>
      <c r="P195" s="228"/>
      <c r="Q195" s="228"/>
      <c r="R195" s="150"/>
      <c r="S195" s="228"/>
      <c r="T195" s="228"/>
      <c r="U195" s="228"/>
      <c r="V195" s="58" t="s">
        <v>401</v>
      </c>
      <c r="W195" s="228"/>
      <c r="X195" s="228"/>
      <c r="Y195" s="228"/>
      <c r="Z195" s="228"/>
      <c r="AA195" s="228"/>
      <c r="AB195" s="228"/>
      <c r="AC195" s="228"/>
      <c r="AD195" s="228"/>
      <c r="AE195" s="226"/>
      <c r="AF195" s="226"/>
      <c r="AG195" s="226"/>
      <c r="AH195" s="226"/>
      <c r="AI195" s="226"/>
      <c r="AJ195" s="226"/>
      <c r="AK195" s="226"/>
      <c r="AL195" s="226"/>
      <c r="AM195" s="226"/>
      <c r="AN195" s="226"/>
      <c r="AO195" s="226"/>
      <c r="AP195" s="226"/>
      <c r="AQ195" s="226"/>
      <c r="AR195" s="226"/>
      <c r="AS195" s="226"/>
      <c r="AT195" s="226"/>
      <c r="AU195" s="226"/>
      <c r="AV195" s="226"/>
      <c r="AW195" s="226"/>
      <c r="AX195" s="226"/>
      <c r="AY195" s="226"/>
      <c r="AZ195" s="226"/>
      <c r="BA195" s="226"/>
      <c r="BB195" s="226"/>
      <c r="BC195" s="226"/>
      <c r="BD195" s="226"/>
      <c r="BE195" s="226"/>
      <c r="BF195" s="226"/>
      <c r="BG195" s="226"/>
    </row>
    <row r="196" spans="1:78" s="147" customFormat="1" ht="18.75" customHeight="1">
      <c r="B196" s="226"/>
      <c r="C196" s="400"/>
      <c r="D196" s="400"/>
      <c r="E196" s="400"/>
      <c r="F196" s="400"/>
      <c r="G196" s="400"/>
      <c r="H196" s="228"/>
      <c r="I196" s="228"/>
      <c r="J196" s="228"/>
      <c r="K196" s="228"/>
      <c r="L196" s="228"/>
      <c r="M196" s="228"/>
      <c r="N196" s="228"/>
      <c r="O196" s="228"/>
      <c r="P196" s="228"/>
      <c r="Q196" s="228"/>
      <c r="R196" s="150"/>
      <c r="S196" s="228"/>
      <c r="T196" s="228"/>
      <c r="U196" s="228"/>
      <c r="V196" s="228"/>
      <c r="W196" s="228"/>
      <c r="X196" s="228"/>
      <c r="Y196" s="228"/>
      <c r="Z196" s="228"/>
      <c r="AA196" s="228"/>
      <c r="AB196" s="228"/>
      <c r="AC196" s="228"/>
      <c r="AD196" s="228"/>
      <c r="AE196" s="226"/>
      <c r="AF196" s="228"/>
      <c r="AG196" s="226"/>
      <c r="AH196" s="226"/>
      <c r="AI196" s="226"/>
      <c r="AJ196" s="226"/>
      <c r="AK196" s="226"/>
      <c r="AL196" s="226"/>
      <c r="AM196" s="226"/>
      <c r="AN196" s="226"/>
      <c r="AO196" s="226"/>
      <c r="AP196" s="226"/>
      <c r="AQ196" s="226"/>
      <c r="AR196" s="226"/>
      <c r="AS196" s="226"/>
      <c r="AT196" s="226"/>
      <c r="AU196" s="226"/>
      <c r="AV196" s="226"/>
      <c r="AW196" s="226"/>
      <c r="AX196" s="226"/>
      <c r="AY196" s="226"/>
      <c r="AZ196" s="226"/>
      <c r="BA196" s="226"/>
      <c r="BB196" s="226"/>
      <c r="BC196" s="226"/>
      <c r="BD196" s="226"/>
      <c r="BE196" s="226"/>
      <c r="BF196" s="226"/>
      <c r="BG196" s="226"/>
    </row>
    <row r="197" spans="1:78" s="147" customFormat="1" ht="18.75" customHeight="1">
      <c r="B197" s="226"/>
      <c r="C197" s="228"/>
      <c r="D197" s="228"/>
      <c r="E197" s="228"/>
      <c r="F197" s="228"/>
      <c r="G197" s="226"/>
      <c r="H197" s="228"/>
      <c r="I197" s="228"/>
      <c r="J197" s="228"/>
      <c r="K197" s="228"/>
      <c r="L197" s="228"/>
      <c r="M197" s="228"/>
      <c r="N197" s="228"/>
      <c r="O197" s="228"/>
      <c r="P197" s="228"/>
      <c r="Q197" s="228"/>
      <c r="R197" s="228"/>
      <c r="S197" s="228"/>
      <c r="T197" s="228"/>
      <c r="U197" s="228"/>
      <c r="V197" s="228"/>
      <c r="W197" s="228"/>
      <c r="X197" s="228"/>
      <c r="Y197" s="228"/>
      <c r="Z197" s="228"/>
      <c r="AA197" s="228"/>
      <c r="AB197" s="228"/>
      <c r="AC197" s="228"/>
      <c r="AD197" s="228"/>
      <c r="AE197" s="226"/>
      <c r="AF197" s="228"/>
      <c r="AG197" s="226"/>
      <c r="AH197" s="226"/>
      <c r="AI197" s="226"/>
      <c r="AJ197" s="226"/>
      <c r="AK197" s="226"/>
      <c r="AL197" s="226"/>
      <c r="AM197" s="226"/>
      <c r="AN197" s="226"/>
      <c r="AO197" s="226"/>
      <c r="AP197" s="226"/>
      <c r="AQ197" s="226"/>
      <c r="AR197" s="226"/>
      <c r="AS197" s="226"/>
      <c r="AT197" s="226"/>
      <c r="AU197" s="226"/>
      <c r="AV197" s="226"/>
      <c r="AW197" s="226"/>
      <c r="AX197" s="226"/>
      <c r="AY197" s="226"/>
      <c r="AZ197" s="226"/>
      <c r="BA197" s="226"/>
      <c r="BB197" s="226"/>
      <c r="BC197" s="226"/>
      <c r="BD197" s="226"/>
      <c r="BE197" s="226"/>
      <c r="BF197" s="226"/>
      <c r="BG197" s="226"/>
    </row>
    <row r="198" spans="1:78" s="147" customFormat="1" ht="18.75" customHeight="1">
      <c r="A198" s="59" t="s">
        <v>294</v>
      </c>
      <c r="B198" s="226"/>
      <c r="C198" s="226"/>
      <c r="D198" s="226"/>
      <c r="E198" s="226"/>
      <c r="F198" s="226"/>
      <c r="G198" s="226"/>
      <c r="H198" s="226"/>
      <c r="I198" s="226"/>
      <c r="J198" s="226"/>
      <c r="K198" s="226"/>
      <c r="L198" s="226"/>
      <c r="M198" s="226"/>
      <c r="N198" s="226"/>
      <c r="O198" s="226"/>
      <c r="P198" s="226"/>
      <c r="Q198" s="226"/>
      <c r="R198" s="226"/>
      <c r="S198" s="226"/>
      <c r="T198" s="226"/>
      <c r="U198" s="226"/>
      <c r="V198" s="226"/>
      <c r="W198" s="226"/>
      <c r="X198" s="226"/>
      <c r="Y198" s="226"/>
      <c r="Z198" s="226"/>
      <c r="AA198" s="226"/>
      <c r="AB198" s="226"/>
      <c r="AC198" s="226"/>
      <c r="AD198" s="226"/>
      <c r="AE198" s="226"/>
      <c r="AF198" s="226"/>
      <c r="AG198" s="226"/>
      <c r="AH198" s="226"/>
      <c r="AI198" s="226"/>
      <c r="AJ198" s="226"/>
      <c r="AK198" s="226"/>
      <c r="AL198" s="226"/>
      <c r="AM198" s="226"/>
      <c r="AN198" s="226"/>
      <c r="AO198" s="226"/>
      <c r="AP198" s="226"/>
      <c r="AQ198" s="226"/>
      <c r="AR198" s="226"/>
      <c r="AS198" s="226"/>
      <c r="AT198" s="226"/>
      <c r="AU198" s="226"/>
      <c r="AV198" s="226"/>
      <c r="AW198" s="226"/>
      <c r="AX198" s="226"/>
      <c r="AY198" s="226"/>
      <c r="AZ198" s="226"/>
      <c r="BA198" s="226"/>
      <c r="BB198" s="226"/>
      <c r="BC198" s="226"/>
      <c r="BD198" s="226"/>
      <c r="BE198" s="226"/>
      <c r="BF198" s="226"/>
    </row>
    <row r="199" spans="1:78" s="147" customFormat="1" ht="18.75" customHeight="1">
      <c r="A199" s="226"/>
      <c r="B199" s="226"/>
      <c r="C199" s="226"/>
      <c r="D199" s="226"/>
      <c r="E199" s="226"/>
      <c r="F199" s="226"/>
      <c r="G199" s="226"/>
      <c r="H199" s="226"/>
      <c r="I199" s="226"/>
      <c r="J199" s="226"/>
      <c r="K199" s="226"/>
      <c r="L199" s="226"/>
      <c r="M199" s="226"/>
      <c r="N199" s="226"/>
      <c r="O199" s="226"/>
      <c r="P199" s="226"/>
      <c r="Q199" s="226"/>
      <c r="R199" s="226"/>
      <c r="S199" s="226"/>
      <c r="T199" s="226"/>
      <c r="U199" s="226"/>
      <c r="V199" s="226"/>
      <c r="W199" s="226"/>
      <c r="X199" s="226"/>
      <c r="Y199" s="226"/>
      <c r="Z199" s="226"/>
      <c r="AA199" s="226"/>
      <c r="AB199" s="226"/>
      <c r="AC199" s="226"/>
      <c r="AD199" s="226"/>
      <c r="AE199" s="228"/>
      <c r="AF199" s="226"/>
      <c r="AG199" s="226"/>
      <c r="AH199" s="226"/>
      <c r="AI199" s="226"/>
      <c r="AJ199" s="226"/>
      <c r="AK199" s="226"/>
      <c r="AL199" s="226"/>
      <c r="AM199" s="226"/>
      <c r="AN199" s="226"/>
      <c r="AO199" s="226"/>
      <c r="AP199" s="226"/>
      <c r="AQ199" s="226"/>
      <c r="AR199" s="226"/>
      <c r="AS199" s="226"/>
      <c r="AT199" s="226"/>
      <c r="AU199" s="226"/>
      <c r="AV199" s="226"/>
      <c r="AW199" s="226"/>
      <c r="AX199" s="226"/>
      <c r="AY199" s="226"/>
      <c r="AZ199" s="226"/>
      <c r="BA199" s="226"/>
      <c r="BB199" s="226"/>
      <c r="BC199" s="226"/>
      <c r="BD199" s="226"/>
      <c r="BE199" s="226"/>
      <c r="BF199" s="226"/>
    </row>
    <row r="200" spans="1:78" s="60" customFormat="1" ht="18.75" customHeight="1">
      <c r="C200" s="228"/>
      <c r="D200" s="228"/>
      <c r="E200" s="226" t="s">
        <v>247</v>
      </c>
      <c r="F200" s="539">
        <f>AI44</f>
        <v>0</v>
      </c>
      <c r="G200" s="539"/>
      <c r="H200" s="539"/>
      <c r="I200" s="228" t="s">
        <v>136</v>
      </c>
      <c r="J200" s="228"/>
      <c r="K200" s="405" t="s">
        <v>98</v>
      </c>
      <c r="L200" s="405"/>
      <c r="M200" s="539">
        <f>AI47</f>
        <v>0</v>
      </c>
      <c r="N200" s="539"/>
      <c r="O200" s="539"/>
      <c r="P200" s="228" t="s">
        <v>136</v>
      </c>
      <c r="Q200" s="228"/>
      <c r="R200" s="405" t="s">
        <v>98</v>
      </c>
      <c r="S200" s="405"/>
      <c r="T200" s="539" t="e">
        <f>AI48</f>
        <v>#VALUE!</v>
      </c>
      <c r="U200" s="539"/>
      <c r="V200" s="539"/>
      <c r="W200" s="228" t="s">
        <v>136</v>
      </c>
      <c r="X200" s="228"/>
      <c r="Y200" s="405" t="s">
        <v>98</v>
      </c>
      <c r="Z200" s="405"/>
      <c r="AA200" s="539" t="e">
        <f ca="1">AI49</f>
        <v>#N/A</v>
      </c>
      <c r="AB200" s="539"/>
      <c r="AC200" s="539"/>
      <c r="AD200" s="228" t="s">
        <v>136</v>
      </c>
      <c r="AE200" s="228"/>
      <c r="AF200" s="405" t="s">
        <v>98</v>
      </c>
      <c r="AG200" s="405"/>
      <c r="AH200" s="539" t="e">
        <f>AI50</f>
        <v>#VALUE!</v>
      </c>
      <c r="AI200" s="539"/>
      <c r="AJ200" s="539"/>
      <c r="AK200" s="228" t="s">
        <v>136</v>
      </c>
      <c r="AL200" s="228"/>
      <c r="AM200" s="228"/>
      <c r="AN200" s="228"/>
      <c r="AO200" s="229"/>
      <c r="AP200" s="228"/>
      <c r="AQ200" s="228"/>
      <c r="AR200" s="228"/>
      <c r="AS200" s="228"/>
      <c r="AT200" s="228"/>
      <c r="AU200" s="228"/>
      <c r="AV200" s="228"/>
      <c r="AW200" s="228"/>
      <c r="AX200" s="228"/>
      <c r="AY200" s="228"/>
      <c r="AZ200" s="228"/>
      <c r="BA200" s="228"/>
      <c r="BB200" s="228"/>
      <c r="BC200" s="228"/>
      <c r="BD200" s="228"/>
      <c r="BE200" s="228"/>
      <c r="BF200" s="228"/>
      <c r="BG200" s="228"/>
      <c r="BH200" s="228"/>
    </row>
    <row r="201" spans="1:78" s="60" customFormat="1" ht="18.75" customHeight="1">
      <c r="C201" s="228"/>
      <c r="D201" s="228"/>
      <c r="E201" s="228"/>
      <c r="F201" s="405" t="s">
        <v>98</v>
      </c>
      <c r="G201" s="405"/>
      <c r="H201" s="539" t="e">
        <f ca="1">AI51</f>
        <v>#N/A</v>
      </c>
      <c r="I201" s="539"/>
      <c r="J201" s="539"/>
      <c r="K201" s="228" t="s">
        <v>136</v>
      </c>
      <c r="L201" s="228"/>
      <c r="M201" s="405" t="s">
        <v>98</v>
      </c>
      <c r="N201" s="405"/>
      <c r="O201" s="539">
        <f>AI52</f>
        <v>0</v>
      </c>
      <c r="P201" s="539"/>
      <c r="Q201" s="539"/>
      <c r="R201" s="228" t="s">
        <v>136</v>
      </c>
      <c r="S201" s="228"/>
      <c r="T201" s="405" t="s">
        <v>98</v>
      </c>
      <c r="U201" s="405"/>
      <c r="V201" s="539">
        <f>AI53</f>
        <v>0.28867513459481292</v>
      </c>
      <c r="W201" s="539"/>
      <c r="X201" s="539"/>
      <c r="Y201" s="228" t="s">
        <v>136</v>
      </c>
      <c r="Z201" s="228"/>
      <c r="AA201" s="228"/>
      <c r="AB201" s="228"/>
      <c r="AC201" s="228"/>
      <c r="AD201" s="64"/>
      <c r="AE201" s="64"/>
      <c r="AF201" s="64"/>
      <c r="AG201" s="228"/>
      <c r="AH201" s="228"/>
      <c r="AI201" s="228"/>
      <c r="AJ201" s="228"/>
      <c r="AK201" s="228"/>
      <c r="AL201" s="228"/>
      <c r="AM201" s="228"/>
      <c r="AN201" s="228"/>
      <c r="AO201" s="228"/>
      <c r="AP201" s="228"/>
      <c r="AQ201" s="228"/>
      <c r="AR201" s="228"/>
      <c r="AS201" s="228"/>
      <c r="AT201" s="228"/>
      <c r="AU201" s="228"/>
      <c r="AV201" s="228"/>
      <c r="AW201" s="228"/>
      <c r="AX201" s="228"/>
      <c r="AY201" s="228"/>
      <c r="AZ201" s="228"/>
      <c r="BA201" s="228"/>
      <c r="BB201" s="228"/>
      <c r="BC201" s="228"/>
      <c r="BD201" s="228"/>
      <c r="BE201" s="228"/>
      <c r="BF201" s="228"/>
      <c r="BG201" s="228"/>
      <c r="BH201" s="228"/>
    </row>
    <row r="202" spans="1:78" s="60" customFormat="1" ht="18.75" customHeight="1">
      <c r="C202" s="228"/>
      <c r="D202" s="228"/>
      <c r="E202" s="226" t="s">
        <v>247</v>
      </c>
      <c r="F202" s="539" t="e">
        <f>AI54</f>
        <v>#VALUE!</v>
      </c>
      <c r="G202" s="539"/>
      <c r="H202" s="539"/>
      <c r="I202" s="228" t="s">
        <v>136</v>
      </c>
      <c r="J202" s="228"/>
      <c r="K202" s="228"/>
      <c r="L202" s="228"/>
      <c r="M202" s="160"/>
      <c r="N202" s="160"/>
      <c r="O202" s="160"/>
      <c r="P202" s="160"/>
      <c r="Q202" s="228"/>
      <c r="R202" s="228"/>
      <c r="S202" s="228"/>
      <c r="T202" s="228"/>
      <c r="U202" s="228"/>
      <c r="V202" s="228"/>
      <c r="W202" s="228"/>
      <c r="X202" s="228"/>
      <c r="Y202" s="228"/>
      <c r="Z202" s="228"/>
      <c r="AA202" s="228"/>
      <c r="AB202" s="228"/>
      <c r="AC202" s="228"/>
      <c r="AD202" s="228"/>
      <c r="AE202" s="228"/>
      <c r="AF202" s="228"/>
      <c r="AG202" s="226"/>
      <c r="AH202" s="228"/>
      <c r="AI202" s="228"/>
      <c r="AJ202" s="228"/>
      <c r="AK202" s="228"/>
      <c r="AL202" s="228"/>
      <c r="AM202" s="228"/>
      <c r="AN202" s="228"/>
      <c r="AO202" s="228"/>
      <c r="AP202" s="228"/>
      <c r="AQ202" s="228"/>
      <c r="AR202" s="228"/>
      <c r="AS202" s="228"/>
      <c r="AT202" s="228"/>
      <c r="AU202" s="228"/>
      <c r="AV202" s="228"/>
      <c r="AW202" s="228"/>
      <c r="AX202" s="228"/>
      <c r="AY202" s="228"/>
      <c r="AZ202" s="228"/>
      <c r="BA202" s="228"/>
      <c r="BB202" s="228"/>
      <c r="BC202" s="228"/>
      <c r="BD202" s="228"/>
      <c r="BE202" s="228"/>
      <c r="BF202" s="228"/>
      <c r="BG202" s="228"/>
      <c r="BH202" s="228"/>
    </row>
    <row r="203" spans="1:78" s="60" customFormat="1" ht="18.75" customHeight="1">
      <c r="A203" s="228"/>
      <c r="B203" s="228"/>
      <c r="C203" s="228"/>
      <c r="D203" s="146"/>
      <c r="E203" s="146"/>
      <c r="F203" s="146"/>
      <c r="G203" s="228"/>
      <c r="H203" s="228"/>
      <c r="I203" s="226"/>
      <c r="J203" s="226"/>
      <c r="K203" s="161"/>
      <c r="L203" s="161"/>
      <c r="M203" s="161"/>
      <c r="N203" s="161"/>
      <c r="O203" s="228"/>
      <c r="P203" s="228"/>
      <c r="Q203" s="228"/>
      <c r="R203" s="228"/>
      <c r="S203" s="228"/>
      <c r="T203" s="228"/>
      <c r="U203" s="228"/>
      <c r="V203" s="228"/>
      <c r="W203" s="228"/>
      <c r="X203" s="228"/>
      <c r="Y203" s="228"/>
      <c r="Z203" s="228"/>
      <c r="AA203" s="228"/>
      <c r="AB203" s="228"/>
      <c r="AC203" s="228"/>
      <c r="AD203" s="228"/>
      <c r="AE203" s="228"/>
      <c r="AF203" s="228"/>
      <c r="AG203" s="228"/>
      <c r="AH203" s="228"/>
      <c r="AI203" s="228"/>
      <c r="AJ203" s="228"/>
      <c r="AK203" s="228"/>
      <c r="AL203" s="228"/>
      <c r="AM203" s="228"/>
      <c r="AN203" s="228"/>
      <c r="AO203" s="228"/>
      <c r="AP203" s="228"/>
      <c r="AQ203" s="228"/>
      <c r="AR203" s="228"/>
      <c r="AS203" s="228"/>
      <c r="AT203" s="228"/>
      <c r="AU203" s="228"/>
      <c r="AV203" s="228"/>
      <c r="AW203" s="228"/>
      <c r="AX203" s="228"/>
      <c r="AY203" s="228"/>
      <c r="AZ203" s="228"/>
      <c r="BA203" s="228"/>
      <c r="BB203" s="228"/>
      <c r="BC203" s="228"/>
      <c r="BD203" s="228"/>
      <c r="BE203" s="228"/>
      <c r="BF203" s="228"/>
    </row>
    <row r="204" spans="1:78" s="147" customFormat="1" ht="18.75" customHeight="1">
      <c r="A204" s="226"/>
      <c r="B204" s="226"/>
      <c r="C204" s="226"/>
      <c r="D204" s="151" t="s">
        <v>464</v>
      </c>
      <c r="E204" s="276" t="s">
        <v>247</v>
      </c>
      <c r="F204" s="539" t="e">
        <f>F202</f>
        <v>#VALUE!</v>
      </c>
      <c r="G204" s="539"/>
      <c r="H204" s="539"/>
      <c r="I204" s="228" t="s">
        <v>136</v>
      </c>
      <c r="J204" s="160"/>
      <c r="K204" s="160"/>
      <c r="L204" s="160"/>
      <c r="M204" s="160"/>
      <c r="N204" s="226"/>
      <c r="O204" s="226"/>
      <c r="P204" s="228"/>
      <c r="Q204" s="226"/>
      <c r="R204" s="226"/>
      <c r="S204" s="226"/>
      <c r="T204" s="226"/>
      <c r="U204" s="226"/>
      <c r="V204" s="226"/>
      <c r="W204" s="226"/>
      <c r="X204" s="226"/>
      <c r="Y204" s="226"/>
      <c r="Z204" s="226"/>
      <c r="AA204" s="226"/>
      <c r="AB204" s="226"/>
      <c r="AC204" s="226"/>
      <c r="AD204" s="226"/>
      <c r="AE204" s="228"/>
      <c r="AF204" s="226"/>
      <c r="AG204" s="226"/>
      <c r="AH204" s="226"/>
      <c r="AI204" s="226"/>
      <c r="AJ204" s="226"/>
      <c r="AK204" s="226"/>
      <c r="AL204" s="226"/>
      <c r="AM204" s="226"/>
      <c r="AN204" s="226"/>
      <c r="AO204" s="226"/>
      <c r="AP204" s="226"/>
      <c r="AQ204" s="226"/>
      <c r="AR204" s="226"/>
      <c r="AS204" s="226"/>
      <c r="AT204" s="226"/>
      <c r="AU204" s="226"/>
      <c r="AV204" s="226"/>
      <c r="AW204" s="226"/>
      <c r="AX204" s="226"/>
      <c r="AY204" s="226"/>
      <c r="AZ204" s="226"/>
      <c r="BA204" s="226"/>
      <c r="BB204" s="226"/>
      <c r="BC204" s="226"/>
      <c r="BD204" s="226"/>
      <c r="BE204" s="226"/>
      <c r="BF204" s="226"/>
    </row>
    <row r="205" spans="1:78" s="228" customFormat="1" ht="18.75" customHeight="1"/>
    <row r="206" spans="1:78" ht="18.75" customHeight="1">
      <c r="A206" s="59" t="s">
        <v>295</v>
      </c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  <c r="AB206" s="58"/>
      <c r="AC206" s="58"/>
      <c r="AD206" s="58"/>
      <c r="AE206" s="58"/>
      <c r="AF206" s="58"/>
      <c r="AG206" s="58"/>
      <c r="AH206" s="58"/>
      <c r="AI206" s="58"/>
      <c r="AJ206" s="58"/>
      <c r="AK206" s="58"/>
      <c r="AL206" s="58"/>
      <c r="AM206" s="58"/>
      <c r="AN206" s="58"/>
      <c r="AO206" s="58"/>
      <c r="AP206" s="58"/>
      <c r="AQ206" s="58"/>
      <c r="AR206" s="58"/>
      <c r="AS206" s="58"/>
      <c r="AT206" s="58"/>
      <c r="AU206" s="58"/>
      <c r="AV206" s="58"/>
      <c r="AW206" s="58"/>
      <c r="AX206" s="58"/>
      <c r="AY206" s="58"/>
      <c r="AZ206" s="58"/>
      <c r="BA206" s="58"/>
      <c r="BB206" s="58"/>
      <c r="BC206" s="58"/>
      <c r="BD206" s="58"/>
      <c r="BE206" s="58"/>
      <c r="BF206" s="58"/>
    </row>
    <row r="207" spans="1:78" ht="18.75" customHeight="1">
      <c r="A207" s="58"/>
      <c r="B207" s="58"/>
      <c r="C207" s="58"/>
      <c r="D207" s="58"/>
      <c r="E207" s="58"/>
      <c r="F207" s="58"/>
      <c r="G207" s="58"/>
      <c r="H207" s="58"/>
      <c r="I207" s="58"/>
      <c r="J207" s="540" t="e">
        <f>AI54</f>
        <v>#VALUE!</v>
      </c>
      <c r="K207" s="540"/>
      <c r="L207" s="540"/>
      <c r="M207" s="540"/>
      <c r="N207" s="540"/>
      <c r="O207" s="540"/>
      <c r="P207" s="540"/>
      <c r="Q207" s="540"/>
      <c r="R207" s="540"/>
      <c r="S207" s="540"/>
      <c r="T207" s="540"/>
      <c r="U207" s="540"/>
      <c r="V207" s="540"/>
      <c r="W207" s="540"/>
      <c r="X207" s="540"/>
      <c r="Y207" s="540"/>
      <c r="Z207" s="540"/>
      <c r="AA207" s="540"/>
      <c r="AB207" s="540"/>
      <c r="AC207" s="540"/>
      <c r="AD207" s="540"/>
      <c r="AE207" s="540"/>
      <c r="AF207" s="540"/>
      <c r="AG207" s="540"/>
      <c r="AH207" s="540"/>
      <c r="AI207" s="540"/>
      <c r="AJ207" s="540"/>
      <c r="AK207" s="540"/>
      <c r="AL207" s="540"/>
      <c r="AM207" s="540"/>
      <c r="AN207" s="540"/>
      <c r="AO207" s="540"/>
      <c r="AP207" s="540"/>
      <c r="AQ207" s="540"/>
      <c r="AR207" s="540"/>
      <c r="AS207" s="540"/>
      <c r="AT207" s="540"/>
      <c r="AU207" s="540"/>
      <c r="AV207" s="540"/>
      <c r="AW207" s="405" t="s">
        <v>247</v>
      </c>
      <c r="AX207" s="543" t="e">
        <f>AQ54</f>
        <v>#VALUE!</v>
      </c>
      <c r="AY207" s="543"/>
      <c r="AZ207" s="543"/>
      <c r="BA207" s="58"/>
      <c r="BB207" s="58"/>
      <c r="BC207" s="58"/>
      <c r="BD207" s="58"/>
      <c r="BE207" s="228"/>
      <c r="BF207" s="228"/>
      <c r="BI207" s="162"/>
      <c r="BJ207" s="162"/>
      <c r="BK207" s="162"/>
      <c r="BL207" s="162"/>
      <c r="BM207" s="162"/>
      <c r="BN207" s="60"/>
      <c r="BO207" s="60"/>
      <c r="BP207" s="60"/>
      <c r="BQ207" s="60"/>
      <c r="BR207" s="60"/>
      <c r="BS207" s="60"/>
      <c r="BT207" s="60"/>
      <c r="BU207" s="60"/>
      <c r="BV207" s="60"/>
      <c r="BW207" s="60"/>
      <c r="BX207" s="60"/>
      <c r="BY207" s="60"/>
      <c r="BZ207" s="60"/>
    </row>
    <row r="208" spans="1:78" ht="18.75" customHeight="1">
      <c r="A208" s="58"/>
      <c r="B208" s="58"/>
      <c r="C208" s="58"/>
      <c r="D208" s="58"/>
      <c r="E208" s="58"/>
      <c r="F208" s="58"/>
      <c r="G208" s="58"/>
      <c r="H208" s="58"/>
      <c r="I208" s="58"/>
      <c r="J208" s="544">
        <f>AI44</f>
        <v>0</v>
      </c>
      <c r="K208" s="544"/>
      <c r="L208" s="544"/>
      <c r="M208" s="544"/>
      <c r="N208" s="405" t="s">
        <v>98</v>
      </c>
      <c r="O208" s="544">
        <f>AI47</f>
        <v>0</v>
      </c>
      <c r="P208" s="544"/>
      <c r="Q208" s="544"/>
      <c r="R208" s="544"/>
      <c r="S208" s="405" t="s">
        <v>98</v>
      </c>
      <c r="T208" s="540" t="e">
        <f>AI48</f>
        <v>#VALUE!</v>
      </c>
      <c r="U208" s="540"/>
      <c r="V208" s="540"/>
      <c r="W208" s="540"/>
      <c r="X208" s="405" t="s">
        <v>98</v>
      </c>
      <c r="Y208" s="544" t="e">
        <f ca="1">AI49</f>
        <v>#N/A</v>
      </c>
      <c r="Z208" s="544"/>
      <c r="AA208" s="544"/>
      <c r="AB208" s="544"/>
      <c r="AC208" s="405" t="s">
        <v>98</v>
      </c>
      <c r="AD208" s="540" t="e">
        <f>AI50</f>
        <v>#VALUE!</v>
      </c>
      <c r="AE208" s="540"/>
      <c r="AF208" s="540"/>
      <c r="AG208" s="540"/>
      <c r="AH208" s="405" t="s">
        <v>98</v>
      </c>
      <c r="AI208" s="540" t="e">
        <f ca="1">AI51</f>
        <v>#N/A</v>
      </c>
      <c r="AJ208" s="540"/>
      <c r="AK208" s="540"/>
      <c r="AL208" s="540"/>
      <c r="AM208" s="405" t="s">
        <v>98</v>
      </c>
      <c r="AN208" s="540">
        <f>AI52</f>
        <v>0</v>
      </c>
      <c r="AO208" s="540"/>
      <c r="AP208" s="540"/>
      <c r="AQ208" s="540"/>
      <c r="AR208" s="405" t="s">
        <v>98</v>
      </c>
      <c r="AS208" s="540">
        <f>AI53</f>
        <v>0.28867513459481292</v>
      </c>
      <c r="AT208" s="540"/>
      <c r="AU208" s="540"/>
      <c r="AV208" s="540"/>
      <c r="AW208" s="405"/>
      <c r="AX208" s="543"/>
      <c r="AY208" s="543"/>
      <c r="AZ208" s="543"/>
      <c r="BA208" s="58"/>
      <c r="BB208" s="58"/>
      <c r="BC208" s="58"/>
      <c r="BD208" s="58"/>
      <c r="BE208" s="58"/>
      <c r="BF208" s="58"/>
      <c r="BI208" s="162"/>
      <c r="BJ208" s="162"/>
      <c r="BK208" s="162"/>
      <c r="BL208" s="162"/>
      <c r="BM208" s="162"/>
    </row>
    <row r="209" spans="1:58" ht="18.75" customHeight="1">
      <c r="A209" s="58"/>
      <c r="B209" s="58"/>
      <c r="C209" s="58"/>
      <c r="D209" s="58"/>
      <c r="E209" s="58"/>
      <c r="F209" s="58"/>
      <c r="G209" s="58"/>
      <c r="H209" s="58"/>
      <c r="I209" s="58"/>
      <c r="J209" s="405" t="str">
        <f>AQ44</f>
        <v>∞</v>
      </c>
      <c r="K209" s="405"/>
      <c r="L209" s="405"/>
      <c r="M209" s="405"/>
      <c r="N209" s="405"/>
      <c r="O209" s="405" t="str">
        <f>AQ47</f>
        <v>∞</v>
      </c>
      <c r="P209" s="405"/>
      <c r="Q209" s="405"/>
      <c r="R209" s="405"/>
      <c r="S209" s="405"/>
      <c r="T209" s="405">
        <f>AQ48</f>
        <v>100</v>
      </c>
      <c r="U209" s="405"/>
      <c r="V209" s="405"/>
      <c r="W209" s="405"/>
      <c r="X209" s="405"/>
      <c r="Y209" s="405">
        <f>AQ49</f>
        <v>50</v>
      </c>
      <c r="Z209" s="405"/>
      <c r="AA209" s="405"/>
      <c r="AB209" s="405"/>
      <c r="AC209" s="405"/>
      <c r="AD209" s="436">
        <f>AQ50</f>
        <v>100</v>
      </c>
      <c r="AE209" s="436"/>
      <c r="AF209" s="436"/>
      <c r="AG209" s="436"/>
      <c r="AH209" s="405"/>
      <c r="AI209" s="405" t="str">
        <f>AQ51</f>
        <v>∞</v>
      </c>
      <c r="AJ209" s="405"/>
      <c r="AK209" s="405"/>
      <c r="AL209" s="405"/>
      <c r="AM209" s="405"/>
      <c r="AN209" s="405" t="str">
        <f>AQ52</f>
        <v>∞</v>
      </c>
      <c r="AO209" s="405"/>
      <c r="AP209" s="405"/>
      <c r="AQ209" s="405"/>
      <c r="AR209" s="405"/>
      <c r="AS209" s="405">
        <f>AQ53</f>
        <v>12</v>
      </c>
      <c r="AT209" s="405"/>
      <c r="AU209" s="405"/>
      <c r="AV209" s="405"/>
      <c r="AW209" s="58"/>
      <c r="AX209" s="58"/>
      <c r="AY209" s="58"/>
      <c r="AZ209" s="58"/>
      <c r="BA209" s="58"/>
      <c r="BB209" s="58"/>
      <c r="BC209" s="58"/>
      <c r="BD209" s="58"/>
      <c r="BE209" s="58"/>
      <c r="BF209" s="58"/>
    </row>
    <row r="210" spans="1:58" ht="18.75" customHeight="1">
      <c r="A210" s="58"/>
      <c r="B210" s="58"/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  <c r="AA210" s="58"/>
      <c r="AB210" s="58"/>
      <c r="AC210" s="58"/>
      <c r="AD210" s="58"/>
      <c r="AE210" s="58"/>
      <c r="AF210" s="58"/>
      <c r="AG210" s="58"/>
      <c r="AH210" s="58"/>
      <c r="AI210" s="58"/>
      <c r="AJ210" s="58"/>
      <c r="AK210" s="58"/>
      <c r="AL210" s="58"/>
      <c r="AM210" s="58"/>
      <c r="AN210" s="58"/>
      <c r="AO210" s="58"/>
      <c r="AP210" s="58"/>
      <c r="AQ210" s="58"/>
      <c r="AR210" s="58"/>
      <c r="AS210" s="58"/>
      <c r="AT210" s="58"/>
      <c r="AU210" s="58"/>
      <c r="AV210" s="58"/>
      <c r="AW210" s="58"/>
      <c r="AX210" s="58"/>
      <c r="AY210" s="58"/>
      <c r="AZ210" s="58"/>
      <c r="BA210" s="58"/>
      <c r="BB210" s="58"/>
      <c r="BC210" s="58"/>
      <c r="BD210" s="58"/>
      <c r="BE210" s="58"/>
      <c r="BF210" s="58"/>
    </row>
    <row r="211" spans="1:58" ht="18.75" customHeight="1">
      <c r="A211" s="59" t="s">
        <v>324</v>
      </c>
      <c r="B211" s="58"/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  <c r="AA211" s="58"/>
      <c r="AB211" s="58"/>
      <c r="AC211" s="58"/>
      <c r="AD211" s="58"/>
      <c r="AE211" s="58"/>
      <c r="AF211" s="58"/>
      <c r="AG211" s="58"/>
      <c r="AH211" s="58"/>
      <c r="AI211" s="58"/>
      <c r="AJ211" s="58"/>
      <c r="AK211" s="58"/>
      <c r="AL211" s="58"/>
      <c r="AM211" s="58"/>
      <c r="AN211" s="58"/>
      <c r="AO211" s="58"/>
      <c r="AP211" s="58"/>
      <c r="AQ211" s="58"/>
      <c r="AR211" s="58"/>
      <c r="AS211" s="58"/>
      <c r="AT211" s="58"/>
      <c r="AU211" s="58"/>
      <c r="AV211" s="58"/>
      <c r="AW211" s="58"/>
      <c r="AX211" s="58"/>
      <c r="AY211" s="58"/>
      <c r="AZ211" s="58"/>
      <c r="BA211" s="58"/>
      <c r="BB211" s="58"/>
      <c r="BC211" s="58"/>
      <c r="BD211" s="58"/>
    </row>
    <row r="212" spans="1:58" ht="18.75" customHeight="1">
      <c r="A212" s="59"/>
      <c r="B212" s="58" t="s">
        <v>296</v>
      </c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  <c r="AA212" s="58"/>
      <c r="AB212" s="58"/>
      <c r="AC212" s="58"/>
      <c r="AD212" s="58"/>
      <c r="AE212" s="58"/>
      <c r="AF212" s="58"/>
      <c r="AG212" s="58"/>
      <c r="AH212" s="58"/>
      <c r="AI212" s="58"/>
      <c r="AJ212" s="58"/>
      <c r="AK212" s="58"/>
      <c r="AL212" s="58"/>
      <c r="AM212" s="58"/>
      <c r="AN212" s="58"/>
      <c r="AO212" s="58"/>
      <c r="AP212" s="58"/>
      <c r="AQ212" s="58"/>
      <c r="AR212" s="58"/>
      <c r="AS212" s="58"/>
      <c r="AT212" s="58"/>
      <c r="AU212" s="58"/>
      <c r="AV212" s="58"/>
      <c r="AW212" s="58"/>
      <c r="AX212" s="58"/>
      <c r="AY212" s="58"/>
      <c r="AZ212" s="58"/>
      <c r="BA212" s="58"/>
      <c r="BB212" s="58"/>
      <c r="BC212" s="58"/>
      <c r="BD212" s="58"/>
    </row>
    <row r="213" spans="1:58" ht="18.75" customHeight="1">
      <c r="A213" s="59"/>
      <c r="B213" s="58"/>
      <c r="C213" s="58" t="s">
        <v>297</v>
      </c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  <c r="AA213" s="58"/>
      <c r="AB213" s="58"/>
      <c r="AC213" s="58"/>
      <c r="AD213" s="58"/>
      <c r="AE213" s="58"/>
      <c r="AF213" s="58"/>
      <c r="AG213" s="58"/>
      <c r="AH213" s="58"/>
      <c r="AI213" s="58"/>
      <c r="AJ213" s="58"/>
      <c r="AK213" s="58"/>
      <c r="AL213" s="58"/>
      <c r="AM213" s="58"/>
      <c r="AN213" s="58"/>
      <c r="AO213" s="58"/>
      <c r="AP213" s="58"/>
      <c r="AQ213" s="58"/>
      <c r="AR213" s="58"/>
      <c r="AS213" s="58"/>
      <c r="AT213" s="58"/>
      <c r="AU213" s="58"/>
      <c r="AV213" s="58"/>
      <c r="AW213" s="58"/>
      <c r="AX213" s="58"/>
      <c r="AY213" s="58"/>
      <c r="AZ213" s="58"/>
      <c r="BA213" s="58"/>
      <c r="BB213" s="58"/>
      <c r="BC213" s="58"/>
      <c r="BD213" s="58"/>
    </row>
    <row r="214" spans="1:58" ht="18.75" customHeight="1">
      <c r="A214" s="59"/>
      <c r="B214" s="58"/>
      <c r="C214" s="57" t="s">
        <v>298</v>
      </c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  <c r="AB214" s="58"/>
      <c r="AC214" s="58"/>
      <c r="AD214" s="58"/>
      <c r="AE214" s="58"/>
      <c r="AF214" s="58"/>
      <c r="AG214" s="58"/>
      <c r="AH214" s="58"/>
      <c r="AI214" s="58"/>
      <c r="AJ214" s="58"/>
      <c r="AK214" s="58"/>
      <c r="AL214" s="58"/>
      <c r="AM214" s="58"/>
      <c r="AN214" s="58"/>
      <c r="AO214" s="58"/>
      <c r="AP214" s="58"/>
      <c r="AQ214" s="58"/>
      <c r="AR214" s="58"/>
      <c r="AS214" s="58"/>
      <c r="AT214" s="58"/>
      <c r="AU214" s="58"/>
      <c r="AV214" s="58"/>
      <c r="AW214" s="58"/>
      <c r="AX214" s="58"/>
      <c r="AY214" s="58"/>
      <c r="AZ214" s="58"/>
      <c r="BA214" s="58"/>
      <c r="BB214" s="58"/>
      <c r="BC214" s="58"/>
      <c r="BD214" s="58"/>
    </row>
    <row r="215" spans="1:58" ht="18.75" customHeight="1">
      <c r="A215" s="59"/>
      <c r="B215" s="58"/>
      <c r="C215" s="228" t="s">
        <v>299</v>
      </c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  <c r="AA215" s="58"/>
      <c r="AB215" s="58"/>
      <c r="AC215" s="58"/>
      <c r="AD215" s="58"/>
      <c r="AE215" s="58"/>
      <c r="AF215" s="58"/>
      <c r="AG215" s="58"/>
      <c r="AH215" s="58"/>
      <c r="AI215" s="58"/>
      <c r="AJ215" s="58"/>
      <c r="AK215" s="58"/>
      <c r="AL215" s="58"/>
      <c r="AM215" s="58"/>
      <c r="AN215" s="58"/>
      <c r="AO215" s="58"/>
      <c r="AP215" s="58"/>
      <c r="AQ215" s="58"/>
      <c r="AR215" s="58"/>
      <c r="AS215" s="58"/>
      <c r="AT215" s="58"/>
      <c r="AU215" s="58"/>
      <c r="AV215" s="58"/>
      <c r="AW215" s="58"/>
      <c r="AX215" s="58"/>
      <c r="AY215" s="58"/>
      <c r="AZ215" s="58"/>
      <c r="BA215" s="58"/>
      <c r="BB215" s="58"/>
      <c r="BC215" s="58"/>
      <c r="BD215" s="58"/>
    </row>
    <row r="216" spans="1:58" ht="18.75" customHeight="1">
      <c r="A216" s="59"/>
      <c r="B216" s="58"/>
      <c r="D216" s="58"/>
      <c r="E216" s="151"/>
      <c r="F216" s="58"/>
      <c r="G216" s="236"/>
      <c r="H216" s="226"/>
      <c r="I216" s="226"/>
      <c r="J216" s="226"/>
      <c r="R216" s="151"/>
      <c r="S216" s="163"/>
      <c r="T216" s="163"/>
      <c r="U216" s="163"/>
      <c r="V216" s="163"/>
      <c r="W216" s="163"/>
      <c r="X216" s="58"/>
      <c r="Y216" s="58"/>
      <c r="Z216" s="58"/>
      <c r="AA216" s="58"/>
      <c r="AB216" s="58"/>
      <c r="AC216" s="58"/>
      <c r="AD216" s="58"/>
      <c r="AE216" s="58"/>
      <c r="AF216" s="58"/>
      <c r="AG216" s="58"/>
      <c r="AH216" s="58"/>
      <c r="AI216" s="58"/>
      <c r="AJ216" s="58"/>
      <c r="AK216" s="58"/>
      <c r="AL216" s="58"/>
      <c r="AM216" s="58"/>
      <c r="AN216" s="58"/>
      <c r="AO216" s="58"/>
      <c r="AP216" s="58"/>
      <c r="AQ216" s="58"/>
      <c r="AR216" s="58"/>
      <c r="AS216" s="58"/>
      <c r="AT216" s="58"/>
      <c r="AU216" s="58"/>
      <c r="AV216" s="58"/>
      <c r="AW216" s="58"/>
      <c r="AX216" s="58"/>
      <c r="AY216" s="58"/>
      <c r="AZ216" s="58"/>
      <c r="BA216" s="58"/>
      <c r="BB216" s="58"/>
      <c r="BC216" s="58"/>
      <c r="BD216" s="58"/>
    </row>
    <row r="217" spans="1:58" ht="18.75" customHeight="1">
      <c r="A217" s="59"/>
      <c r="B217" s="58" t="s">
        <v>296</v>
      </c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  <c r="AA217" s="58"/>
      <c r="AB217" s="58"/>
      <c r="AC217" s="58"/>
      <c r="AD217" s="58"/>
      <c r="AE217" s="58"/>
      <c r="AF217" s="58"/>
      <c r="AG217" s="58"/>
      <c r="AH217" s="58"/>
      <c r="AI217" s="58"/>
      <c r="AJ217" s="58"/>
      <c r="AK217" s="58"/>
      <c r="AL217" s="58"/>
      <c r="AM217" s="58"/>
      <c r="AN217" s="58"/>
      <c r="AO217" s="58"/>
      <c r="AP217" s="58"/>
      <c r="AQ217" s="58"/>
      <c r="AR217" s="58"/>
      <c r="AS217" s="58"/>
      <c r="AT217" s="58"/>
      <c r="AU217" s="58"/>
      <c r="AV217" s="58"/>
      <c r="AW217" s="58"/>
      <c r="AX217" s="58"/>
      <c r="AY217" s="58"/>
      <c r="AZ217" s="58"/>
      <c r="BA217" s="58"/>
      <c r="BB217" s="58"/>
      <c r="BC217" s="58"/>
      <c r="BD217" s="58"/>
    </row>
    <row r="218" spans="1:58" ht="18.75" customHeight="1">
      <c r="A218" s="59"/>
      <c r="B218" s="58"/>
      <c r="C218" s="58" t="s">
        <v>303</v>
      </c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  <c r="AA218" s="58"/>
      <c r="AB218" s="58"/>
      <c r="AC218" s="58"/>
      <c r="AD218" s="58"/>
      <c r="AE218" s="58"/>
      <c r="AF218" s="58"/>
      <c r="AG218" s="58"/>
      <c r="AH218" s="58"/>
      <c r="AI218" s="58"/>
      <c r="AJ218" s="58"/>
      <c r="AK218" s="58"/>
      <c r="AL218" s="58"/>
      <c r="AM218" s="58"/>
      <c r="AN218" s="58"/>
      <c r="AO218" s="58"/>
      <c r="AP218" s="58"/>
      <c r="AQ218" s="58"/>
      <c r="AR218" s="58"/>
      <c r="AS218" s="58"/>
      <c r="AT218" s="58"/>
      <c r="AU218" s="58"/>
      <c r="AV218" s="58"/>
      <c r="AW218" s="58"/>
      <c r="AX218" s="58"/>
      <c r="AY218" s="58"/>
      <c r="AZ218" s="58"/>
      <c r="BA218" s="58"/>
      <c r="BB218" s="58"/>
      <c r="BC218" s="58"/>
      <c r="BD218" s="58"/>
    </row>
    <row r="219" spans="1:58" ht="18.75" customHeight="1">
      <c r="B219" s="58"/>
      <c r="C219" s="58" t="s">
        <v>323</v>
      </c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  <c r="AA219" s="58"/>
      <c r="AB219" s="58"/>
      <c r="AC219" s="58"/>
      <c r="AD219" s="58"/>
      <c r="AE219" s="58"/>
      <c r="AF219" s="58"/>
      <c r="AG219" s="58"/>
      <c r="AH219" s="58"/>
      <c r="AI219" s="58"/>
      <c r="AJ219" s="58"/>
      <c r="AK219" s="58"/>
      <c r="AL219" s="58"/>
      <c r="AM219" s="58"/>
      <c r="AN219" s="58"/>
      <c r="AO219" s="58"/>
      <c r="AP219" s="58"/>
      <c r="AQ219" s="58"/>
      <c r="AR219" s="58"/>
      <c r="AS219" s="58"/>
      <c r="AT219" s="58"/>
      <c r="AU219" s="58"/>
      <c r="AV219" s="58"/>
      <c r="AW219" s="58"/>
      <c r="AX219" s="58"/>
      <c r="AY219" s="58"/>
      <c r="AZ219" s="58"/>
      <c r="BA219" s="58"/>
      <c r="BB219" s="58"/>
      <c r="BC219" s="58"/>
      <c r="BD219" s="58"/>
    </row>
    <row r="220" spans="1:58" ht="18.75" customHeight="1">
      <c r="A220" s="58"/>
      <c r="B220" s="58"/>
      <c r="C220" s="57" t="s">
        <v>404</v>
      </c>
      <c r="AL220" s="58"/>
      <c r="AM220" s="58"/>
      <c r="AN220" s="58"/>
      <c r="AO220" s="58"/>
      <c r="AP220" s="58"/>
      <c r="AQ220" s="58"/>
      <c r="AR220" s="58"/>
      <c r="AS220" s="58"/>
      <c r="AT220" s="58"/>
      <c r="AU220" s="58"/>
      <c r="AV220" s="58"/>
      <c r="AW220" s="58"/>
      <c r="AX220" s="58"/>
      <c r="AY220" s="58"/>
      <c r="AZ220" s="58"/>
      <c r="BA220" s="58"/>
      <c r="BB220" s="58"/>
    </row>
    <row r="221" spans="1:58" ht="18.75" customHeight="1">
      <c r="A221" s="58"/>
      <c r="B221" s="58"/>
      <c r="AL221" s="58"/>
      <c r="AM221" s="58"/>
      <c r="AN221" s="58"/>
      <c r="AO221" s="58"/>
      <c r="AP221" s="58"/>
      <c r="AQ221" s="58"/>
      <c r="AR221" s="58"/>
      <c r="AS221" s="58"/>
      <c r="AT221" s="58"/>
      <c r="AU221" s="58"/>
      <c r="AV221" s="58"/>
      <c r="AW221" s="58"/>
      <c r="AX221" s="58"/>
      <c r="AY221" s="58"/>
      <c r="AZ221" s="58"/>
      <c r="BA221" s="58"/>
      <c r="BB221" s="58"/>
    </row>
    <row r="222" spans="1:58" ht="18.75" customHeight="1">
      <c r="A222" s="58"/>
      <c r="B222" s="58"/>
      <c r="C222" s="58"/>
      <c r="D222" s="58"/>
      <c r="E222" s="61"/>
      <c r="F222" s="58"/>
      <c r="G222" s="58"/>
      <c r="H222" s="236" t="s">
        <v>300</v>
      </c>
      <c r="I222" s="405" t="e">
        <f ca="1">Calcu!E48</f>
        <v>#VALUE!</v>
      </c>
      <c r="J222" s="405"/>
      <c r="K222" s="405"/>
      <c r="L222" s="235" t="s">
        <v>301</v>
      </c>
      <c r="M222" s="541" t="e">
        <f>F204</f>
        <v>#VALUE!</v>
      </c>
      <c r="N222" s="541"/>
      <c r="O222" s="541"/>
      <c r="P222" s="541"/>
      <c r="Q222" s="58" t="s">
        <v>302</v>
      </c>
      <c r="R222" s="542" t="e">
        <f ca="1">I222*M222</f>
        <v>#VALUE!</v>
      </c>
      <c r="S222" s="542"/>
      <c r="T222" s="542"/>
      <c r="U222" s="542"/>
      <c r="V222" s="226"/>
      <c r="W222" s="229"/>
      <c r="AL222" s="58"/>
      <c r="AM222" s="58"/>
      <c r="AN222" s="58"/>
      <c r="AO222" s="58"/>
      <c r="AP222" s="58"/>
      <c r="AQ222" s="58"/>
      <c r="AR222" s="58"/>
      <c r="AS222" s="58"/>
      <c r="AT222" s="58"/>
    </row>
  </sheetData>
  <mergeCells count="523">
    <mergeCell ref="V189:W190"/>
    <mergeCell ref="O194:Q194"/>
    <mergeCell ref="R194:S194"/>
    <mergeCell ref="V194:X194"/>
    <mergeCell ref="S132:U133"/>
    <mergeCell ref="V132:W133"/>
    <mergeCell ref="J163:L164"/>
    <mergeCell ref="M163:M164"/>
    <mergeCell ref="C163:I164"/>
    <mergeCell ref="N163:O163"/>
    <mergeCell ref="S163:U164"/>
    <mergeCell ref="V163:W164"/>
    <mergeCell ref="U149:W150"/>
    <mergeCell ref="H188:O188"/>
    <mergeCell ref="R189:R190"/>
    <mergeCell ref="N190:Q190"/>
    <mergeCell ref="I191:P191"/>
    <mergeCell ref="C192:H193"/>
    <mergeCell ref="L194:M194"/>
    <mergeCell ref="J189:L190"/>
    <mergeCell ref="M189:M190"/>
    <mergeCell ref="C189:I190"/>
    <mergeCell ref="N189:O189"/>
    <mergeCell ref="S189:U190"/>
    <mergeCell ref="K96:M97"/>
    <mergeCell ref="N96:N97"/>
    <mergeCell ref="K99:M100"/>
    <mergeCell ref="N99:N100"/>
    <mergeCell ref="L76:M76"/>
    <mergeCell ref="C77:G77"/>
    <mergeCell ref="C110:I111"/>
    <mergeCell ref="J132:L133"/>
    <mergeCell ref="M132:M133"/>
    <mergeCell ref="C132:I133"/>
    <mergeCell ref="N132:O132"/>
    <mergeCell ref="O76:Q76"/>
    <mergeCell ref="M102:N103"/>
    <mergeCell ref="L104:M104"/>
    <mergeCell ref="O104:Q104"/>
    <mergeCell ref="I222:K222"/>
    <mergeCell ref="M222:P222"/>
    <mergeCell ref="R222:U222"/>
    <mergeCell ref="F202:H202"/>
    <mergeCell ref="F204:H204"/>
    <mergeCell ref="AW207:AW208"/>
    <mergeCell ref="AX207:AZ208"/>
    <mergeCell ref="J208:M208"/>
    <mergeCell ref="N208:N209"/>
    <mergeCell ref="O208:R208"/>
    <mergeCell ref="S208:S209"/>
    <mergeCell ref="T208:W208"/>
    <mergeCell ref="X208:X209"/>
    <mergeCell ref="Y208:AB208"/>
    <mergeCell ref="AC208:AC209"/>
    <mergeCell ref="AD208:AG208"/>
    <mergeCell ref="AH208:AH209"/>
    <mergeCell ref="AI208:AL208"/>
    <mergeCell ref="AM208:AM209"/>
    <mergeCell ref="AN208:AQ208"/>
    <mergeCell ref="AR208:AR209"/>
    <mergeCell ref="AS208:AV208"/>
    <mergeCell ref="J209:M209"/>
    <mergeCell ref="O209:R209"/>
    <mergeCell ref="T209:W209"/>
    <mergeCell ref="Y209:AB209"/>
    <mergeCell ref="AD209:AG209"/>
    <mergeCell ref="J207:AV207"/>
    <mergeCell ref="AI209:AL209"/>
    <mergeCell ref="AF200:AG200"/>
    <mergeCell ref="AH200:AJ200"/>
    <mergeCell ref="Y200:Z200"/>
    <mergeCell ref="AA200:AC200"/>
    <mergeCell ref="V201:X201"/>
    <mergeCell ref="AN209:AQ209"/>
    <mergeCell ref="AS209:AV209"/>
    <mergeCell ref="F201:G201"/>
    <mergeCell ref="H201:J201"/>
    <mergeCell ref="M201:N201"/>
    <mergeCell ref="O201:Q201"/>
    <mergeCell ref="T201:U201"/>
    <mergeCell ref="C195:G196"/>
    <mergeCell ref="F200:H200"/>
    <mergeCell ref="K200:L200"/>
    <mergeCell ref="M200:O200"/>
    <mergeCell ref="R200:S200"/>
    <mergeCell ref="T200:V200"/>
    <mergeCell ref="AC166:AC167"/>
    <mergeCell ref="AD166:AF167"/>
    <mergeCell ref="AG166:AM167"/>
    <mergeCell ref="L168:N168"/>
    <mergeCell ref="S168:V168"/>
    <mergeCell ref="Y168:AA168"/>
    <mergeCell ref="C169:G170"/>
    <mergeCell ref="H174:O174"/>
    <mergeCell ref="T177:W177"/>
    <mergeCell ref="P175:R175"/>
    <mergeCell ref="K176:M177"/>
    <mergeCell ref="N176:N177"/>
    <mergeCell ref="T176:U176"/>
    <mergeCell ref="Y176:AA177"/>
    <mergeCell ref="AB176:AC177"/>
    <mergeCell ref="C182:G183"/>
    <mergeCell ref="X166:Z167"/>
    <mergeCell ref="O176:R176"/>
    <mergeCell ref="S176:S177"/>
    <mergeCell ref="X176:X177"/>
    <mergeCell ref="O177:R177"/>
    <mergeCell ref="AA166:AB167"/>
    <mergeCell ref="I178:P178"/>
    <mergeCell ref="C179:H180"/>
    <mergeCell ref="L181:M181"/>
    <mergeCell ref="N179:O180"/>
    <mergeCell ref="O181:Q181"/>
    <mergeCell ref="R181:S181"/>
    <mergeCell ref="V181:X181"/>
    <mergeCell ref="X149:Y150"/>
    <mergeCell ref="Z149:Z150"/>
    <mergeCell ref="AA149:AD150"/>
    <mergeCell ref="AE149:AK150"/>
    <mergeCell ref="L151:O151"/>
    <mergeCell ref="AA151:AC151"/>
    <mergeCell ref="Y155:Z156"/>
    <mergeCell ref="H162:O162"/>
    <mergeCell ref="AG112:AL113"/>
    <mergeCell ref="AA115:AE116"/>
    <mergeCell ref="I117:P117"/>
    <mergeCell ref="C118:H119"/>
    <mergeCell ref="P118:Q119"/>
    <mergeCell ref="R118:S119"/>
    <mergeCell ref="T118:V119"/>
    <mergeCell ref="W118:X119"/>
    <mergeCell ref="Y118:Y119"/>
    <mergeCell ref="Z118:AC119"/>
    <mergeCell ref="AD118:AJ119"/>
    <mergeCell ref="C138:G139"/>
    <mergeCell ref="H143:J143"/>
    <mergeCell ref="T147:Y147"/>
    <mergeCell ref="Q149:R150"/>
    <mergeCell ref="S149:T150"/>
    <mergeCell ref="X96:Z97"/>
    <mergeCell ref="AA96:AB97"/>
    <mergeCell ref="O97:P97"/>
    <mergeCell ref="R97:V97"/>
    <mergeCell ref="O99:P99"/>
    <mergeCell ref="Q99:Q100"/>
    <mergeCell ref="R99:T99"/>
    <mergeCell ref="U99:V99"/>
    <mergeCell ref="W99:W100"/>
    <mergeCell ref="X99:Z100"/>
    <mergeCell ref="AA99:AB100"/>
    <mergeCell ref="O100:P100"/>
    <mergeCell ref="R100:V100"/>
    <mergeCell ref="U96:V96"/>
    <mergeCell ref="W96:W97"/>
    <mergeCell ref="Y87:Z87"/>
    <mergeCell ref="T82:T83"/>
    <mergeCell ref="U82:W83"/>
    <mergeCell ref="X82:Y83"/>
    <mergeCell ref="C88:G89"/>
    <mergeCell ref="S88:T88"/>
    <mergeCell ref="I94:M94"/>
    <mergeCell ref="N94:O94"/>
    <mergeCell ref="Q95:S95"/>
    <mergeCell ref="T95:U95"/>
    <mergeCell ref="V87:X87"/>
    <mergeCell ref="J82:M83"/>
    <mergeCell ref="N82:N83"/>
    <mergeCell ref="C82:I83"/>
    <mergeCell ref="R76:S76"/>
    <mergeCell ref="V76:X76"/>
    <mergeCell ref="Y76:Z76"/>
    <mergeCell ref="J71:M72"/>
    <mergeCell ref="O71:P71"/>
    <mergeCell ref="Q71:Q72"/>
    <mergeCell ref="R71:T71"/>
    <mergeCell ref="W71:W72"/>
    <mergeCell ref="X71:Z72"/>
    <mergeCell ref="O72:P72"/>
    <mergeCell ref="N71:N72"/>
    <mergeCell ref="Q65:S65"/>
    <mergeCell ref="M66:O66"/>
    <mergeCell ref="Q66:S66"/>
    <mergeCell ref="M64:T64"/>
    <mergeCell ref="U64:U65"/>
    <mergeCell ref="AA71:AB72"/>
    <mergeCell ref="R72:V72"/>
    <mergeCell ref="I73:P73"/>
    <mergeCell ref="C74:H75"/>
    <mergeCell ref="O74:P75"/>
    <mergeCell ref="C71:I72"/>
    <mergeCell ref="AQ54:AT54"/>
    <mergeCell ref="H58:M58"/>
    <mergeCell ref="Y59:AA59"/>
    <mergeCell ref="AC59:AF59"/>
    <mergeCell ref="AH59:AJ59"/>
    <mergeCell ref="AK59:AL59"/>
    <mergeCell ref="I60:M60"/>
    <mergeCell ref="C61:H62"/>
    <mergeCell ref="AI54:AM54"/>
    <mergeCell ref="AN54:AP54"/>
    <mergeCell ref="B54:C54"/>
    <mergeCell ref="D54:H54"/>
    <mergeCell ref="I54:M54"/>
    <mergeCell ref="N54:O54"/>
    <mergeCell ref="P54:V54"/>
    <mergeCell ref="W54:AA54"/>
    <mergeCell ref="AB54:AH54"/>
    <mergeCell ref="AF50:AH50"/>
    <mergeCell ref="AN52:AP52"/>
    <mergeCell ref="AQ52:AT52"/>
    <mergeCell ref="B53:C53"/>
    <mergeCell ref="D53:H53"/>
    <mergeCell ref="I53:M53"/>
    <mergeCell ref="N53:O53"/>
    <mergeCell ref="P53:S53"/>
    <mergeCell ref="T53:V53"/>
    <mergeCell ref="W53:AA53"/>
    <mergeCell ref="AB53:AH53"/>
    <mergeCell ref="AI53:AM53"/>
    <mergeCell ref="AN53:AP53"/>
    <mergeCell ref="AQ53:AT53"/>
    <mergeCell ref="B52:C52"/>
    <mergeCell ref="D52:H52"/>
    <mergeCell ref="I52:M52"/>
    <mergeCell ref="N52:O52"/>
    <mergeCell ref="P52:S52"/>
    <mergeCell ref="T52:V52"/>
    <mergeCell ref="W52:AA52"/>
    <mergeCell ref="AB52:AH52"/>
    <mergeCell ref="AI52:AM52"/>
    <mergeCell ref="AF48:AH48"/>
    <mergeCell ref="AI50:AM50"/>
    <mergeCell ref="AN50:AP50"/>
    <mergeCell ref="AQ50:AT50"/>
    <mergeCell ref="B51:C51"/>
    <mergeCell ref="D51:H51"/>
    <mergeCell ref="I51:M51"/>
    <mergeCell ref="N51:O51"/>
    <mergeCell ref="P51:S51"/>
    <mergeCell ref="T51:V51"/>
    <mergeCell ref="W51:AA51"/>
    <mergeCell ref="AB51:AE51"/>
    <mergeCell ref="AF51:AH51"/>
    <mergeCell ref="AI51:AM51"/>
    <mergeCell ref="AN51:AP51"/>
    <mergeCell ref="AQ51:AT51"/>
    <mergeCell ref="B50:C50"/>
    <mergeCell ref="D50:H50"/>
    <mergeCell ref="I50:M50"/>
    <mergeCell ref="N50:O50"/>
    <mergeCell ref="P50:S50"/>
    <mergeCell ref="T50:V50"/>
    <mergeCell ref="W50:AA50"/>
    <mergeCell ref="AB50:AE50"/>
    <mergeCell ref="AO46:AP46"/>
    <mergeCell ref="AI48:AM48"/>
    <mergeCell ref="AN48:AP48"/>
    <mergeCell ref="AQ48:AT48"/>
    <mergeCell ref="B49:C49"/>
    <mergeCell ref="D49:H49"/>
    <mergeCell ref="I49:M49"/>
    <mergeCell ref="N49:O49"/>
    <mergeCell ref="P49:S49"/>
    <mergeCell ref="T49:V49"/>
    <mergeCell ref="W49:AA49"/>
    <mergeCell ref="AB49:AE49"/>
    <mergeCell ref="AF49:AH49"/>
    <mergeCell ref="AI49:AM49"/>
    <mergeCell ref="AN49:AP49"/>
    <mergeCell ref="AQ49:AT49"/>
    <mergeCell ref="B48:C48"/>
    <mergeCell ref="D48:H48"/>
    <mergeCell ref="I48:M48"/>
    <mergeCell ref="N48:O48"/>
    <mergeCell ref="P48:S48"/>
    <mergeCell ref="T48:V48"/>
    <mergeCell ref="W48:AA48"/>
    <mergeCell ref="AB48:AE48"/>
    <mergeCell ref="AB45:AH45"/>
    <mergeCell ref="AI45:AN45"/>
    <mergeCell ref="AO45:AP45"/>
    <mergeCell ref="AQ45:AT45"/>
    <mergeCell ref="AQ46:AT46"/>
    <mergeCell ref="B47:C47"/>
    <mergeCell ref="D47:H47"/>
    <mergeCell ref="I47:M47"/>
    <mergeCell ref="N47:O47"/>
    <mergeCell ref="P47:S47"/>
    <mergeCell ref="T47:V47"/>
    <mergeCell ref="W47:AA47"/>
    <mergeCell ref="AB47:AH47"/>
    <mergeCell ref="AI47:AM47"/>
    <mergeCell ref="AN47:AP47"/>
    <mergeCell ref="AQ47:AT47"/>
    <mergeCell ref="B46:C46"/>
    <mergeCell ref="D46:H46"/>
    <mergeCell ref="I46:O46"/>
    <mergeCell ref="P46:T46"/>
    <mergeCell ref="U46:V46"/>
    <mergeCell ref="W46:AA46"/>
    <mergeCell ref="AB46:AH46"/>
    <mergeCell ref="AI46:AN46"/>
    <mergeCell ref="AI43:AP43"/>
    <mergeCell ref="AQ43:AT43"/>
    <mergeCell ref="B44:C44"/>
    <mergeCell ref="D44:H44"/>
    <mergeCell ref="I44:M44"/>
    <mergeCell ref="N44:O44"/>
    <mergeCell ref="P44:S44"/>
    <mergeCell ref="T44:V44"/>
    <mergeCell ref="W44:AA44"/>
    <mergeCell ref="AB44:AH44"/>
    <mergeCell ref="AI44:AM44"/>
    <mergeCell ref="AN44:AP44"/>
    <mergeCell ref="AQ44:AT44"/>
    <mergeCell ref="W43:AA43"/>
    <mergeCell ref="AB43:AH43"/>
    <mergeCell ref="AI41:AP41"/>
    <mergeCell ref="AQ41:AT41"/>
    <mergeCell ref="D42:H42"/>
    <mergeCell ref="I42:O42"/>
    <mergeCell ref="P42:V42"/>
    <mergeCell ref="W42:AA42"/>
    <mergeCell ref="AB42:AH42"/>
    <mergeCell ref="AI42:AP42"/>
    <mergeCell ref="AQ42:AT42"/>
    <mergeCell ref="D41:H41"/>
    <mergeCell ref="I41:O41"/>
    <mergeCell ref="P41:V41"/>
    <mergeCell ref="W41:AA41"/>
    <mergeCell ref="AB41:AH41"/>
    <mergeCell ref="AK15:AO15"/>
    <mergeCell ref="AP15:AT15"/>
    <mergeCell ref="B16:F16"/>
    <mergeCell ref="G16:K16"/>
    <mergeCell ref="L16:P16"/>
    <mergeCell ref="Q16:U16"/>
    <mergeCell ref="V16:Z16"/>
    <mergeCell ref="AA16:AE16"/>
    <mergeCell ref="AF16:AJ16"/>
    <mergeCell ref="AK16:AO16"/>
    <mergeCell ref="AP16:AT16"/>
    <mergeCell ref="AF15:AJ15"/>
    <mergeCell ref="B15:F15"/>
    <mergeCell ref="G15:K15"/>
    <mergeCell ref="L15:P15"/>
    <mergeCell ref="Q15:U15"/>
    <mergeCell ref="V15:Z15"/>
    <mergeCell ref="AA15:AE15"/>
    <mergeCell ref="B14:F14"/>
    <mergeCell ref="G14:K14"/>
    <mergeCell ref="L14:P14"/>
    <mergeCell ref="Q14:U14"/>
    <mergeCell ref="V14:Z14"/>
    <mergeCell ref="AA14:AE14"/>
    <mergeCell ref="AF14:AJ14"/>
    <mergeCell ref="AK14:AO14"/>
    <mergeCell ref="AP14:AT14"/>
    <mergeCell ref="B11:F11"/>
    <mergeCell ref="G11:K11"/>
    <mergeCell ref="L11:P11"/>
    <mergeCell ref="Q11:U11"/>
    <mergeCell ref="V11:Z11"/>
    <mergeCell ref="AA11:AE11"/>
    <mergeCell ref="AF11:AJ11"/>
    <mergeCell ref="AK11:AO11"/>
    <mergeCell ref="AP11:AT11"/>
    <mergeCell ref="AK9:AO9"/>
    <mergeCell ref="AP9:AT9"/>
    <mergeCell ref="B10:F10"/>
    <mergeCell ref="G10:K10"/>
    <mergeCell ref="L10:P10"/>
    <mergeCell ref="Q10:U10"/>
    <mergeCell ref="V10:Z10"/>
    <mergeCell ref="AA10:AE10"/>
    <mergeCell ref="AF10:AJ10"/>
    <mergeCell ref="AK10:AO10"/>
    <mergeCell ref="AP10:AT10"/>
    <mergeCell ref="AP7:AT7"/>
    <mergeCell ref="B8:F8"/>
    <mergeCell ref="G8:K8"/>
    <mergeCell ref="L8:P8"/>
    <mergeCell ref="Q8:U8"/>
    <mergeCell ref="V8:Z8"/>
    <mergeCell ref="AA8:AE8"/>
    <mergeCell ref="AF8:AJ8"/>
    <mergeCell ref="AK8:AO8"/>
    <mergeCell ref="AP8:AT8"/>
    <mergeCell ref="AP4:AT5"/>
    <mergeCell ref="G5:K5"/>
    <mergeCell ref="L5:P5"/>
    <mergeCell ref="Q5:U5"/>
    <mergeCell ref="V5:Z5"/>
    <mergeCell ref="AA5:AE5"/>
    <mergeCell ref="B6:F6"/>
    <mergeCell ref="G6:K6"/>
    <mergeCell ref="L6:P6"/>
    <mergeCell ref="Q6:U6"/>
    <mergeCell ref="V6:Z6"/>
    <mergeCell ref="AA6:AE6"/>
    <mergeCell ref="AF6:AJ6"/>
    <mergeCell ref="AK6:AO6"/>
    <mergeCell ref="AP6:AT6"/>
    <mergeCell ref="I165:P165"/>
    <mergeCell ref="C166:H167"/>
    <mergeCell ref="P166:R167"/>
    <mergeCell ref="S166:V167"/>
    <mergeCell ref="W166:W167"/>
    <mergeCell ref="B4:F5"/>
    <mergeCell ref="G4:AE4"/>
    <mergeCell ref="AF4:AJ5"/>
    <mergeCell ref="AK4:AO5"/>
    <mergeCell ref="B7:F7"/>
    <mergeCell ref="G7:K7"/>
    <mergeCell ref="L7:P7"/>
    <mergeCell ref="Q7:U7"/>
    <mergeCell ref="V7:Z7"/>
    <mergeCell ref="AA7:AE7"/>
    <mergeCell ref="AF7:AJ7"/>
    <mergeCell ref="AK7:AO7"/>
    <mergeCell ref="B9:F9"/>
    <mergeCell ref="G9:K9"/>
    <mergeCell ref="L9:P9"/>
    <mergeCell ref="Q9:U9"/>
    <mergeCell ref="V9:Z9"/>
    <mergeCell ref="AA9:AE9"/>
    <mergeCell ref="AF9:AJ9"/>
    <mergeCell ref="S77:T77"/>
    <mergeCell ref="I81:M81"/>
    <mergeCell ref="N81:O81"/>
    <mergeCell ref="O82:Q82"/>
    <mergeCell ref="R163:R164"/>
    <mergeCell ref="O83:S83"/>
    <mergeCell ref="I84:P84"/>
    <mergeCell ref="C85:H86"/>
    <mergeCell ref="O85:P86"/>
    <mergeCell ref="L87:M87"/>
    <mergeCell ref="O87:Q87"/>
    <mergeCell ref="R87:S87"/>
    <mergeCell ref="O96:P96"/>
    <mergeCell ref="Q96:Q97"/>
    <mergeCell ref="R96:T96"/>
    <mergeCell ref="I148:P148"/>
    <mergeCell ref="C149:H150"/>
    <mergeCell ref="H131:O131"/>
    <mergeCell ref="R132:R133"/>
    <mergeCell ref="I134:P134"/>
    <mergeCell ref="C135:H136"/>
    <mergeCell ref="P135:R136"/>
    <mergeCell ref="I101:P101"/>
    <mergeCell ref="C102:H103"/>
    <mergeCell ref="C30:E30"/>
    <mergeCell ref="C31:E31"/>
    <mergeCell ref="B41:C43"/>
    <mergeCell ref="D43:H43"/>
    <mergeCell ref="I43:O43"/>
    <mergeCell ref="P43:V43"/>
    <mergeCell ref="U45:V45"/>
    <mergeCell ref="V63:X63"/>
    <mergeCell ref="I70:M70"/>
    <mergeCell ref="N70:O70"/>
    <mergeCell ref="B45:C45"/>
    <mergeCell ref="D45:H45"/>
    <mergeCell ref="I64:L65"/>
    <mergeCell ref="I45:M45"/>
    <mergeCell ref="N45:O45"/>
    <mergeCell ref="P45:T45"/>
    <mergeCell ref="L63:M63"/>
    <mergeCell ref="O63:Q63"/>
    <mergeCell ref="R63:S63"/>
    <mergeCell ref="W45:AA45"/>
    <mergeCell ref="Y63:Z63"/>
    <mergeCell ref="V64:Y65"/>
    <mergeCell ref="M65:O65"/>
    <mergeCell ref="P65:P66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AF12:AJ12"/>
    <mergeCell ref="AK12:AO12"/>
    <mergeCell ref="AP12:AT12"/>
    <mergeCell ref="B13:F13"/>
    <mergeCell ref="G13:K13"/>
    <mergeCell ref="L13:P13"/>
    <mergeCell ref="Q13:U13"/>
    <mergeCell ref="V13:Z13"/>
    <mergeCell ref="AA13:AE13"/>
    <mergeCell ref="AF13:AJ13"/>
    <mergeCell ref="AK13:AO13"/>
    <mergeCell ref="AP13:AT13"/>
    <mergeCell ref="B12:F12"/>
    <mergeCell ref="G12:K12"/>
    <mergeCell ref="L12:P12"/>
    <mergeCell ref="Q12:U12"/>
    <mergeCell ref="V12:Z12"/>
    <mergeCell ref="AA12:AE12"/>
    <mergeCell ref="R104:S104"/>
    <mergeCell ref="V104:X104"/>
    <mergeCell ref="Y104:Z104"/>
    <mergeCell ref="H109:J109"/>
    <mergeCell ref="AG135:AM136"/>
    <mergeCell ref="Y137:AA137"/>
    <mergeCell ref="J110:W111"/>
    <mergeCell ref="J112:Z113"/>
    <mergeCell ref="AA112:AE112"/>
    <mergeCell ref="L120:O120"/>
    <mergeCell ref="AA120:AC120"/>
    <mergeCell ref="AB124:AC125"/>
    <mergeCell ref="X135:Z136"/>
    <mergeCell ref="AA135:AB136"/>
    <mergeCell ref="AC135:AC136"/>
    <mergeCell ref="AD135:AF136"/>
    <mergeCell ref="W135:W136"/>
    <mergeCell ref="L137:N137"/>
    <mergeCell ref="S137:V137"/>
    <mergeCell ref="S135:V136"/>
    <mergeCell ref="AF112:AF113"/>
  </mergeCells>
  <phoneticPr fontId="4" type="noConversion"/>
  <pageMargins left="0.39370078740157483" right="0.39370078740157483" top="0.39370078740157483" bottom="0.39370078740157483" header="0.19685039370078741" footer="0.19685039370078741"/>
  <pageSetup paperSize="9" fitToHeight="10" orientation="portrait" r:id="rId1"/>
  <headerFooter alignWithMargins="0">
    <oddFooter>&amp;L&amp;10F-02P-04-001 (Rev.00)&amp;C&amp;10&amp;P of &amp;N&amp;R&amp;"돋움,굵게"&amp;9(주)에이치시티</oddFooter>
  </headerFooter>
  <drawing r:id="rId2"/>
  <legacyDrawing r:id="rId3"/>
  <oleObjects>
    <mc:AlternateContent xmlns:mc="http://schemas.openxmlformats.org/markup-compatibility/2006">
      <mc:Choice Requires="x14">
        <oleObject progId="Equation.DSMT4" shapeId="2455" r:id="rId4">
          <objectPr defaultSize="0" autoPict="0" r:id="rId5">
            <anchor moveWithCells="1">
              <from>
                <xdr:col>14</xdr:col>
                <xdr:colOff>28575</xdr:colOff>
                <xdr:row>96</xdr:row>
                <xdr:rowOff>9525</xdr:rowOff>
              </from>
              <to>
                <xdr:col>15</xdr:col>
                <xdr:colOff>85725</xdr:colOff>
                <xdr:row>96</xdr:row>
                <xdr:rowOff>209550</xdr:rowOff>
              </to>
            </anchor>
          </objectPr>
        </oleObject>
      </mc:Choice>
      <mc:Fallback>
        <oleObject progId="Equation.DSMT4" shapeId="2455" r:id="rId4"/>
      </mc:Fallback>
    </mc:AlternateContent>
    <mc:AlternateContent xmlns:mc="http://schemas.openxmlformats.org/markup-compatibility/2006">
      <mc:Choice Requires="x14">
        <oleObject progId="Equation.DSMT4" shapeId="2456" r:id="rId6">
          <objectPr defaultSize="0" r:id="rId7">
            <anchor moveWithCells="1">
              <from>
                <xdr:col>18</xdr:col>
                <xdr:colOff>123825</xdr:colOff>
                <xdr:row>96</xdr:row>
                <xdr:rowOff>0</xdr:rowOff>
              </from>
              <to>
                <xdr:col>20</xdr:col>
                <xdr:colOff>19050</xdr:colOff>
                <xdr:row>96</xdr:row>
                <xdr:rowOff>200025</xdr:rowOff>
              </to>
            </anchor>
          </objectPr>
        </oleObject>
      </mc:Choice>
      <mc:Fallback>
        <oleObject progId="Equation.DSMT4" shapeId="2456" r:id="rId6"/>
      </mc:Fallback>
    </mc:AlternateContent>
    <mc:AlternateContent xmlns:mc="http://schemas.openxmlformats.org/markup-compatibility/2006">
      <mc:Choice Requires="x14">
        <oleObject progId="Equation.3" shapeId="2457" r:id="rId8">
          <objectPr defaultSize="0" r:id="rId9">
            <anchor moveWithCells="1">
              <from>
                <xdr:col>8</xdr:col>
                <xdr:colOff>9525</xdr:colOff>
                <xdr:row>76</xdr:row>
                <xdr:rowOff>19050</xdr:rowOff>
              </from>
              <to>
                <xdr:col>12</xdr:col>
                <xdr:colOff>76200</xdr:colOff>
                <xdr:row>76</xdr:row>
                <xdr:rowOff>219075</xdr:rowOff>
              </to>
            </anchor>
          </objectPr>
        </oleObject>
      </mc:Choice>
      <mc:Fallback>
        <oleObject progId="Equation.3" shapeId="2457" r:id="rId8"/>
      </mc:Fallback>
    </mc:AlternateContent>
    <mc:AlternateContent xmlns:mc="http://schemas.openxmlformats.org/markup-compatibility/2006">
      <mc:Choice Requires="x14">
        <oleObject progId="Equation.3" shapeId="2458" r:id="rId10">
          <objectPr defaultSize="0" r:id="rId11">
            <anchor moveWithCells="1">
              <from>
                <xdr:col>3</xdr:col>
                <xdr:colOff>9525</xdr:colOff>
                <xdr:row>24</xdr:row>
                <xdr:rowOff>19050</xdr:rowOff>
              </from>
              <to>
                <xdr:col>4</xdr:col>
                <xdr:colOff>0</xdr:colOff>
                <xdr:row>25</xdr:row>
                <xdr:rowOff>0</xdr:rowOff>
              </to>
            </anchor>
          </objectPr>
        </oleObject>
      </mc:Choice>
      <mc:Fallback>
        <oleObject progId="Equation.3" shapeId="2458" r:id="rId10"/>
      </mc:Fallback>
    </mc:AlternateContent>
    <mc:AlternateContent xmlns:mc="http://schemas.openxmlformats.org/markup-compatibility/2006">
      <mc:Choice Requires="x14">
        <oleObject progId="Equation.3" shapeId="2460" r:id="rId12">
          <objectPr defaultSize="0" r:id="rId11">
            <anchor moveWithCells="1">
              <from>
                <xdr:col>4</xdr:col>
                <xdr:colOff>0</xdr:colOff>
                <xdr:row>47</xdr:row>
                <xdr:rowOff>19050</xdr:rowOff>
              </from>
              <to>
                <xdr:col>4</xdr:col>
                <xdr:colOff>142875</xdr:colOff>
                <xdr:row>48</xdr:row>
                <xdr:rowOff>0</xdr:rowOff>
              </to>
            </anchor>
          </objectPr>
        </oleObject>
      </mc:Choice>
      <mc:Fallback>
        <oleObject progId="Equation.3" shapeId="2460" r:id="rId12"/>
      </mc:Fallback>
    </mc:AlternateContent>
    <mc:AlternateContent xmlns:mc="http://schemas.openxmlformats.org/markup-compatibility/2006">
      <mc:Choice Requires="x14">
        <oleObject progId="Equation.3" shapeId="2461" r:id="rId13">
          <objectPr defaultSize="0" r:id="rId14">
            <anchor moveWithCells="1">
              <from>
                <xdr:col>7</xdr:col>
                <xdr:colOff>133350</xdr:colOff>
                <xdr:row>73</xdr:row>
                <xdr:rowOff>57150</xdr:rowOff>
              </from>
              <to>
                <xdr:col>13</xdr:col>
                <xdr:colOff>85725</xdr:colOff>
                <xdr:row>74</xdr:row>
                <xdr:rowOff>209550</xdr:rowOff>
              </to>
            </anchor>
          </objectPr>
        </oleObject>
      </mc:Choice>
      <mc:Fallback>
        <oleObject progId="Equation.3" shapeId="2461" r:id="rId13"/>
      </mc:Fallback>
    </mc:AlternateContent>
    <mc:AlternateContent xmlns:mc="http://schemas.openxmlformats.org/markup-compatibility/2006">
      <mc:Choice Requires="x14">
        <oleObject progId="Equation.3" shapeId="2462" r:id="rId15">
          <objectPr defaultSize="0" r:id="rId16">
            <anchor moveWithCells="1">
              <from>
                <xdr:col>7</xdr:col>
                <xdr:colOff>123825</xdr:colOff>
                <xdr:row>101</xdr:row>
                <xdr:rowOff>57150</xdr:rowOff>
              </from>
              <to>
                <xdr:col>12</xdr:col>
                <xdr:colOff>0</xdr:colOff>
                <xdr:row>102</xdr:row>
                <xdr:rowOff>200025</xdr:rowOff>
              </to>
            </anchor>
          </objectPr>
        </oleObject>
      </mc:Choice>
      <mc:Fallback>
        <oleObject progId="Equation.3" shapeId="2462" r:id="rId15"/>
      </mc:Fallback>
    </mc:AlternateContent>
    <mc:AlternateContent xmlns:mc="http://schemas.openxmlformats.org/markup-compatibility/2006">
      <mc:Choice Requires="x14">
        <oleObject progId="Equation.3" shapeId="2463" r:id="rId17">
          <objectPr defaultSize="0" r:id="rId18">
            <anchor moveWithCells="1">
              <from>
                <xdr:col>1</xdr:col>
                <xdr:colOff>9525</xdr:colOff>
                <xdr:row>206</xdr:row>
                <xdr:rowOff>9525</xdr:rowOff>
              </from>
              <to>
                <xdr:col>8</xdr:col>
                <xdr:colOff>142875</xdr:colOff>
                <xdr:row>208</xdr:row>
                <xdr:rowOff>180975</xdr:rowOff>
              </to>
            </anchor>
          </objectPr>
        </oleObject>
      </mc:Choice>
      <mc:Fallback>
        <oleObject progId="Equation.3" shapeId="2463" r:id="rId17"/>
      </mc:Fallback>
    </mc:AlternateContent>
    <mc:AlternateContent xmlns:mc="http://schemas.openxmlformats.org/markup-compatibility/2006">
      <mc:Choice Requires="x14">
        <oleObject progId="Equation.3" shapeId="2464" r:id="rId19">
          <objectPr defaultSize="0" autoPict="0" r:id="rId20">
            <anchor moveWithCells="1">
              <from>
                <xdr:col>14</xdr:col>
                <xdr:colOff>47625</xdr:colOff>
                <xdr:row>207</xdr:row>
                <xdr:rowOff>0</xdr:rowOff>
              </from>
              <to>
                <xdr:col>18</xdr:col>
                <xdr:colOff>19050</xdr:colOff>
                <xdr:row>207</xdr:row>
                <xdr:rowOff>219075</xdr:rowOff>
              </to>
            </anchor>
          </objectPr>
        </oleObject>
      </mc:Choice>
      <mc:Fallback>
        <oleObject progId="Equation.3" shapeId="2464" r:id="rId19"/>
      </mc:Fallback>
    </mc:AlternateContent>
    <mc:AlternateContent xmlns:mc="http://schemas.openxmlformats.org/markup-compatibility/2006">
      <mc:Choice Requires="x14">
        <oleObject progId="Equation.3" shapeId="2465" r:id="rId21">
          <objectPr defaultSize="0" autoPict="0" r:id="rId20">
            <anchor moveWithCells="1">
              <from>
                <xdr:col>9</xdr:col>
                <xdr:colOff>47625</xdr:colOff>
                <xdr:row>207</xdr:row>
                <xdr:rowOff>9525</xdr:rowOff>
              </from>
              <to>
                <xdr:col>12</xdr:col>
                <xdr:colOff>133350</xdr:colOff>
                <xdr:row>207</xdr:row>
                <xdr:rowOff>228600</xdr:rowOff>
              </to>
            </anchor>
          </objectPr>
        </oleObject>
      </mc:Choice>
      <mc:Fallback>
        <oleObject progId="Equation.3" shapeId="2465" r:id="rId21"/>
      </mc:Fallback>
    </mc:AlternateContent>
    <mc:AlternateContent xmlns:mc="http://schemas.openxmlformats.org/markup-compatibility/2006">
      <mc:Choice Requires="x14">
        <oleObject progId="Equation.3" shapeId="2466" r:id="rId22">
          <objectPr defaultSize="0" autoPict="0" r:id="rId20">
            <anchor moveWithCells="1">
              <from>
                <xdr:col>24</xdr:col>
                <xdr:colOff>57150</xdr:colOff>
                <xdr:row>207</xdr:row>
                <xdr:rowOff>0</xdr:rowOff>
              </from>
              <to>
                <xdr:col>27</xdr:col>
                <xdr:colOff>142875</xdr:colOff>
                <xdr:row>207</xdr:row>
                <xdr:rowOff>219075</xdr:rowOff>
              </to>
            </anchor>
          </objectPr>
        </oleObject>
      </mc:Choice>
      <mc:Fallback>
        <oleObject progId="Equation.3" shapeId="2466" r:id="rId22"/>
      </mc:Fallback>
    </mc:AlternateContent>
    <mc:AlternateContent xmlns:mc="http://schemas.openxmlformats.org/markup-compatibility/2006">
      <mc:Choice Requires="x14">
        <oleObject progId="Equation.3" shapeId="2467" r:id="rId23">
          <objectPr defaultSize="0" autoPict="0" r:id="rId20">
            <anchor moveWithCells="1">
              <from>
                <xdr:col>19</xdr:col>
                <xdr:colOff>57150</xdr:colOff>
                <xdr:row>207</xdr:row>
                <xdr:rowOff>0</xdr:rowOff>
              </from>
              <to>
                <xdr:col>22</xdr:col>
                <xdr:colOff>142875</xdr:colOff>
                <xdr:row>207</xdr:row>
                <xdr:rowOff>219075</xdr:rowOff>
              </to>
            </anchor>
          </objectPr>
        </oleObject>
      </mc:Choice>
      <mc:Fallback>
        <oleObject progId="Equation.3" shapeId="2467" r:id="rId23"/>
      </mc:Fallback>
    </mc:AlternateContent>
    <mc:AlternateContent xmlns:mc="http://schemas.openxmlformats.org/markup-compatibility/2006">
      <mc:Choice Requires="x14">
        <oleObject progId="Equation.3" shapeId="2468" r:id="rId24">
          <objectPr defaultSize="0" autoPict="0" r:id="rId20">
            <anchor moveWithCells="1">
              <from>
                <xdr:col>34</xdr:col>
                <xdr:colOff>57150</xdr:colOff>
                <xdr:row>207</xdr:row>
                <xdr:rowOff>0</xdr:rowOff>
              </from>
              <to>
                <xdr:col>37</xdr:col>
                <xdr:colOff>142875</xdr:colOff>
                <xdr:row>207</xdr:row>
                <xdr:rowOff>219075</xdr:rowOff>
              </to>
            </anchor>
          </objectPr>
        </oleObject>
      </mc:Choice>
      <mc:Fallback>
        <oleObject progId="Equation.3" shapeId="2468" r:id="rId24"/>
      </mc:Fallback>
    </mc:AlternateContent>
    <mc:AlternateContent xmlns:mc="http://schemas.openxmlformats.org/markup-compatibility/2006">
      <mc:Choice Requires="x14">
        <oleObject progId="Equation.3" shapeId="2469" r:id="rId25">
          <objectPr defaultSize="0" autoPict="0" r:id="rId20">
            <anchor moveWithCells="1">
              <from>
                <xdr:col>26</xdr:col>
                <xdr:colOff>123825</xdr:colOff>
                <xdr:row>206</xdr:row>
                <xdr:rowOff>0</xdr:rowOff>
              </from>
              <to>
                <xdr:col>30</xdr:col>
                <xdr:colOff>57150</xdr:colOff>
                <xdr:row>206</xdr:row>
                <xdr:rowOff>219075</xdr:rowOff>
              </to>
            </anchor>
          </objectPr>
        </oleObject>
      </mc:Choice>
      <mc:Fallback>
        <oleObject progId="Equation.3" shapeId="2469" r:id="rId25"/>
      </mc:Fallback>
    </mc:AlternateContent>
    <mc:AlternateContent xmlns:mc="http://schemas.openxmlformats.org/markup-compatibility/2006">
      <mc:Choice Requires="x14">
        <oleObject progId="Equation.DSMT4" shapeId="2470" r:id="rId26">
          <objectPr defaultSize="0" r:id="rId27">
            <anchor moveWithCells="1">
              <from>
                <xdr:col>8</xdr:col>
                <xdr:colOff>57150</xdr:colOff>
                <xdr:row>117</xdr:row>
                <xdr:rowOff>57150</xdr:rowOff>
              </from>
              <to>
                <xdr:col>15</xdr:col>
                <xdr:colOff>66675</xdr:colOff>
                <xdr:row>118</xdr:row>
                <xdr:rowOff>171450</xdr:rowOff>
              </to>
            </anchor>
          </objectPr>
        </oleObject>
      </mc:Choice>
      <mc:Fallback>
        <oleObject progId="Equation.DSMT4" shapeId="2470" r:id="rId26"/>
      </mc:Fallback>
    </mc:AlternateContent>
    <mc:AlternateContent xmlns:mc="http://schemas.openxmlformats.org/markup-compatibility/2006">
      <mc:Choice Requires="x14">
        <oleObject progId="Equation.DSMT4" shapeId="2471" r:id="rId28">
          <objectPr defaultSize="0" autoPict="0" r:id="rId29">
            <anchor moveWithCells="1">
              <from>
                <xdr:col>22</xdr:col>
                <xdr:colOff>9525</xdr:colOff>
                <xdr:row>109</xdr:row>
                <xdr:rowOff>85725</xdr:rowOff>
              </from>
              <to>
                <xdr:col>30</xdr:col>
                <xdr:colOff>142875</xdr:colOff>
                <xdr:row>110</xdr:row>
                <xdr:rowOff>161925</xdr:rowOff>
              </to>
            </anchor>
          </objectPr>
        </oleObject>
      </mc:Choice>
      <mc:Fallback>
        <oleObject progId="Equation.DSMT4" shapeId="2471" r:id="rId28"/>
      </mc:Fallback>
    </mc:AlternateContent>
    <mc:AlternateContent xmlns:mc="http://schemas.openxmlformats.org/markup-compatibility/2006">
      <mc:Choice Requires="x14">
        <oleObject progId="Equation.DSMT4" shapeId="2472" r:id="rId30">
          <objectPr defaultSize="0" autoPict="0" r:id="rId31">
            <anchor moveWithCells="1">
              <from>
                <xdr:col>27</xdr:col>
                <xdr:colOff>133350</xdr:colOff>
                <xdr:row>112</xdr:row>
                <xdr:rowOff>28575</xdr:rowOff>
              </from>
              <to>
                <xdr:col>29</xdr:col>
                <xdr:colOff>28575</xdr:colOff>
                <xdr:row>112</xdr:row>
                <xdr:rowOff>219075</xdr:rowOff>
              </to>
            </anchor>
          </objectPr>
        </oleObject>
      </mc:Choice>
      <mc:Fallback>
        <oleObject progId="Equation.DSMT4" shapeId="2472" r:id="rId30"/>
      </mc:Fallback>
    </mc:AlternateContent>
    <mc:AlternateContent xmlns:mc="http://schemas.openxmlformats.org/markup-compatibility/2006">
      <mc:Choice Requires="x14">
        <oleObject progId="Equation.DSMT4" shapeId="2473" r:id="rId32">
          <objectPr defaultSize="0" autoPict="0" r:id="rId33">
            <anchor moveWithCells="1">
              <from>
                <xdr:col>10</xdr:col>
                <xdr:colOff>0</xdr:colOff>
                <xdr:row>114</xdr:row>
                <xdr:rowOff>47625</xdr:rowOff>
              </from>
              <to>
                <xdr:col>25</xdr:col>
                <xdr:colOff>114300</xdr:colOff>
                <xdr:row>115</xdr:row>
                <xdr:rowOff>152400</xdr:rowOff>
              </to>
            </anchor>
          </objectPr>
        </oleObject>
      </mc:Choice>
      <mc:Fallback>
        <oleObject progId="Equation.DSMT4" shapeId="2473" r:id="rId32"/>
      </mc:Fallback>
    </mc:AlternateContent>
    <mc:AlternateContent xmlns:mc="http://schemas.openxmlformats.org/markup-compatibility/2006">
      <mc:Choice Requires="x14">
        <oleObject progId="Equation.DSMT4" shapeId="2474" r:id="rId34">
          <objectPr defaultSize="0" r:id="rId35">
            <anchor moveWithCells="1">
              <from>
                <xdr:col>8</xdr:col>
                <xdr:colOff>9525</xdr:colOff>
                <xdr:row>134</xdr:row>
                <xdr:rowOff>57150</xdr:rowOff>
              </from>
              <to>
                <xdr:col>15</xdr:col>
                <xdr:colOff>9525</xdr:colOff>
                <xdr:row>135</xdr:row>
                <xdr:rowOff>171450</xdr:rowOff>
              </to>
            </anchor>
          </objectPr>
        </oleObject>
      </mc:Choice>
      <mc:Fallback>
        <oleObject progId="Equation.DSMT4" shapeId="2474" r:id="rId34"/>
      </mc:Fallback>
    </mc:AlternateContent>
    <mc:AlternateContent xmlns:mc="http://schemas.openxmlformats.org/markup-compatibility/2006">
      <mc:Choice Requires="x14">
        <oleObject progId="Equation.DSMT4" shapeId="2475" r:id="rId36">
          <objectPr defaultSize="0" r:id="rId37">
            <anchor moveWithCells="1">
              <from>
                <xdr:col>8</xdr:col>
                <xdr:colOff>28575</xdr:colOff>
                <xdr:row>148</xdr:row>
                <xdr:rowOff>57150</xdr:rowOff>
              </from>
              <to>
                <xdr:col>15</xdr:col>
                <xdr:colOff>133350</xdr:colOff>
                <xdr:row>149</xdr:row>
                <xdr:rowOff>171450</xdr:rowOff>
              </to>
            </anchor>
          </objectPr>
        </oleObject>
      </mc:Choice>
      <mc:Fallback>
        <oleObject progId="Equation.DSMT4" shapeId="2475" r:id="rId36"/>
      </mc:Fallback>
    </mc:AlternateContent>
    <mc:AlternateContent xmlns:mc="http://schemas.openxmlformats.org/markup-compatibility/2006">
      <mc:Choice Requires="x14">
        <oleObject progId="Equation.DSMT4" shapeId="2476" r:id="rId38">
          <objectPr defaultSize="0" r:id="rId39">
            <anchor moveWithCells="1">
              <from>
                <xdr:col>8</xdr:col>
                <xdr:colOff>9525</xdr:colOff>
                <xdr:row>165</xdr:row>
                <xdr:rowOff>57150</xdr:rowOff>
              </from>
              <to>
                <xdr:col>15</xdr:col>
                <xdr:colOff>95250</xdr:colOff>
                <xdr:row>166</xdr:row>
                <xdr:rowOff>171450</xdr:rowOff>
              </to>
            </anchor>
          </objectPr>
        </oleObject>
      </mc:Choice>
      <mc:Fallback>
        <oleObject progId="Equation.DSMT4" shapeId="2476" r:id="rId38"/>
      </mc:Fallback>
    </mc:AlternateContent>
    <mc:AlternateContent xmlns:mc="http://schemas.openxmlformats.org/markup-compatibility/2006">
      <mc:Choice Requires="x14">
        <oleObject progId="Equation.DSMT4" shapeId="2477" r:id="rId40">
          <objectPr defaultSize="0" autoPict="0" r:id="rId41">
            <anchor moveWithCells="1">
              <from>
                <xdr:col>9</xdr:col>
                <xdr:colOff>152400</xdr:colOff>
                <xdr:row>145</xdr:row>
                <xdr:rowOff>228600</xdr:rowOff>
              </from>
              <to>
                <xdr:col>29</xdr:col>
                <xdr:colOff>76200</xdr:colOff>
                <xdr:row>146</xdr:row>
                <xdr:rowOff>209550</xdr:rowOff>
              </to>
            </anchor>
          </objectPr>
        </oleObject>
      </mc:Choice>
      <mc:Fallback>
        <oleObject progId="Equation.DSMT4" shapeId="2477" r:id="rId40"/>
      </mc:Fallback>
    </mc:AlternateContent>
    <mc:AlternateContent xmlns:mc="http://schemas.openxmlformats.org/markup-compatibility/2006">
      <mc:Choice Requires="x14">
        <oleObject progId="Equation.3" shapeId="2478" r:id="rId42">
          <objectPr defaultSize="0" r:id="rId43">
            <anchor moveWithCells="1">
              <from>
                <xdr:col>21</xdr:col>
                <xdr:colOff>0</xdr:colOff>
                <xdr:row>106</xdr:row>
                <xdr:rowOff>219075</xdr:rowOff>
              </from>
              <to>
                <xdr:col>27</xdr:col>
                <xdr:colOff>47625</xdr:colOff>
                <xdr:row>108</xdr:row>
                <xdr:rowOff>0</xdr:rowOff>
              </to>
            </anchor>
          </objectPr>
        </oleObject>
      </mc:Choice>
      <mc:Fallback>
        <oleObject progId="Equation.3" shapeId="2478" r:id="rId42"/>
      </mc:Fallback>
    </mc:AlternateContent>
    <mc:AlternateContent xmlns:mc="http://schemas.openxmlformats.org/markup-compatibility/2006">
      <mc:Choice Requires="x14">
        <oleObject progId="Equation.3" shapeId="2479" r:id="rId44">
          <objectPr defaultSize="0" autoPict="0" r:id="rId45">
            <anchor moveWithCells="1">
              <from>
                <xdr:col>5</xdr:col>
                <xdr:colOff>19050</xdr:colOff>
                <xdr:row>199</xdr:row>
                <xdr:rowOff>9525</xdr:rowOff>
              </from>
              <to>
                <xdr:col>10</xdr:col>
                <xdr:colOff>85725</xdr:colOff>
                <xdr:row>199</xdr:row>
                <xdr:rowOff>228600</xdr:rowOff>
              </to>
            </anchor>
          </objectPr>
        </oleObject>
      </mc:Choice>
      <mc:Fallback>
        <oleObject progId="Equation.3" shapeId="2479" r:id="rId44"/>
      </mc:Fallback>
    </mc:AlternateContent>
    <mc:AlternateContent xmlns:mc="http://schemas.openxmlformats.org/markup-compatibility/2006">
      <mc:Choice Requires="x14">
        <oleObject progId="Equation.DSMT4" shapeId="2480" r:id="rId46">
          <objectPr defaultSize="0" autoPict="0" r:id="rId31">
            <anchor moveWithCells="1">
              <from>
                <xdr:col>14</xdr:col>
                <xdr:colOff>28575</xdr:colOff>
                <xdr:row>132</xdr:row>
                <xdr:rowOff>9525</xdr:rowOff>
              </from>
              <to>
                <xdr:col>15</xdr:col>
                <xdr:colOff>104775</xdr:colOff>
                <xdr:row>132</xdr:row>
                <xdr:rowOff>228600</xdr:rowOff>
              </to>
            </anchor>
          </objectPr>
        </oleObject>
      </mc:Choice>
      <mc:Fallback>
        <oleObject progId="Equation.DSMT4" shapeId="2480" r:id="rId46"/>
      </mc:Fallback>
    </mc:AlternateContent>
    <mc:AlternateContent xmlns:mc="http://schemas.openxmlformats.org/markup-compatibility/2006">
      <mc:Choice Requires="x14">
        <oleObject progId="Equation.3" shapeId="2481" r:id="rId47">
          <objectPr defaultSize="0" autoPict="0" r:id="rId20">
            <anchor moveWithCells="1">
              <from>
                <xdr:col>29</xdr:col>
                <xdr:colOff>47625</xdr:colOff>
                <xdr:row>207</xdr:row>
                <xdr:rowOff>0</xdr:rowOff>
              </from>
              <to>
                <xdr:col>32</xdr:col>
                <xdr:colOff>133350</xdr:colOff>
                <xdr:row>207</xdr:row>
                <xdr:rowOff>219075</xdr:rowOff>
              </to>
            </anchor>
          </objectPr>
        </oleObject>
      </mc:Choice>
      <mc:Fallback>
        <oleObject progId="Equation.3" shapeId="2481" r:id="rId47"/>
      </mc:Fallback>
    </mc:AlternateContent>
    <mc:AlternateContent xmlns:mc="http://schemas.openxmlformats.org/markup-compatibility/2006">
      <mc:Choice Requires="x14">
        <oleObject progId="Equation.DSMT4" shapeId="2483" r:id="rId48">
          <objectPr defaultSize="0" r:id="rId49">
            <anchor moveWithCells="1">
              <from>
                <xdr:col>14</xdr:col>
                <xdr:colOff>9525</xdr:colOff>
                <xdr:row>189</xdr:row>
                <xdr:rowOff>19050</xdr:rowOff>
              </from>
              <to>
                <xdr:col>15</xdr:col>
                <xdr:colOff>123825</xdr:colOff>
                <xdr:row>189</xdr:row>
                <xdr:rowOff>209550</xdr:rowOff>
              </to>
            </anchor>
          </objectPr>
        </oleObject>
      </mc:Choice>
      <mc:Fallback>
        <oleObject progId="Equation.DSMT4" shapeId="2483" r:id="rId48"/>
      </mc:Fallback>
    </mc:AlternateContent>
    <mc:AlternateContent xmlns:mc="http://schemas.openxmlformats.org/markup-compatibility/2006">
      <mc:Choice Requires="x14">
        <oleObject progId="Equation.DSMT4" shapeId="2485" r:id="rId50">
          <objectPr defaultSize="0" r:id="rId51">
            <anchor moveWithCells="1">
              <from>
                <xdr:col>15</xdr:col>
                <xdr:colOff>38100</xdr:colOff>
                <xdr:row>176</xdr:row>
                <xdr:rowOff>19050</xdr:rowOff>
              </from>
              <to>
                <xdr:col>17</xdr:col>
                <xdr:colOff>0</xdr:colOff>
                <xdr:row>176</xdr:row>
                <xdr:rowOff>209550</xdr:rowOff>
              </to>
            </anchor>
          </objectPr>
        </oleObject>
      </mc:Choice>
      <mc:Fallback>
        <oleObject progId="Equation.DSMT4" shapeId="2485" r:id="rId50"/>
      </mc:Fallback>
    </mc:AlternateContent>
    <mc:AlternateContent xmlns:mc="http://schemas.openxmlformats.org/markup-compatibility/2006">
      <mc:Choice Requires="x14">
        <oleObject progId="Equation.DSMT4" shapeId="2486" r:id="rId52">
          <objectPr defaultSize="0" r:id="rId53">
            <anchor moveWithCells="1">
              <from>
                <xdr:col>20</xdr:col>
                <xdr:colOff>0</xdr:colOff>
                <xdr:row>176</xdr:row>
                <xdr:rowOff>19050</xdr:rowOff>
              </from>
              <to>
                <xdr:col>21</xdr:col>
                <xdr:colOff>123825</xdr:colOff>
                <xdr:row>176</xdr:row>
                <xdr:rowOff>209550</xdr:rowOff>
              </to>
            </anchor>
          </objectPr>
        </oleObject>
      </mc:Choice>
      <mc:Fallback>
        <oleObject progId="Equation.DSMT4" shapeId="2486" r:id="rId52"/>
      </mc:Fallback>
    </mc:AlternateContent>
    <mc:AlternateContent xmlns:mc="http://schemas.openxmlformats.org/markup-compatibility/2006">
      <mc:Choice Requires="x14">
        <oleObject progId="Equation.3" shapeId="2487" r:id="rId54">
          <objectPr defaultSize="0" autoPict="0" r:id="rId20">
            <anchor moveWithCells="1">
              <from>
                <xdr:col>39</xdr:col>
                <xdr:colOff>57150</xdr:colOff>
                <xdr:row>207</xdr:row>
                <xdr:rowOff>0</xdr:rowOff>
              </from>
              <to>
                <xdr:col>42</xdr:col>
                <xdr:colOff>142875</xdr:colOff>
                <xdr:row>207</xdr:row>
                <xdr:rowOff>219075</xdr:rowOff>
              </to>
            </anchor>
          </objectPr>
        </oleObject>
      </mc:Choice>
      <mc:Fallback>
        <oleObject progId="Equation.3" shapeId="2487" r:id="rId54"/>
      </mc:Fallback>
    </mc:AlternateContent>
    <mc:AlternateContent xmlns:mc="http://schemas.openxmlformats.org/markup-compatibility/2006">
      <mc:Choice Requires="x14">
        <oleObject progId="Equation.3" shapeId="2488" r:id="rId55">
          <objectPr defaultSize="0" autoPict="0" r:id="rId20">
            <anchor moveWithCells="1">
              <from>
                <xdr:col>44</xdr:col>
                <xdr:colOff>57150</xdr:colOff>
                <xdr:row>207</xdr:row>
                <xdr:rowOff>0</xdr:rowOff>
              </from>
              <to>
                <xdr:col>47</xdr:col>
                <xdr:colOff>142875</xdr:colOff>
                <xdr:row>207</xdr:row>
                <xdr:rowOff>219075</xdr:rowOff>
              </to>
            </anchor>
          </objectPr>
        </oleObject>
      </mc:Choice>
      <mc:Fallback>
        <oleObject progId="Equation.3" shapeId="2488" r:id="rId55"/>
      </mc:Fallback>
    </mc:AlternateContent>
    <mc:AlternateContent xmlns:mc="http://schemas.openxmlformats.org/markup-compatibility/2006">
      <mc:Choice Requires="x14">
        <oleObject progId="Equation.DSMT4" shapeId="2489" r:id="rId56">
          <objectPr defaultSize="0" r:id="rId57">
            <anchor moveWithCells="1">
              <from>
                <xdr:col>8</xdr:col>
                <xdr:colOff>9525</xdr:colOff>
                <xdr:row>137</xdr:row>
                <xdr:rowOff>28575</xdr:rowOff>
              </from>
              <to>
                <xdr:col>19</xdr:col>
                <xdr:colOff>133350</xdr:colOff>
                <xdr:row>138</xdr:row>
                <xdr:rowOff>180975</xdr:rowOff>
              </to>
            </anchor>
          </objectPr>
        </oleObject>
      </mc:Choice>
      <mc:Fallback>
        <oleObject progId="Equation.DSMT4" shapeId="2489" r:id="rId56"/>
      </mc:Fallback>
    </mc:AlternateContent>
    <mc:AlternateContent xmlns:mc="http://schemas.openxmlformats.org/markup-compatibility/2006">
      <mc:Choice Requires="x14">
        <oleObject progId="Equation.DSMT4" shapeId="2490" r:id="rId58">
          <objectPr defaultSize="0" autoPict="0" r:id="rId59">
            <anchor moveWithCells="1">
              <from>
                <xdr:col>14</xdr:col>
                <xdr:colOff>38100</xdr:colOff>
                <xdr:row>163</xdr:row>
                <xdr:rowOff>9525</xdr:rowOff>
              </from>
              <to>
                <xdr:col>15</xdr:col>
                <xdr:colOff>114300</xdr:colOff>
                <xdr:row>163</xdr:row>
                <xdr:rowOff>228600</xdr:rowOff>
              </to>
            </anchor>
          </objectPr>
        </oleObject>
      </mc:Choice>
      <mc:Fallback>
        <oleObject progId="Equation.DSMT4" shapeId="2490" r:id="rId58"/>
      </mc:Fallback>
    </mc:AlternateContent>
    <mc:AlternateContent xmlns:mc="http://schemas.openxmlformats.org/markup-compatibility/2006">
      <mc:Choice Requires="x14">
        <oleObject progId="Equation.DSMT4" shapeId="2491" r:id="rId60">
          <objectPr defaultSize="0" r:id="rId61">
            <anchor moveWithCells="1">
              <from>
                <xdr:col>8</xdr:col>
                <xdr:colOff>9525</xdr:colOff>
                <xdr:row>168</xdr:row>
                <xdr:rowOff>28575</xdr:rowOff>
              </from>
              <to>
                <xdr:col>19</xdr:col>
                <xdr:colOff>95250</xdr:colOff>
                <xdr:row>169</xdr:row>
                <xdr:rowOff>180975</xdr:rowOff>
              </to>
            </anchor>
          </objectPr>
        </oleObject>
      </mc:Choice>
      <mc:Fallback>
        <oleObject progId="Equation.DSMT4" shapeId="2491" r:id="rId60"/>
      </mc:Fallback>
    </mc:AlternateContent>
    <mc:AlternateContent xmlns:mc="http://schemas.openxmlformats.org/markup-compatibility/2006">
      <mc:Choice Requires="x14">
        <oleObject progId="Equation.DSMT4" shapeId="2493" r:id="rId62">
          <objectPr defaultSize="0" r:id="rId63">
            <anchor moveWithCells="1">
              <from>
                <xdr:col>8</xdr:col>
                <xdr:colOff>9525</xdr:colOff>
                <xdr:row>194</xdr:row>
                <xdr:rowOff>28575</xdr:rowOff>
              </from>
              <to>
                <xdr:col>20</xdr:col>
                <xdr:colOff>47625</xdr:colOff>
                <xdr:row>195</xdr:row>
                <xdr:rowOff>180975</xdr:rowOff>
              </to>
            </anchor>
          </objectPr>
        </oleObject>
      </mc:Choice>
      <mc:Fallback>
        <oleObject progId="Equation.DSMT4" shapeId="2493" r:id="rId62"/>
      </mc:Fallback>
    </mc:AlternateContent>
    <mc:AlternateContent xmlns:mc="http://schemas.openxmlformats.org/markup-compatibility/2006">
      <mc:Choice Requires="x14">
        <oleObject progId="Equation.3" shapeId="2495" r:id="rId64">
          <objectPr defaultSize="0" autoPict="0" r:id="rId45">
            <anchor moveWithCells="1">
              <from>
                <xdr:col>12</xdr:col>
                <xdr:colOff>19050</xdr:colOff>
                <xdr:row>199</xdr:row>
                <xdr:rowOff>9525</xdr:rowOff>
              </from>
              <to>
                <xdr:col>17</xdr:col>
                <xdr:colOff>85725</xdr:colOff>
                <xdr:row>199</xdr:row>
                <xdr:rowOff>228600</xdr:rowOff>
              </to>
            </anchor>
          </objectPr>
        </oleObject>
      </mc:Choice>
      <mc:Fallback>
        <oleObject progId="Equation.3" shapeId="2495" r:id="rId64"/>
      </mc:Fallback>
    </mc:AlternateContent>
    <mc:AlternateContent xmlns:mc="http://schemas.openxmlformats.org/markup-compatibility/2006">
      <mc:Choice Requires="x14">
        <oleObject progId="Equation.3" shapeId="2496" r:id="rId65">
          <objectPr defaultSize="0" autoPict="0" r:id="rId45">
            <anchor moveWithCells="1">
              <from>
                <xdr:col>19</xdr:col>
                <xdr:colOff>19050</xdr:colOff>
                <xdr:row>199</xdr:row>
                <xdr:rowOff>9525</xdr:rowOff>
              </from>
              <to>
                <xdr:col>24</xdr:col>
                <xdr:colOff>85725</xdr:colOff>
                <xdr:row>199</xdr:row>
                <xdr:rowOff>228600</xdr:rowOff>
              </to>
            </anchor>
          </objectPr>
        </oleObject>
      </mc:Choice>
      <mc:Fallback>
        <oleObject progId="Equation.3" shapeId="2496" r:id="rId65"/>
      </mc:Fallback>
    </mc:AlternateContent>
    <mc:AlternateContent xmlns:mc="http://schemas.openxmlformats.org/markup-compatibility/2006">
      <mc:Choice Requires="x14">
        <oleObject progId="Equation.3" shapeId="2497" r:id="rId66">
          <objectPr defaultSize="0" autoPict="0" r:id="rId45">
            <anchor moveWithCells="1">
              <from>
                <xdr:col>26</xdr:col>
                <xdr:colOff>19050</xdr:colOff>
                <xdr:row>199</xdr:row>
                <xdr:rowOff>9525</xdr:rowOff>
              </from>
              <to>
                <xdr:col>31</xdr:col>
                <xdr:colOff>85725</xdr:colOff>
                <xdr:row>199</xdr:row>
                <xdr:rowOff>228600</xdr:rowOff>
              </to>
            </anchor>
          </objectPr>
        </oleObject>
      </mc:Choice>
      <mc:Fallback>
        <oleObject progId="Equation.3" shapeId="2497" r:id="rId66"/>
      </mc:Fallback>
    </mc:AlternateContent>
    <mc:AlternateContent xmlns:mc="http://schemas.openxmlformats.org/markup-compatibility/2006">
      <mc:Choice Requires="x14">
        <oleObject progId="Equation.3" shapeId="2498" r:id="rId67">
          <objectPr defaultSize="0" autoPict="0" r:id="rId45">
            <anchor moveWithCells="1">
              <from>
                <xdr:col>33</xdr:col>
                <xdr:colOff>19050</xdr:colOff>
                <xdr:row>199</xdr:row>
                <xdr:rowOff>9525</xdr:rowOff>
              </from>
              <to>
                <xdr:col>38</xdr:col>
                <xdr:colOff>85725</xdr:colOff>
                <xdr:row>199</xdr:row>
                <xdr:rowOff>228600</xdr:rowOff>
              </to>
            </anchor>
          </objectPr>
        </oleObject>
      </mc:Choice>
      <mc:Fallback>
        <oleObject progId="Equation.3" shapeId="2498" r:id="rId67"/>
      </mc:Fallback>
    </mc:AlternateContent>
    <mc:AlternateContent xmlns:mc="http://schemas.openxmlformats.org/markup-compatibility/2006">
      <mc:Choice Requires="x14">
        <oleObject progId="Equation.3" shapeId="2499" r:id="rId68">
          <objectPr defaultSize="0" autoPict="0" r:id="rId45">
            <anchor moveWithCells="1">
              <from>
                <xdr:col>7</xdr:col>
                <xdr:colOff>19050</xdr:colOff>
                <xdr:row>200</xdr:row>
                <xdr:rowOff>9525</xdr:rowOff>
              </from>
              <to>
                <xdr:col>12</xdr:col>
                <xdr:colOff>85725</xdr:colOff>
                <xdr:row>200</xdr:row>
                <xdr:rowOff>228600</xdr:rowOff>
              </to>
            </anchor>
          </objectPr>
        </oleObject>
      </mc:Choice>
      <mc:Fallback>
        <oleObject progId="Equation.3" shapeId="2499" r:id="rId68"/>
      </mc:Fallback>
    </mc:AlternateContent>
    <mc:AlternateContent xmlns:mc="http://schemas.openxmlformats.org/markup-compatibility/2006">
      <mc:Choice Requires="x14">
        <oleObject progId="Equation.3" shapeId="2500" r:id="rId69">
          <objectPr defaultSize="0" autoPict="0" r:id="rId45">
            <anchor moveWithCells="1">
              <from>
                <xdr:col>14</xdr:col>
                <xdr:colOff>19050</xdr:colOff>
                <xdr:row>200</xdr:row>
                <xdr:rowOff>9525</xdr:rowOff>
              </from>
              <to>
                <xdr:col>19</xdr:col>
                <xdr:colOff>85725</xdr:colOff>
                <xdr:row>200</xdr:row>
                <xdr:rowOff>228600</xdr:rowOff>
              </to>
            </anchor>
          </objectPr>
        </oleObject>
      </mc:Choice>
      <mc:Fallback>
        <oleObject progId="Equation.3" shapeId="2500" r:id="rId69"/>
      </mc:Fallback>
    </mc:AlternateContent>
    <mc:AlternateContent xmlns:mc="http://schemas.openxmlformats.org/markup-compatibility/2006">
      <mc:Choice Requires="x14">
        <oleObject progId="Equation.3" shapeId="2501" r:id="rId70">
          <objectPr defaultSize="0" autoPict="0" r:id="rId45">
            <anchor moveWithCells="1">
              <from>
                <xdr:col>21</xdr:col>
                <xdr:colOff>19050</xdr:colOff>
                <xdr:row>200</xdr:row>
                <xdr:rowOff>9525</xdr:rowOff>
              </from>
              <to>
                <xdr:col>26</xdr:col>
                <xdr:colOff>85725</xdr:colOff>
                <xdr:row>200</xdr:row>
                <xdr:rowOff>228600</xdr:rowOff>
              </to>
            </anchor>
          </objectPr>
        </oleObject>
      </mc:Choice>
      <mc:Fallback>
        <oleObject progId="Equation.3" shapeId="2501" r:id="rId70"/>
      </mc:Fallback>
    </mc:AlternateContent>
    <mc:AlternateContent xmlns:mc="http://schemas.openxmlformats.org/markup-compatibility/2006">
      <mc:Choice Requires="x14">
        <oleObject progId="Equation.3" shapeId="2502" r:id="rId71">
          <objectPr defaultSize="0" autoPict="0" r:id="rId45">
            <anchor moveWithCells="1">
              <from>
                <xdr:col>5</xdr:col>
                <xdr:colOff>19050</xdr:colOff>
                <xdr:row>201</xdr:row>
                <xdr:rowOff>9525</xdr:rowOff>
              </from>
              <to>
                <xdr:col>10</xdr:col>
                <xdr:colOff>85725</xdr:colOff>
                <xdr:row>201</xdr:row>
                <xdr:rowOff>228600</xdr:rowOff>
              </to>
            </anchor>
          </objectPr>
        </oleObject>
      </mc:Choice>
      <mc:Fallback>
        <oleObject progId="Equation.3" shapeId="2502" r:id="rId71"/>
      </mc:Fallback>
    </mc:AlternateContent>
    <mc:AlternateContent xmlns:mc="http://schemas.openxmlformats.org/markup-compatibility/2006">
      <mc:Choice Requires="x14">
        <oleObject progId="Equation.DSMT4" shapeId="2503" r:id="rId72">
          <objectPr defaultSize="0" autoPict="0" r:id="rId73">
            <anchor moveWithCells="1">
              <from>
                <xdr:col>14</xdr:col>
                <xdr:colOff>28575</xdr:colOff>
                <xdr:row>99</xdr:row>
                <xdr:rowOff>9525</xdr:rowOff>
              </from>
              <to>
                <xdr:col>15</xdr:col>
                <xdr:colOff>85725</xdr:colOff>
                <xdr:row>99</xdr:row>
                <xdr:rowOff>209550</xdr:rowOff>
              </to>
            </anchor>
          </objectPr>
        </oleObject>
      </mc:Choice>
      <mc:Fallback>
        <oleObject progId="Equation.DSMT4" shapeId="2503" r:id="rId72"/>
      </mc:Fallback>
    </mc:AlternateContent>
    <mc:AlternateContent xmlns:mc="http://schemas.openxmlformats.org/markup-compatibility/2006">
      <mc:Choice Requires="x14">
        <oleObject progId="Equation.DSMT4" shapeId="2504" r:id="rId74">
          <objectPr defaultSize="0" r:id="rId75">
            <anchor moveWithCells="1">
              <from>
                <xdr:col>18</xdr:col>
                <xdr:colOff>123825</xdr:colOff>
                <xdr:row>99</xdr:row>
                <xdr:rowOff>0</xdr:rowOff>
              </from>
              <to>
                <xdr:col>20</xdr:col>
                <xdr:colOff>85725</xdr:colOff>
                <xdr:row>99</xdr:row>
                <xdr:rowOff>200025</xdr:rowOff>
              </to>
            </anchor>
          </objectPr>
        </oleObject>
      </mc:Choice>
      <mc:Fallback>
        <oleObject progId="Equation.DSMT4" shapeId="2504" r:id="rId74"/>
      </mc:Fallback>
    </mc:AlternateContent>
    <mc:AlternateContent xmlns:mc="http://schemas.openxmlformats.org/markup-compatibility/2006">
      <mc:Choice Requires="x14">
        <oleObject progId="Equation.3" shapeId="2505" r:id="rId76">
          <objectPr defaultSize="0" r:id="rId77">
            <anchor moveWithCells="1">
              <from>
                <xdr:col>10</xdr:col>
                <xdr:colOff>57150</xdr:colOff>
                <xdr:row>57</xdr:row>
                <xdr:rowOff>209550</xdr:rowOff>
              </from>
              <to>
                <xdr:col>22</xdr:col>
                <xdr:colOff>142875</xdr:colOff>
                <xdr:row>59</xdr:row>
                <xdr:rowOff>9525</xdr:rowOff>
              </to>
            </anchor>
          </objectPr>
        </oleObject>
      </mc:Choice>
      <mc:Fallback>
        <oleObject progId="Equation.3" shapeId="2505" r:id="rId76"/>
      </mc:Fallback>
    </mc:AlternateContent>
    <mc:AlternateContent xmlns:mc="http://schemas.openxmlformats.org/markup-compatibility/2006">
      <mc:Choice Requires="x14">
        <oleObject progId="Equation.DSMT4" shapeId="2506" r:id="rId78">
          <objectPr defaultSize="0" autoPict="0" r:id="rId79">
            <anchor moveWithCells="1">
              <from>
                <xdr:col>9</xdr:col>
                <xdr:colOff>57150</xdr:colOff>
                <xdr:row>60</xdr:row>
                <xdr:rowOff>57150</xdr:rowOff>
              </from>
              <to>
                <xdr:col>14</xdr:col>
                <xdr:colOff>9525</xdr:colOff>
                <xdr:row>61</xdr:row>
                <xdr:rowOff>200025</xdr:rowOff>
              </to>
            </anchor>
          </objectPr>
        </oleObject>
      </mc:Choice>
      <mc:Fallback>
        <oleObject progId="Equation.DSMT4" shapeId="2506" r:id="rId78"/>
      </mc:Fallback>
    </mc:AlternateContent>
    <mc:AlternateContent xmlns:mc="http://schemas.openxmlformats.org/markup-compatibility/2006">
      <mc:Choice Requires="x14">
        <oleObject progId="Equation.3" shapeId="2507" r:id="rId80">
          <objectPr defaultSize="0" r:id="rId81">
            <anchor moveWithCells="1">
              <from>
                <xdr:col>23</xdr:col>
                <xdr:colOff>38100</xdr:colOff>
                <xdr:row>57</xdr:row>
                <xdr:rowOff>209550</xdr:rowOff>
              </from>
              <to>
                <xdr:col>32</xdr:col>
                <xdr:colOff>0</xdr:colOff>
                <xdr:row>58</xdr:row>
                <xdr:rowOff>228600</xdr:rowOff>
              </to>
            </anchor>
          </objectPr>
        </oleObject>
      </mc:Choice>
      <mc:Fallback>
        <oleObject progId="Equation.3" shapeId="2507" r:id="rId80"/>
      </mc:Fallback>
    </mc:AlternateContent>
    <mc:AlternateContent xmlns:mc="http://schemas.openxmlformats.org/markup-compatibility/2006">
      <mc:Choice Requires="x14">
        <oleObject progId="Equation.3" shapeId="2508" r:id="rId82">
          <objectPr defaultSize="0" r:id="rId83">
            <anchor moveWithCells="1">
              <from>
                <xdr:col>7</xdr:col>
                <xdr:colOff>133350</xdr:colOff>
                <xdr:row>84</xdr:row>
                <xdr:rowOff>57150</xdr:rowOff>
              </from>
              <to>
                <xdr:col>14</xdr:col>
                <xdr:colOff>95250</xdr:colOff>
                <xdr:row>85</xdr:row>
                <xdr:rowOff>209550</xdr:rowOff>
              </to>
            </anchor>
          </objectPr>
        </oleObject>
      </mc:Choice>
      <mc:Fallback>
        <oleObject progId="Equation.3" shapeId="2508" r:id="rId82"/>
      </mc:Fallback>
    </mc:AlternateContent>
    <mc:AlternateContent xmlns:mc="http://schemas.openxmlformats.org/markup-compatibility/2006">
      <mc:Choice Requires="x14">
        <oleObject progId="Equation.3" shapeId="2509" r:id="rId84">
          <objectPr defaultSize="0" r:id="rId85">
            <anchor moveWithCells="1">
              <from>
                <xdr:col>15</xdr:col>
                <xdr:colOff>123825</xdr:colOff>
                <xdr:row>82</xdr:row>
                <xdr:rowOff>28575</xdr:rowOff>
              </from>
              <to>
                <xdr:col>17</xdr:col>
                <xdr:colOff>19050</xdr:colOff>
                <xdr:row>82</xdr:row>
                <xdr:rowOff>228600</xdr:rowOff>
              </to>
            </anchor>
          </objectPr>
        </oleObject>
      </mc:Choice>
      <mc:Fallback>
        <oleObject progId="Equation.3" shapeId="2509" r:id="rId84"/>
      </mc:Fallback>
    </mc:AlternateContent>
    <mc:AlternateContent xmlns:mc="http://schemas.openxmlformats.org/markup-compatibility/2006">
      <mc:Choice Requires="x14">
        <oleObject progId="Equation.DSMT4" shapeId="2510" r:id="rId86">
          <objectPr defaultSize="0" r:id="rId87">
            <anchor moveWithCells="1">
              <from>
                <xdr:col>7</xdr:col>
                <xdr:colOff>19050</xdr:colOff>
                <xdr:row>87</xdr:row>
                <xdr:rowOff>47625</xdr:rowOff>
              </from>
              <to>
                <xdr:col>19</xdr:col>
                <xdr:colOff>133350</xdr:colOff>
                <xdr:row>88</xdr:row>
                <xdr:rowOff>200025</xdr:rowOff>
              </to>
            </anchor>
          </objectPr>
        </oleObject>
      </mc:Choice>
      <mc:Fallback>
        <oleObject progId="Equation.DSMT4" shapeId="2510" r:id="rId86"/>
      </mc:Fallback>
    </mc:AlternateContent>
    <mc:AlternateContent xmlns:mc="http://schemas.openxmlformats.org/markup-compatibility/2006">
      <mc:Choice Requires="x14">
        <oleObject progId="Equation.DSMT4" shapeId="2511" r:id="rId88">
          <objectPr defaultSize="0" autoPict="0" r:id="rId89">
            <anchor moveWithCells="1" sizeWithCells="1">
              <from>
                <xdr:col>14</xdr:col>
                <xdr:colOff>38100</xdr:colOff>
                <xdr:row>62</xdr:row>
                <xdr:rowOff>228600</xdr:rowOff>
              </from>
              <to>
                <xdr:col>18</xdr:col>
                <xdr:colOff>28575</xdr:colOff>
                <xdr:row>63</xdr:row>
                <xdr:rowOff>228600</xdr:rowOff>
              </to>
            </anchor>
          </objectPr>
        </oleObject>
      </mc:Choice>
      <mc:Fallback>
        <oleObject progId="Equation.DSMT4" shapeId="2511" r:id="rId88"/>
      </mc:Fallback>
    </mc:AlternateContent>
    <mc:AlternateContent xmlns:mc="http://schemas.openxmlformats.org/markup-compatibility/2006">
      <mc:Choice Requires="x14">
        <oleObject progId="Equation.DSMT4" shapeId="2512" r:id="rId90">
          <objectPr defaultSize="0" autoPict="0" r:id="rId89">
            <anchor moveWithCells="1" sizeWithCells="1">
              <from>
                <xdr:col>11</xdr:col>
                <xdr:colOff>114300</xdr:colOff>
                <xdr:row>63</xdr:row>
                <xdr:rowOff>228600</xdr:rowOff>
              </from>
              <to>
                <xdr:col>15</xdr:col>
                <xdr:colOff>104775</xdr:colOff>
                <xdr:row>64</xdr:row>
                <xdr:rowOff>228600</xdr:rowOff>
              </to>
            </anchor>
          </objectPr>
        </oleObject>
      </mc:Choice>
      <mc:Fallback>
        <oleObject progId="Equation.DSMT4" shapeId="2512" r:id="rId90"/>
      </mc:Fallback>
    </mc:AlternateContent>
    <mc:AlternateContent xmlns:mc="http://schemas.openxmlformats.org/markup-compatibility/2006">
      <mc:Choice Requires="x14">
        <oleObject progId="Equation.DSMT4" shapeId="2513" r:id="rId91">
          <objectPr defaultSize="0" autoPict="0" r:id="rId89">
            <anchor moveWithCells="1" sizeWithCells="1">
              <from>
                <xdr:col>15</xdr:col>
                <xdr:colOff>123825</xdr:colOff>
                <xdr:row>63</xdr:row>
                <xdr:rowOff>228600</xdr:rowOff>
              </from>
              <to>
                <xdr:col>19</xdr:col>
                <xdr:colOff>114300</xdr:colOff>
                <xdr:row>64</xdr:row>
                <xdr:rowOff>228600</xdr:rowOff>
              </to>
            </anchor>
          </objectPr>
        </oleObject>
      </mc:Choice>
      <mc:Fallback>
        <oleObject progId="Equation.DSMT4" shapeId="2513" r:id="rId91"/>
      </mc:Fallback>
    </mc:AlternateContent>
    <mc:AlternateContent xmlns:mc="http://schemas.openxmlformats.org/markup-compatibility/2006">
      <mc:Choice Requires="x14">
        <oleObject progId="Equation.DSMT4" shapeId="2514" r:id="rId92">
          <objectPr defaultSize="0" r:id="rId93">
            <anchor moveWithCells="1" sizeWithCells="1">
              <from>
                <xdr:col>8</xdr:col>
                <xdr:colOff>9525</xdr:colOff>
                <xdr:row>123</xdr:row>
                <xdr:rowOff>28575</xdr:rowOff>
              </from>
              <to>
                <xdr:col>26</xdr:col>
                <xdr:colOff>133350</xdr:colOff>
                <xdr:row>125</xdr:row>
                <xdr:rowOff>123825</xdr:rowOff>
              </to>
            </anchor>
          </objectPr>
        </oleObject>
      </mc:Choice>
      <mc:Fallback>
        <oleObject progId="Equation.DSMT4" shapeId="2514" r:id="rId92"/>
      </mc:Fallback>
    </mc:AlternateContent>
    <mc:AlternateContent xmlns:mc="http://schemas.openxmlformats.org/markup-compatibility/2006">
      <mc:Choice Requires="x14">
        <oleObject progId="Equation.DSMT4" shapeId="2515" r:id="rId94">
          <objectPr defaultSize="0" r:id="rId95">
            <anchor moveWithCells="1" sizeWithCells="1">
              <from>
                <xdr:col>8</xdr:col>
                <xdr:colOff>9525</xdr:colOff>
                <xdr:row>121</xdr:row>
                <xdr:rowOff>28575</xdr:rowOff>
              </from>
              <to>
                <xdr:col>23</xdr:col>
                <xdr:colOff>123825</xdr:colOff>
                <xdr:row>122</xdr:row>
                <xdr:rowOff>219075</xdr:rowOff>
              </to>
            </anchor>
          </objectPr>
        </oleObject>
      </mc:Choice>
      <mc:Fallback>
        <oleObject progId="Equation.DSMT4" shapeId="2515" r:id="rId94"/>
      </mc:Fallback>
    </mc:AlternateContent>
    <mc:AlternateContent xmlns:mc="http://schemas.openxmlformats.org/markup-compatibility/2006">
      <mc:Choice Requires="x14">
        <oleObject progId="Equation.DSMT4" shapeId="2516" r:id="rId96">
          <objectPr defaultSize="0" r:id="rId97">
            <anchor moveWithCells="1" sizeWithCells="1">
              <from>
                <xdr:col>8</xdr:col>
                <xdr:colOff>38100</xdr:colOff>
                <xdr:row>154</xdr:row>
                <xdr:rowOff>38100</xdr:rowOff>
              </from>
              <to>
                <xdr:col>23</xdr:col>
                <xdr:colOff>85725</xdr:colOff>
                <xdr:row>156</xdr:row>
                <xdr:rowOff>142875</xdr:rowOff>
              </to>
            </anchor>
          </objectPr>
        </oleObject>
      </mc:Choice>
      <mc:Fallback>
        <oleObject progId="Equation.DSMT4" shapeId="2516" r:id="rId96"/>
      </mc:Fallback>
    </mc:AlternateContent>
    <mc:AlternateContent xmlns:mc="http://schemas.openxmlformats.org/markup-compatibility/2006">
      <mc:Choice Requires="x14">
        <oleObject progId="Equation.DSMT4" shapeId="2517" r:id="rId98">
          <objectPr defaultSize="0" r:id="rId99">
            <anchor moveWithCells="1" sizeWithCells="1">
              <from>
                <xdr:col>8</xdr:col>
                <xdr:colOff>38100</xdr:colOff>
                <xdr:row>152</xdr:row>
                <xdr:rowOff>19050</xdr:rowOff>
              </from>
              <to>
                <xdr:col>24</xdr:col>
                <xdr:colOff>9525</xdr:colOff>
                <xdr:row>153</xdr:row>
                <xdr:rowOff>219075</xdr:rowOff>
              </to>
            </anchor>
          </objectPr>
        </oleObject>
      </mc:Choice>
      <mc:Fallback>
        <oleObject progId="Equation.DSMT4" shapeId="2517" r:id="rId98"/>
      </mc:Fallback>
    </mc:AlternateContent>
    <mc:AlternateContent xmlns:mc="http://schemas.openxmlformats.org/markup-compatibility/2006">
      <mc:Choice Requires="x14">
        <oleObject progId="Equation.DSMT4" shapeId="2518" r:id="rId100">
          <objectPr defaultSize="0" autoPict="0" r:id="rId101">
            <anchor moveWithCells="1">
              <from>
                <xdr:col>8</xdr:col>
                <xdr:colOff>9525</xdr:colOff>
                <xdr:row>191</xdr:row>
                <xdr:rowOff>66675</xdr:rowOff>
              </from>
              <to>
                <xdr:col>13</xdr:col>
                <xdr:colOff>114300</xdr:colOff>
                <xdr:row>192</xdr:row>
                <xdr:rowOff>190500</xdr:rowOff>
              </to>
            </anchor>
          </objectPr>
        </oleObject>
      </mc:Choice>
      <mc:Fallback>
        <oleObject progId="Equation.DSMT4" shapeId="2518" r:id="rId100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F69"/>
  <sheetViews>
    <sheetView showGridLines="0" zoomScaleNormal="100" workbookViewId="0"/>
  </sheetViews>
  <sheetFormatPr defaultColWidth="8.77734375" defaultRowHeight="18" customHeight="1"/>
  <cols>
    <col min="1" max="1" width="2.77734375" style="126" customWidth="1"/>
    <col min="2" max="2" width="8.77734375" style="128"/>
    <col min="3" max="3" width="10.77734375" style="128" bestFit="1" customWidth="1"/>
    <col min="4" max="4" width="8.77734375" style="128"/>
    <col min="5" max="21" width="8.77734375" style="127"/>
    <col min="22" max="16384" width="8.77734375" style="126"/>
  </cols>
  <sheetData>
    <row r="1" spans="1:32" ht="15" customHeight="1">
      <c r="A1" s="123" t="s">
        <v>151</v>
      </c>
      <c r="B1" s="124"/>
      <c r="C1" s="124"/>
      <c r="D1" s="124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</row>
    <row r="2" spans="1:32" ht="24">
      <c r="B2" s="164" t="s">
        <v>152</v>
      </c>
      <c r="C2" s="164" t="s">
        <v>322</v>
      </c>
      <c r="D2" s="164" t="s">
        <v>134</v>
      </c>
      <c r="E2" s="164" t="s">
        <v>123</v>
      </c>
      <c r="F2" s="164" t="s">
        <v>62</v>
      </c>
      <c r="G2" s="164" t="s">
        <v>75</v>
      </c>
      <c r="H2" s="164" t="s">
        <v>60</v>
      </c>
      <c r="I2" s="164" t="s">
        <v>79</v>
      </c>
      <c r="J2" s="164" t="s">
        <v>213</v>
      </c>
      <c r="K2" s="164" t="s">
        <v>214</v>
      </c>
      <c r="L2" s="164" t="s">
        <v>153</v>
      </c>
      <c r="M2" s="316" t="s">
        <v>535</v>
      </c>
      <c r="N2" s="164" t="s">
        <v>135</v>
      </c>
      <c r="O2" s="164" t="s">
        <v>154</v>
      </c>
      <c r="P2" s="164" t="s">
        <v>124</v>
      </c>
      <c r="Q2" s="164" t="s">
        <v>140</v>
      </c>
      <c r="R2" s="182" t="s">
        <v>155</v>
      </c>
      <c r="S2" s="182" t="s">
        <v>156</v>
      </c>
      <c r="T2" s="126"/>
      <c r="U2" s="126"/>
    </row>
    <row r="3" spans="1:32" ht="15" customHeight="1">
      <c r="B3" s="173" t="e">
        <f>C3</f>
        <v>#DIV/0!</v>
      </c>
      <c r="C3" s="173" t="e">
        <f>AVERAGE(기본정보!B12:B13)</f>
        <v>#DIV/0!</v>
      </c>
      <c r="D3" s="173">
        <f>MIN(C9:C18)</f>
        <v>0</v>
      </c>
      <c r="E3" s="173">
        <f>MAX(C9:C18)</f>
        <v>0</v>
      </c>
      <c r="F3" s="173">
        <f>Length_5!G4</f>
        <v>0</v>
      </c>
      <c r="G3" s="173">
        <f>Length_5!H4</f>
        <v>0</v>
      </c>
      <c r="H3" s="173">
        <f>Length_5!I4</f>
        <v>0</v>
      </c>
      <c r="I3" s="173">
        <f>IF(H3="inch",25.4,1)</f>
        <v>1</v>
      </c>
      <c r="J3" s="173">
        <f>MIN(T9:T18)</f>
        <v>0</v>
      </c>
      <c r="K3" s="173">
        <f>MAX(T9:T18)</f>
        <v>0</v>
      </c>
      <c r="L3" s="173">
        <f>F3*I3</f>
        <v>0</v>
      </c>
      <c r="M3" s="173" t="str">
        <f ca="1">TEXT(L3,OFFSET(P41,MATCH(IFERROR(LEN(L3)-FIND(".",L3),0),O42:O51,0),0))</f>
        <v>0</v>
      </c>
      <c r="N3" s="173">
        <f>G3*I3</f>
        <v>0</v>
      </c>
      <c r="O3" s="173" t="e">
        <f ca="1">OFFSET(Length_5!C3,MATCH($K3,$T9:$T18,0),0)</f>
        <v>#N/A</v>
      </c>
      <c r="P3" s="173" t="e">
        <f ca="1">OFFSET(Length_5!D3,MATCH($K3,$T9:$T18,0),0)</f>
        <v>#N/A</v>
      </c>
      <c r="Q3" s="173" t="e">
        <f ca="1">OFFSET(Length_5!E3,MATCH($K3,$T9:$T18,0),0)</f>
        <v>#N/A</v>
      </c>
      <c r="R3" s="134" t="e">
        <f ca="1">IF(R37=0,"","초과")</f>
        <v>#VALUE!</v>
      </c>
      <c r="S3" s="136" t="str">
        <f>IF(AE8=0,"PASS","FAIL")</f>
        <v>PASS</v>
      </c>
      <c r="T3" s="126"/>
      <c r="U3" s="126"/>
    </row>
    <row r="4" spans="1:32" ht="15" customHeight="1">
      <c r="B4" s="124"/>
      <c r="C4" s="124"/>
      <c r="D4" s="124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  <c r="U4" s="125"/>
    </row>
    <row r="5" spans="1:32" ht="15" customHeight="1">
      <c r="A5" s="123" t="s">
        <v>141</v>
      </c>
      <c r="C5" s="124"/>
      <c r="D5" s="124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6"/>
      <c r="Y5" s="137" t="s">
        <v>164</v>
      </c>
    </row>
    <row r="6" spans="1:32" ht="15" customHeight="1">
      <c r="B6" s="558" t="s">
        <v>429</v>
      </c>
      <c r="C6" s="559" t="s">
        <v>430</v>
      </c>
      <c r="D6" s="559" t="s">
        <v>431</v>
      </c>
      <c r="E6" s="557" t="s">
        <v>432</v>
      </c>
      <c r="F6" s="557"/>
      <c r="G6" s="557"/>
      <c r="H6" s="557"/>
      <c r="I6" s="557"/>
      <c r="J6" s="557"/>
      <c r="K6" s="555" t="s">
        <v>433</v>
      </c>
      <c r="L6" s="271" t="s">
        <v>434</v>
      </c>
      <c r="M6" s="271" t="s">
        <v>435</v>
      </c>
      <c r="N6" s="546" t="s">
        <v>352</v>
      </c>
      <c r="O6" s="548"/>
      <c r="P6" s="547"/>
      <c r="Q6" s="271" t="s">
        <v>436</v>
      </c>
      <c r="R6" s="183" t="s">
        <v>129</v>
      </c>
      <c r="S6" s="271" t="s">
        <v>437</v>
      </c>
      <c r="T6" s="271" t="s">
        <v>438</v>
      </c>
      <c r="U6" s="271" t="s">
        <v>439</v>
      </c>
      <c r="V6" s="546" t="s">
        <v>158</v>
      </c>
      <c r="W6" s="547"/>
      <c r="X6" s="129"/>
      <c r="Y6" s="549" t="s">
        <v>441</v>
      </c>
      <c r="Z6" s="550"/>
      <c r="AA6" s="546" t="s">
        <v>440</v>
      </c>
      <c r="AB6" s="548"/>
      <c r="AC6" s="548"/>
      <c r="AD6" s="548"/>
      <c r="AE6" s="548"/>
      <c r="AF6" s="547"/>
    </row>
    <row r="7" spans="1:32" ht="15" customHeight="1">
      <c r="B7" s="558"/>
      <c r="C7" s="560"/>
      <c r="D7" s="560"/>
      <c r="E7" s="184" t="s">
        <v>442</v>
      </c>
      <c r="F7" s="269" t="s">
        <v>144</v>
      </c>
      <c r="G7" s="184" t="s">
        <v>125</v>
      </c>
      <c r="H7" s="269" t="s">
        <v>126</v>
      </c>
      <c r="I7" s="184" t="s">
        <v>127</v>
      </c>
      <c r="J7" s="269" t="s">
        <v>160</v>
      </c>
      <c r="K7" s="556"/>
      <c r="L7" s="271" t="s">
        <v>443</v>
      </c>
      <c r="M7" s="271" t="s">
        <v>444</v>
      </c>
      <c r="N7" s="271" t="s">
        <v>145</v>
      </c>
      <c r="O7" s="271" t="s">
        <v>445</v>
      </c>
      <c r="P7" s="271" t="s">
        <v>446</v>
      </c>
      <c r="Q7" s="271" t="s">
        <v>447</v>
      </c>
      <c r="R7" s="271" t="s">
        <v>448</v>
      </c>
      <c r="S7" s="271" t="s">
        <v>449</v>
      </c>
      <c r="T7" s="271" t="s">
        <v>450</v>
      </c>
      <c r="U7" s="271" t="s">
        <v>451</v>
      </c>
      <c r="V7" s="271" t="s">
        <v>453</v>
      </c>
      <c r="W7" s="271" t="s">
        <v>452</v>
      </c>
      <c r="X7" s="129"/>
      <c r="Y7" s="270" t="s">
        <v>161</v>
      </c>
      <c r="Z7" s="270" t="s">
        <v>162</v>
      </c>
      <c r="AA7" s="271" t="s">
        <v>174</v>
      </c>
      <c r="AB7" s="271" t="s">
        <v>454</v>
      </c>
      <c r="AC7" s="274" t="s">
        <v>157</v>
      </c>
      <c r="AD7" s="270" t="s">
        <v>108</v>
      </c>
      <c r="AE7" s="275" t="s">
        <v>159</v>
      </c>
      <c r="AF7" s="283" t="s">
        <v>470</v>
      </c>
    </row>
    <row r="8" spans="1:32" ht="15" customHeight="1">
      <c r="B8" s="558"/>
      <c r="C8" s="561"/>
      <c r="D8" s="561"/>
      <c r="E8" s="269">
        <f>H3</f>
        <v>0</v>
      </c>
      <c r="F8" s="269">
        <f t="shared" ref="F8:J8" si="0">E8</f>
        <v>0</v>
      </c>
      <c r="G8" s="269">
        <f t="shared" si="0"/>
        <v>0</v>
      </c>
      <c r="H8" s="269">
        <f t="shared" si="0"/>
        <v>0</v>
      </c>
      <c r="I8" s="269">
        <f t="shared" si="0"/>
        <v>0</v>
      </c>
      <c r="J8" s="269">
        <f t="shared" si="0"/>
        <v>0</v>
      </c>
      <c r="K8" s="272" t="s">
        <v>177</v>
      </c>
      <c r="L8" s="271" t="s">
        <v>177</v>
      </c>
      <c r="M8" s="271" t="s">
        <v>455</v>
      </c>
      <c r="N8" s="273" t="s">
        <v>457</v>
      </c>
      <c r="O8" s="273" t="s">
        <v>457</v>
      </c>
      <c r="P8" s="273" t="s">
        <v>456</v>
      </c>
      <c r="Q8" s="273" t="s">
        <v>458</v>
      </c>
      <c r="R8" s="273" t="s">
        <v>457</v>
      </c>
      <c r="S8" s="273" t="s">
        <v>459</v>
      </c>
      <c r="T8" s="271" t="s">
        <v>460</v>
      </c>
      <c r="U8" s="271" t="s">
        <v>177</v>
      </c>
      <c r="V8" s="271" t="s">
        <v>461</v>
      </c>
      <c r="W8" s="271" t="s">
        <v>177</v>
      </c>
      <c r="X8" s="129"/>
      <c r="Y8" s="270" t="s">
        <v>463</v>
      </c>
      <c r="Z8" s="270" t="s">
        <v>177</v>
      </c>
      <c r="AA8" s="271" t="s">
        <v>462</v>
      </c>
      <c r="AB8" s="271" t="s">
        <v>177</v>
      </c>
      <c r="AC8" s="274" t="s">
        <v>357</v>
      </c>
      <c r="AD8" s="270" t="s">
        <v>177</v>
      </c>
      <c r="AE8" s="136">
        <f>IF(TYPE(MATCH("FAIL",AE9:AE18,0))=16,0,1)</f>
        <v>0</v>
      </c>
      <c r="AF8" s="283" t="s">
        <v>471</v>
      </c>
    </row>
    <row r="9" spans="1:32" ht="15" customHeight="1">
      <c r="B9" s="186" t="b">
        <f>IF(TRIM(Length_5!B4)="",FALSE,TRUE)</f>
        <v>0</v>
      </c>
      <c r="C9" s="173" t="str">
        <f>IF($B9=FALSE,"",VALUE(Length_5!A4))</f>
        <v/>
      </c>
      <c r="D9" s="173" t="str">
        <f>IF($B9=FALSE,"",Length_5!B4)</f>
        <v/>
      </c>
      <c r="E9" s="187" t="str">
        <f>IF(B9=FALSE,"",Length_5!N4)</f>
        <v/>
      </c>
      <c r="F9" s="187" t="str">
        <f>IF(B9=FALSE,"",Length_5!O4)</f>
        <v/>
      </c>
      <c r="G9" s="187" t="str">
        <f>IF(B9=FALSE,"",Length_5!P4)</f>
        <v/>
      </c>
      <c r="H9" s="187" t="str">
        <f>IF(B9=FALSE,"",Length_5!Q4)</f>
        <v/>
      </c>
      <c r="I9" s="187" t="str">
        <f>IF(B9=FALSE,"",Length_5!R4)</f>
        <v/>
      </c>
      <c r="J9" s="188" t="str">
        <f t="shared" ref="J9:J18" si="1">IF(B9=FALSE,"",AVERAGE(E9:I9))</f>
        <v/>
      </c>
      <c r="K9" s="189" t="str">
        <f t="shared" ref="K9:K18" si="2">IF(B9=FALSE,"",STDEV(E9:I9)*I$3)</f>
        <v/>
      </c>
      <c r="L9" s="190" t="str">
        <f>IF(B9=FALSE,"",AVERAGE(Length_5!D17,Length_5!F17))</f>
        <v/>
      </c>
      <c r="M9" s="191" t="str">
        <f>IF(B9=FALSE,"",Calcu!J9*I$3)</f>
        <v/>
      </c>
      <c r="N9" s="192" t="str">
        <f t="shared" ref="N9:N18" si="3">IF(B9=FALSE,"",11.5*10^-6)</f>
        <v/>
      </c>
      <c r="O9" s="192" t="str">
        <f>IF(B9=FALSE,"",Length_5!M17)</f>
        <v/>
      </c>
      <c r="P9" s="193" t="str">
        <f t="shared" ref="P9:P18" si="4">IF(B9=FALSE,"",AVERAGE(N9:O9))</f>
        <v/>
      </c>
      <c r="Q9" s="278" t="str">
        <f t="shared" ref="Q9:Q18" si="5">IF(B9=FALSE,"",B$3-C$3)</f>
        <v/>
      </c>
      <c r="R9" s="278" t="str">
        <f t="shared" ref="R9:R18" si="6">IF(B9=FALSE,"",N9-O9)</f>
        <v/>
      </c>
      <c r="S9" s="278" t="str">
        <f t="shared" ref="S9:S18" si="7">IF(B9=FALSE,"",AVERAGE(B$3:C$3)-20)</f>
        <v/>
      </c>
      <c r="T9" s="176" t="str">
        <f>IF(B9=FALSE,"",C9*I$3)</f>
        <v/>
      </c>
      <c r="U9" s="194" t="str">
        <f t="shared" ref="U9:U18" si="8">IF(B9=FALSE,"",L9-M9-(P9*Q9+R9*S9)*T9)</f>
        <v/>
      </c>
      <c r="V9" s="173" t="str">
        <f>IF($B9=FALSE,"",ROUND(T9+W9,$M$37))</f>
        <v/>
      </c>
      <c r="W9" s="173" t="str">
        <f>IF($B9=FALSE,"",ROUND(U9,$M$37))</f>
        <v/>
      </c>
      <c r="X9" s="129"/>
      <c r="Y9" s="173">
        <f>Length_5!K4*$I$3</f>
        <v>0</v>
      </c>
      <c r="Z9" s="173">
        <f>Length_5!L4*$I$3</f>
        <v>0</v>
      </c>
      <c r="AA9" s="173" t="e">
        <f t="shared" ref="AA9:AA18" ca="1" si="9">TEXT(T9,IF(T9&gt;=1000,"# ##","")&amp;$P$37)</f>
        <v>#VALUE!</v>
      </c>
      <c r="AB9" s="173" t="e">
        <f t="shared" ref="AB9:AB18" ca="1" si="10">TEXT(V9,IF(V9&gt;=1000,"# ##","")&amp;$P$37)</f>
        <v>#VALUE!</v>
      </c>
      <c r="AC9" s="173" t="e">
        <f t="shared" ref="AC9:AC18" ca="1" si="11">TEXT(W9,$P$37)</f>
        <v>#VALUE!</v>
      </c>
      <c r="AD9" s="173" t="e">
        <f t="shared" ref="AD9:AD18" ca="1" si="12">"± "&amp;TEXT(Z9-T9,P$37)</f>
        <v>#VALUE!</v>
      </c>
      <c r="AE9" s="173" t="str">
        <f>IF($B9=FALSE,"",IF(AND(Y9&lt;=V9,V9&lt;=Z9),"PASS","FAIL"))</f>
        <v/>
      </c>
      <c r="AF9" s="173" t="e">
        <f ca="1">S$37</f>
        <v>#VALUE!</v>
      </c>
    </row>
    <row r="10" spans="1:32" ht="15" customHeight="1">
      <c r="B10" s="186" t="b">
        <f>IF(TRIM(Length_5!B5)="",FALSE,TRUE)</f>
        <v>0</v>
      </c>
      <c r="C10" s="173" t="str">
        <f>IF($B10=FALSE,"",VALUE(Length_5!A5))</f>
        <v/>
      </c>
      <c r="D10" s="173" t="str">
        <f>IF($B10=FALSE,"",Length_5!B5)</f>
        <v/>
      </c>
      <c r="E10" s="187" t="str">
        <f>IF(B10=FALSE,"",Length_5!N5)</f>
        <v/>
      </c>
      <c r="F10" s="187" t="str">
        <f>IF(B10=FALSE,"",Length_5!O5)</f>
        <v/>
      </c>
      <c r="G10" s="187" t="str">
        <f>IF(B10=FALSE,"",Length_5!P5)</f>
        <v/>
      </c>
      <c r="H10" s="187" t="str">
        <f>IF(B10=FALSE,"",Length_5!Q5)</f>
        <v/>
      </c>
      <c r="I10" s="187" t="str">
        <f>IF(B10=FALSE,"",Length_5!R5)</f>
        <v/>
      </c>
      <c r="J10" s="188" t="str">
        <f t="shared" si="1"/>
        <v/>
      </c>
      <c r="K10" s="189" t="str">
        <f t="shared" si="2"/>
        <v/>
      </c>
      <c r="L10" s="190" t="str">
        <f>IF(B10=FALSE,"",AVERAGE(Length_5!D18,Length_5!F18))</f>
        <v/>
      </c>
      <c r="M10" s="191" t="str">
        <f>IF(B10=FALSE,"",Calcu!J10*I$3)</f>
        <v/>
      </c>
      <c r="N10" s="192" t="str">
        <f t="shared" si="3"/>
        <v/>
      </c>
      <c r="O10" s="192" t="str">
        <f>IF(B10=FALSE,"",Length_5!M18)</f>
        <v/>
      </c>
      <c r="P10" s="193" t="str">
        <f t="shared" si="4"/>
        <v/>
      </c>
      <c r="Q10" s="278" t="str">
        <f t="shared" si="5"/>
        <v/>
      </c>
      <c r="R10" s="278" t="str">
        <f t="shared" si="6"/>
        <v/>
      </c>
      <c r="S10" s="278" t="str">
        <f t="shared" si="7"/>
        <v/>
      </c>
      <c r="T10" s="176" t="str">
        <f t="shared" ref="T10:T18" si="13">IF(B10=FALSE,"",C10*I$3)</f>
        <v/>
      </c>
      <c r="U10" s="194" t="str">
        <f t="shared" si="8"/>
        <v/>
      </c>
      <c r="V10" s="173" t="str">
        <f t="shared" ref="V10:V18" si="14">IF($B10=FALSE,"",ROUND(T10+W10,$M$37))</f>
        <v/>
      </c>
      <c r="W10" s="173" t="str">
        <f t="shared" ref="W10:W18" si="15">IF($B10=FALSE,"",ROUND(U10,$M$37))</f>
        <v/>
      </c>
      <c r="X10" s="129"/>
      <c r="Y10" s="173">
        <f>Length_5!K5*$I$3</f>
        <v>0</v>
      </c>
      <c r="Z10" s="173">
        <f>Length_5!L5*$I$3</f>
        <v>0</v>
      </c>
      <c r="AA10" s="173" t="e">
        <f t="shared" ca="1" si="9"/>
        <v>#VALUE!</v>
      </c>
      <c r="AB10" s="173" t="e">
        <f t="shared" ca="1" si="10"/>
        <v>#VALUE!</v>
      </c>
      <c r="AC10" s="173" t="e">
        <f t="shared" ca="1" si="11"/>
        <v>#VALUE!</v>
      </c>
      <c r="AD10" s="173" t="e">
        <f t="shared" ca="1" si="12"/>
        <v>#VALUE!</v>
      </c>
      <c r="AE10" s="173" t="str">
        <f t="shared" ref="AE10:AE18" si="16">IF($B10=FALSE,"",IF(AND(Y10&lt;=V10,V10&lt;=Z10),"PASS","FAIL"))</f>
        <v/>
      </c>
      <c r="AF10" s="173" t="e">
        <f t="shared" ref="AF10:AF18" ca="1" si="17">S$37</f>
        <v>#VALUE!</v>
      </c>
    </row>
    <row r="11" spans="1:32" ht="15" customHeight="1">
      <c r="B11" s="186" t="b">
        <f>IF(TRIM(Length_5!B6)="",FALSE,TRUE)</f>
        <v>0</v>
      </c>
      <c r="C11" s="173" t="str">
        <f>IF($B11=FALSE,"",VALUE(Length_5!A6))</f>
        <v/>
      </c>
      <c r="D11" s="173" t="str">
        <f>IF($B11=FALSE,"",Length_5!B6)</f>
        <v/>
      </c>
      <c r="E11" s="187" t="str">
        <f>IF(B11=FALSE,"",Length_5!N6)</f>
        <v/>
      </c>
      <c r="F11" s="187" t="str">
        <f>IF(B11=FALSE,"",Length_5!O6)</f>
        <v/>
      </c>
      <c r="G11" s="187" t="str">
        <f>IF(B11=FALSE,"",Length_5!P6)</f>
        <v/>
      </c>
      <c r="H11" s="187" t="str">
        <f>IF(B11=FALSE,"",Length_5!Q6)</f>
        <v/>
      </c>
      <c r="I11" s="187" t="str">
        <f>IF(B11=FALSE,"",Length_5!R6)</f>
        <v/>
      </c>
      <c r="J11" s="188" t="str">
        <f t="shared" si="1"/>
        <v/>
      </c>
      <c r="K11" s="189" t="str">
        <f t="shared" si="2"/>
        <v/>
      </c>
      <c r="L11" s="190" t="str">
        <f>IF(B11=FALSE,"",AVERAGE(Length_5!D19,Length_5!F19))</f>
        <v/>
      </c>
      <c r="M11" s="191" t="str">
        <f>IF(B11=FALSE,"",Calcu!J11*I$3)</f>
        <v/>
      </c>
      <c r="N11" s="192" t="str">
        <f t="shared" si="3"/>
        <v/>
      </c>
      <c r="O11" s="192" t="str">
        <f>IF(B11=FALSE,"",Length_5!M19)</f>
        <v/>
      </c>
      <c r="P11" s="193" t="str">
        <f t="shared" si="4"/>
        <v/>
      </c>
      <c r="Q11" s="278" t="str">
        <f t="shared" si="5"/>
        <v/>
      </c>
      <c r="R11" s="278" t="str">
        <f t="shared" si="6"/>
        <v/>
      </c>
      <c r="S11" s="278" t="str">
        <f t="shared" si="7"/>
        <v/>
      </c>
      <c r="T11" s="176" t="str">
        <f t="shared" si="13"/>
        <v/>
      </c>
      <c r="U11" s="194" t="str">
        <f t="shared" si="8"/>
        <v/>
      </c>
      <c r="V11" s="173" t="str">
        <f t="shared" si="14"/>
        <v/>
      </c>
      <c r="W11" s="173" t="str">
        <f t="shared" si="15"/>
        <v/>
      </c>
      <c r="X11" s="129"/>
      <c r="Y11" s="173">
        <f>Length_5!K6*$I$3</f>
        <v>0</v>
      </c>
      <c r="Z11" s="173">
        <f>Length_5!L6*$I$3</f>
        <v>0</v>
      </c>
      <c r="AA11" s="173" t="e">
        <f t="shared" ca="1" si="9"/>
        <v>#VALUE!</v>
      </c>
      <c r="AB11" s="173" t="e">
        <f t="shared" ca="1" si="10"/>
        <v>#VALUE!</v>
      </c>
      <c r="AC11" s="173" t="e">
        <f t="shared" ca="1" si="11"/>
        <v>#VALUE!</v>
      </c>
      <c r="AD11" s="173" t="e">
        <f t="shared" ca="1" si="12"/>
        <v>#VALUE!</v>
      </c>
      <c r="AE11" s="173" t="str">
        <f t="shared" si="16"/>
        <v/>
      </c>
      <c r="AF11" s="173" t="e">
        <f t="shared" ca="1" si="17"/>
        <v>#VALUE!</v>
      </c>
    </row>
    <row r="12" spans="1:32" ht="15" customHeight="1">
      <c r="B12" s="186" t="b">
        <f>IF(TRIM(Length_5!B7)="",FALSE,TRUE)</f>
        <v>0</v>
      </c>
      <c r="C12" s="173" t="str">
        <f>IF($B12=FALSE,"",VALUE(Length_5!A7))</f>
        <v/>
      </c>
      <c r="D12" s="173" t="str">
        <f>IF($B12=FALSE,"",Length_5!B7)</f>
        <v/>
      </c>
      <c r="E12" s="187" t="str">
        <f>IF(B12=FALSE,"",Length_5!N7)</f>
        <v/>
      </c>
      <c r="F12" s="187" t="str">
        <f>IF(B12=FALSE,"",Length_5!O7)</f>
        <v/>
      </c>
      <c r="G12" s="187" t="str">
        <f>IF(B12=FALSE,"",Length_5!P7)</f>
        <v/>
      </c>
      <c r="H12" s="187" t="str">
        <f>IF(B12=FALSE,"",Length_5!Q7)</f>
        <v/>
      </c>
      <c r="I12" s="187" t="str">
        <f>IF(B12=FALSE,"",Length_5!R7)</f>
        <v/>
      </c>
      <c r="J12" s="188" t="str">
        <f t="shared" si="1"/>
        <v/>
      </c>
      <c r="K12" s="189" t="str">
        <f t="shared" si="2"/>
        <v/>
      </c>
      <c r="L12" s="190" t="str">
        <f>IF(B12=FALSE,"",AVERAGE(Length_5!D20,Length_5!F20))</f>
        <v/>
      </c>
      <c r="M12" s="191" t="str">
        <f>IF(B12=FALSE,"",Calcu!J12*I$3)</f>
        <v/>
      </c>
      <c r="N12" s="192" t="str">
        <f t="shared" si="3"/>
        <v/>
      </c>
      <c r="O12" s="192" t="str">
        <f>IF(B12=FALSE,"",Length_5!M20)</f>
        <v/>
      </c>
      <c r="P12" s="193" t="str">
        <f t="shared" si="4"/>
        <v/>
      </c>
      <c r="Q12" s="278" t="str">
        <f t="shared" si="5"/>
        <v/>
      </c>
      <c r="R12" s="278" t="str">
        <f t="shared" si="6"/>
        <v/>
      </c>
      <c r="S12" s="278" t="str">
        <f t="shared" si="7"/>
        <v/>
      </c>
      <c r="T12" s="176" t="str">
        <f t="shared" si="13"/>
        <v/>
      </c>
      <c r="U12" s="194" t="str">
        <f t="shared" si="8"/>
        <v/>
      </c>
      <c r="V12" s="173" t="str">
        <f t="shared" si="14"/>
        <v/>
      </c>
      <c r="W12" s="173" t="str">
        <f t="shared" si="15"/>
        <v/>
      </c>
      <c r="X12" s="129"/>
      <c r="Y12" s="173">
        <f>Length_5!K7*$I$3</f>
        <v>0</v>
      </c>
      <c r="Z12" s="173">
        <f>Length_5!L7*$I$3</f>
        <v>0</v>
      </c>
      <c r="AA12" s="173" t="e">
        <f t="shared" ca="1" si="9"/>
        <v>#VALUE!</v>
      </c>
      <c r="AB12" s="173" t="e">
        <f t="shared" ca="1" si="10"/>
        <v>#VALUE!</v>
      </c>
      <c r="AC12" s="173" t="e">
        <f t="shared" ca="1" si="11"/>
        <v>#VALUE!</v>
      </c>
      <c r="AD12" s="173" t="e">
        <f t="shared" ca="1" si="12"/>
        <v>#VALUE!</v>
      </c>
      <c r="AE12" s="173" t="str">
        <f t="shared" si="16"/>
        <v/>
      </c>
      <c r="AF12" s="173" t="e">
        <f t="shared" ca="1" si="17"/>
        <v>#VALUE!</v>
      </c>
    </row>
    <row r="13" spans="1:32" ht="15" customHeight="1">
      <c r="B13" s="186" t="b">
        <f>IF(TRIM(Length_5!B8)="",FALSE,TRUE)</f>
        <v>0</v>
      </c>
      <c r="C13" s="173" t="str">
        <f>IF($B13=FALSE,"",VALUE(Length_5!A8))</f>
        <v/>
      </c>
      <c r="D13" s="173" t="str">
        <f>IF($B13=FALSE,"",Length_5!B8)</f>
        <v/>
      </c>
      <c r="E13" s="187" t="str">
        <f>IF(B13=FALSE,"",Length_5!N8)</f>
        <v/>
      </c>
      <c r="F13" s="187" t="str">
        <f>IF(B13=FALSE,"",Length_5!O8)</f>
        <v/>
      </c>
      <c r="G13" s="187" t="str">
        <f>IF(B13=FALSE,"",Length_5!P8)</f>
        <v/>
      </c>
      <c r="H13" s="187" t="str">
        <f>IF(B13=FALSE,"",Length_5!Q8)</f>
        <v/>
      </c>
      <c r="I13" s="187" t="str">
        <f>IF(B13=FALSE,"",Length_5!R8)</f>
        <v/>
      </c>
      <c r="J13" s="188" t="str">
        <f t="shared" si="1"/>
        <v/>
      </c>
      <c r="K13" s="189" t="str">
        <f t="shared" si="2"/>
        <v/>
      </c>
      <c r="L13" s="190" t="str">
        <f>IF(B13=FALSE,"",AVERAGE(Length_5!D21,Length_5!F21))</f>
        <v/>
      </c>
      <c r="M13" s="191" t="str">
        <f>IF(B13=FALSE,"",Calcu!J13*I$3)</f>
        <v/>
      </c>
      <c r="N13" s="192" t="str">
        <f t="shared" si="3"/>
        <v/>
      </c>
      <c r="O13" s="192" t="str">
        <f>IF(B13=FALSE,"",Length_5!M21)</f>
        <v/>
      </c>
      <c r="P13" s="193" t="str">
        <f t="shared" si="4"/>
        <v/>
      </c>
      <c r="Q13" s="278" t="str">
        <f t="shared" si="5"/>
        <v/>
      </c>
      <c r="R13" s="278" t="str">
        <f t="shared" si="6"/>
        <v/>
      </c>
      <c r="S13" s="278" t="str">
        <f t="shared" si="7"/>
        <v/>
      </c>
      <c r="T13" s="176" t="str">
        <f t="shared" si="13"/>
        <v/>
      </c>
      <c r="U13" s="194" t="str">
        <f t="shared" si="8"/>
        <v/>
      </c>
      <c r="V13" s="173" t="str">
        <f t="shared" si="14"/>
        <v/>
      </c>
      <c r="W13" s="173" t="str">
        <f t="shared" si="15"/>
        <v/>
      </c>
      <c r="X13" s="129"/>
      <c r="Y13" s="173">
        <f>Length_5!K8*$I$3</f>
        <v>0</v>
      </c>
      <c r="Z13" s="173">
        <f>Length_5!L8*$I$3</f>
        <v>0</v>
      </c>
      <c r="AA13" s="173" t="e">
        <f t="shared" ca="1" si="9"/>
        <v>#VALUE!</v>
      </c>
      <c r="AB13" s="173" t="e">
        <f t="shared" ca="1" si="10"/>
        <v>#VALUE!</v>
      </c>
      <c r="AC13" s="173" t="e">
        <f t="shared" ca="1" si="11"/>
        <v>#VALUE!</v>
      </c>
      <c r="AD13" s="173" t="e">
        <f t="shared" ca="1" si="12"/>
        <v>#VALUE!</v>
      </c>
      <c r="AE13" s="173" t="str">
        <f t="shared" si="16"/>
        <v/>
      </c>
      <c r="AF13" s="173" t="e">
        <f t="shared" ca="1" si="17"/>
        <v>#VALUE!</v>
      </c>
    </row>
    <row r="14" spans="1:32" ht="15" customHeight="1">
      <c r="B14" s="186" t="b">
        <f>IF(TRIM(Length_5!B9)="",FALSE,TRUE)</f>
        <v>0</v>
      </c>
      <c r="C14" s="173" t="str">
        <f>IF($B14=FALSE,"",VALUE(Length_5!A9))</f>
        <v/>
      </c>
      <c r="D14" s="173" t="str">
        <f>IF($B14=FALSE,"",Length_5!B9)</f>
        <v/>
      </c>
      <c r="E14" s="187" t="str">
        <f>IF(B14=FALSE,"",Length_5!N9)</f>
        <v/>
      </c>
      <c r="F14" s="187" t="str">
        <f>IF(B14=FALSE,"",Length_5!O9)</f>
        <v/>
      </c>
      <c r="G14" s="187" t="str">
        <f>IF(B14=FALSE,"",Length_5!P9)</f>
        <v/>
      </c>
      <c r="H14" s="187" t="str">
        <f>IF(B14=FALSE,"",Length_5!Q9)</f>
        <v/>
      </c>
      <c r="I14" s="187" t="str">
        <f>IF(B14=FALSE,"",Length_5!R9)</f>
        <v/>
      </c>
      <c r="J14" s="188" t="str">
        <f t="shared" si="1"/>
        <v/>
      </c>
      <c r="K14" s="189" t="str">
        <f t="shared" si="2"/>
        <v/>
      </c>
      <c r="L14" s="190" t="str">
        <f>IF(B14=FALSE,"",AVERAGE(Length_5!D22,Length_5!F22))</f>
        <v/>
      </c>
      <c r="M14" s="191" t="str">
        <f>IF(B14=FALSE,"",Calcu!J14*I$3)</f>
        <v/>
      </c>
      <c r="N14" s="192" t="str">
        <f t="shared" si="3"/>
        <v/>
      </c>
      <c r="O14" s="192" t="str">
        <f>IF(B14=FALSE,"",Length_5!M22)</f>
        <v/>
      </c>
      <c r="P14" s="193" t="str">
        <f t="shared" si="4"/>
        <v/>
      </c>
      <c r="Q14" s="278" t="str">
        <f t="shared" si="5"/>
        <v/>
      </c>
      <c r="R14" s="278" t="str">
        <f t="shared" si="6"/>
        <v/>
      </c>
      <c r="S14" s="278" t="str">
        <f t="shared" si="7"/>
        <v/>
      </c>
      <c r="T14" s="176" t="str">
        <f t="shared" si="13"/>
        <v/>
      </c>
      <c r="U14" s="194" t="str">
        <f t="shared" si="8"/>
        <v/>
      </c>
      <c r="V14" s="173" t="str">
        <f t="shared" si="14"/>
        <v/>
      </c>
      <c r="W14" s="173" t="str">
        <f t="shared" si="15"/>
        <v/>
      </c>
      <c r="X14" s="129"/>
      <c r="Y14" s="173">
        <f>Length_5!K9*$I$3</f>
        <v>0</v>
      </c>
      <c r="Z14" s="173">
        <f>Length_5!L9*$I$3</f>
        <v>0</v>
      </c>
      <c r="AA14" s="173" t="e">
        <f t="shared" ca="1" si="9"/>
        <v>#VALUE!</v>
      </c>
      <c r="AB14" s="173" t="e">
        <f t="shared" ca="1" si="10"/>
        <v>#VALUE!</v>
      </c>
      <c r="AC14" s="173" t="e">
        <f t="shared" ca="1" si="11"/>
        <v>#VALUE!</v>
      </c>
      <c r="AD14" s="173" t="e">
        <f t="shared" ca="1" si="12"/>
        <v>#VALUE!</v>
      </c>
      <c r="AE14" s="173" t="str">
        <f t="shared" si="16"/>
        <v/>
      </c>
      <c r="AF14" s="173" t="e">
        <f t="shared" ca="1" si="17"/>
        <v>#VALUE!</v>
      </c>
    </row>
    <row r="15" spans="1:32" ht="15" customHeight="1">
      <c r="B15" s="186" t="b">
        <f>IF(TRIM(Length_5!B10)="",FALSE,TRUE)</f>
        <v>0</v>
      </c>
      <c r="C15" s="173" t="str">
        <f>IF($B15=FALSE,"",VALUE(Length_5!A10))</f>
        <v/>
      </c>
      <c r="D15" s="173" t="str">
        <f>IF($B15=FALSE,"",Length_5!B10)</f>
        <v/>
      </c>
      <c r="E15" s="187" t="str">
        <f>IF(B15=FALSE,"",Length_5!N10)</f>
        <v/>
      </c>
      <c r="F15" s="187" t="str">
        <f>IF(B15=FALSE,"",Length_5!O10)</f>
        <v/>
      </c>
      <c r="G15" s="187" t="str">
        <f>IF(B15=FALSE,"",Length_5!P10)</f>
        <v/>
      </c>
      <c r="H15" s="187" t="str">
        <f>IF(B15=FALSE,"",Length_5!Q10)</f>
        <v/>
      </c>
      <c r="I15" s="187" t="str">
        <f>IF(B15=FALSE,"",Length_5!R10)</f>
        <v/>
      </c>
      <c r="J15" s="188" t="str">
        <f t="shared" si="1"/>
        <v/>
      </c>
      <c r="K15" s="189" t="str">
        <f t="shared" si="2"/>
        <v/>
      </c>
      <c r="L15" s="190" t="str">
        <f>IF(B15=FALSE,"",AVERAGE(Length_5!D23,Length_5!F23))</f>
        <v/>
      </c>
      <c r="M15" s="191" t="str">
        <f>IF(B15=FALSE,"",Calcu!J15*I$3)</f>
        <v/>
      </c>
      <c r="N15" s="192" t="str">
        <f t="shared" si="3"/>
        <v/>
      </c>
      <c r="O15" s="192" t="str">
        <f>IF(B15=FALSE,"",Length_5!M23)</f>
        <v/>
      </c>
      <c r="P15" s="193" t="str">
        <f t="shared" si="4"/>
        <v/>
      </c>
      <c r="Q15" s="278" t="str">
        <f t="shared" si="5"/>
        <v/>
      </c>
      <c r="R15" s="278" t="str">
        <f t="shared" si="6"/>
        <v/>
      </c>
      <c r="S15" s="278" t="str">
        <f t="shared" si="7"/>
        <v/>
      </c>
      <c r="T15" s="176" t="str">
        <f t="shared" si="13"/>
        <v/>
      </c>
      <c r="U15" s="194" t="str">
        <f t="shared" si="8"/>
        <v/>
      </c>
      <c r="V15" s="173" t="str">
        <f t="shared" si="14"/>
        <v/>
      </c>
      <c r="W15" s="173" t="str">
        <f t="shared" si="15"/>
        <v/>
      </c>
      <c r="X15" s="129"/>
      <c r="Y15" s="173">
        <f>Length_5!K10*$I$3</f>
        <v>0</v>
      </c>
      <c r="Z15" s="173">
        <f>Length_5!L10*$I$3</f>
        <v>0</v>
      </c>
      <c r="AA15" s="173" t="e">
        <f t="shared" ca="1" si="9"/>
        <v>#VALUE!</v>
      </c>
      <c r="AB15" s="173" t="e">
        <f t="shared" ca="1" si="10"/>
        <v>#VALUE!</v>
      </c>
      <c r="AC15" s="173" t="e">
        <f t="shared" ca="1" si="11"/>
        <v>#VALUE!</v>
      </c>
      <c r="AD15" s="173" t="e">
        <f t="shared" ca="1" si="12"/>
        <v>#VALUE!</v>
      </c>
      <c r="AE15" s="173" t="str">
        <f t="shared" si="16"/>
        <v/>
      </c>
      <c r="AF15" s="173" t="e">
        <f t="shared" ca="1" si="17"/>
        <v>#VALUE!</v>
      </c>
    </row>
    <row r="16" spans="1:32" ht="15" customHeight="1">
      <c r="B16" s="186" t="b">
        <f>IF(TRIM(Length_5!B11)="",FALSE,TRUE)</f>
        <v>0</v>
      </c>
      <c r="C16" s="173" t="str">
        <f>IF($B16=FALSE,"",VALUE(Length_5!A11))</f>
        <v/>
      </c>
      <c r="D16" s="173" t="str">
        <f>IF($B16=FALSE,"",Length_5!B11)</f>
        <v/>
      </c>
      <c r="E16" s="187" t="str">
        <f>IF(B16=FALSE,"",Length_5!N11)</f>
        <v/>
      </c>
      <c r="F16" s="187" t="str">
        <f>IF(B16=FALSE,"",Length_5!O11)</f>
        <v/>
      </c>
      <c r="G16" s="187" t="str">
        <f>IF(B16=FALSE,"",Length_5!P11)</f>
        <v/>
      </c>
      <c r="H16" s="187" t="str">
        <f>IF(B16=FALSE,"",Length_5!Q11)</f>
        <v/>
      </c>
      <c r="I16" s="187" t="str">
        <f>IF(B16=FALSE,"",Length_5!R11)</f>
        <v/>
      </c>
      <c r="J16" s="188" t="str">
        <f t="shared" si="1"/>
        <v/>
      </c>
      <c r="K16" s="189" t="str">
        <f t="shared" si="2"/>
        <v/>
      </c>
      <c r="L16" s="190" t="str">
        <f>IF(B16=FALSE,"",AVERAGE(Length_5!D24,Length_5!F24))</f>
        <v/>
      </c>
      <c r="M16" s="191" t="str">
        <f>IF(B16=FALSE,"",Calcu!J16*I$3)</f>
        <v/>
      </c>
      <c r="N16" s="192" t="str">
        <f t="shared" si="3"/>
        <v/>
      </c>
      <c r="O16" s="192" t="str">
        <f>IF(B16=FALSE,"",Length_5!M24)</f>
        <v/>
      </c>
      <c r="P16" s="193" t="str">
        <f t="shared" si="4"/>
        <v/>
      </c>
      <c r="Q16" s="278" t="str">
        <f t="shared" si="5"/>
        <v/>
      </c>
      <c r="R16" s="278" t="str">
        <f t="shared" si="6"/>
        <v/>
      </c>
      <c r="S16" s="278" t="str">
        <f t="shared" si="7"/>
        <v/>
      </c>
      <c r="T16" s="176" t="str">
        <f t="shared" si="13"/>
        <v/>
      </c>
      <c r="U16" s="194" t="str">
        <f t="shared" si="8"/>
        <v/>
      </c>
      <c r="V16" s="173" t="str">
        <f t="shared" si="14"/>
        <v/>
      </c>
      <c r="W16" s="173" t="str">
        <f t="shared" si="15"/>
        <v/>
      </c>
      <c r="X16" s="129"/>
      <c r="Y16" s="173">
        <f>Length_5!K11*$I$3</f>
        <v>0</v>
      </c>
      <c r="Z16" s="173">
        <f>Length_5!L11*$I$3</f>
        <v>0</v>
      </c>
      <c r="AA16" s="173" t="e">
        <f t="shared" ca="1" si="9"/>
        <v>#VALUE!</v>
      </c>
      <c r="AB16" s="173" t="e">
        <f t="shared" ca="1" si="10"/>
        <v>#VALUE!</v>
      </c>
      <c r="AC16" s="173" t="e">
        <f t="shared" ca="1" si="11"/>
        <v>#VALUE!</v>
      </c>
      <c r="AD16" s="173" t="e">
        <f t="shared" ca="1" si="12"/>
        <v>#VALUE!</v>
      </c>
      <c r="AE16" s="173" t="str">
        <f t="shared" si="16"/>
        <v/>
      </c>
      <c r="AF16" s="173" t="e">
        <f t="shared" ca="1" si="17"/>
        <v>#VALUE!</v>
      </c>
    </row>
    <row r="17" spans="1:32" ht="15" customHeight="1">
      <c r="B17" s="186" t="b">
        <f>IF(TRIM(Length_5!B12)="",FALSE,TRUE)</f>
        <v>0</v>
      </c>
      <c r="C17" s="173" t="str">
        <f>IF($B17=FALSE,"",VALUE(Length_5!A12))</f>
        <v/>
      </c>
      <c r="D17" s="173" t="str">
        <f>IF($B17=FALSE,"",Length_5!B12)</f>
        <v/>
      </c>
      <c r="E17" s="187" t="str">
        <f>IF(B17=FALSE,"",Length_5!N12)</f>
        <v/>
      </c>
      <c r="F17" s="187" t="str">
        <f>IF(B17=FALSE,"",Length_5!O12)</f>
        <v/>
      </c>
      <c r="G17" s="187" t="str">
        <f>IF(B17=FALSE,"",Length_5!P12)</f>
        <v/>
      </c>
      <c r="H17" s="187" t="str">
        <f>IF(B17=FALSE,"",Length_5!Q12)</f>
        <v/>
      </c>
      <c r="I17" s="187" t="str">
        <f>IF(B17=FALSE,"",Length_5!R12)</f>
        <v/>
      </c>
      <c r="J17" s="188" t="str">
        <f t="shared" si="1"/>
        <v/>
      </c>
      <c r="K17" s="189" t="str">
        <f t="shared" si="2"/>
        <v/>
      </c>
      <c r="L17" s="190" t="str">
        <f>IF(B17=FALSE,"",AVERAGE(Length_5!D25,Length_5!F25))</f>
        <v/>
      </c>
      <c r="M17" s="191" t="str">
        <f>IF(B17=FALSE,"",Calcu!J17*I$3)</f>
        <v/>
      </c>
      <c r="N17" s="192" t="str">
        <f t="shared" si="3"/>
        <v/>
      </c>
      <c r="O17" s="192" t="str">
        <f>IF(B17=FALSE,"",Length_5!M25)</f>
        <v/>
      </c>
      <c r="P17" s="193" t="str">
        <f t="shared" si="4"/>
        <v/>
      </c>
      <c r="Q17" s="278" t="str">
        <f t="shared" si="5"/>
        <v/>
      </c>
      <c r="R17" s="278" t="str">
        <f t="shared" si="6"/>
        <v/>
      </c>
      <c r="S17" s="278" t="str">
        <f t="shared" si="7"/>
        <v/>
      </c>
      <c r="T17" s="176" t="str">
        <f t="shared" si="13"/>
        <v/>
      </c>
      <c r="U17" s="194" t="str">
        <f t="shared" si="8"/>
        <v/>
      </c>
      <c r="V17" s="173" t="str">
        <f t="shared" si="14"/>
        <v/>
      </c>
      <c r="W17" s="173" t="str">
        <f t="shared" si="15"/>
        <v/>
      </c>
      <c r="X17" s="129"/>
      <c r="Y17" s="173">
        <f>Length_5!K12*$I$3</f>
        <v>0</v>
      </c>
      <c r="Z17" s="173">
        <f>Length_5!L12*$I$3</f>
        <v>0</v>
      </c>
      <c r="AA17" s="173" t="e">
        <f t="shared" ca="1" si="9"/>
        <v>#VALUE!</v>
      </c>
      <c r="AB17" s="173" t="e">
        <f t="shared" ca="1" si="10"/>
        <v>#VALUE!</v>
      </c>
      <c r="AC17" s="173" t="e">
        <f t="shared" ca="1" si="11"/>
        <v>#VALUE!</v>
      </c>
      <c r="AD17" s="173" t="e">
        <f t="shared" ca="1" si="12"/>
        <v>#VALUE!</v>
      </c>
      <c r="AE17" s="173" t="str">
        <f t="shared" si="16"/>
        <v/>
      </c>
      <c r="AF17" s="173" t="e">
        <f t="shared" ca="1" si="17"/>
        <v>#VALUE!</v>
      </c>
    </row>
    <row r="18" spans="1:32" ht="15" customHeight="1">
      <c r="B18" s="186" t="b">
        <f>IF(TRIM(Length_5!B13)="",FALSE,TRUE)</f>
        <v>0</v>
      </c>
      <c r="C18" s="173" t="str">
        <f>IF($B18=FALSE,"",VALUE(Length_5!A13))</f>
        <v/>
      </c>
      <c r="D18" s="173" t="str">
        <f>IF($B18=FALSE,"",Length_5!B13)</f>
        <v/>
      </c>
      <c r="E18" s="187" t="str">
        <f>IF(B18=FALSE,"",Length_5!N13)</f>
        <v/>
      </c>
      <c r="F18" s="187" t="str">
        <f>IF(B18=FALSE,"",Length_5!O13)</f>
        <v/>
      </c>
      <c r="G18" s="187" t="str">
        <f>IF(B18=FALSE,"",Length_5!P13)</f>
        <v/>
      </c>
      <c r="H18" s="187" t="str">
        <f>IF(B18=FALSE,"",Length_5!Q13)</f>
        <v/>
      </c>
      <c r="I18" s="187" t="str">
        <f>IF(B18=FALSE,"",Length_5!R13)</f>
        <v/>
      </c>
      <c r="J18" s="188" t="str">
        <f t="shared" si="1"/>
        <v/>
      </c>
      <c r="K18" s="189" t="str">
        <f t="shared" si="2"/>
        <v/>
      </c>
      <c r="L18" s="190" t="str">
        <f>IF(B18=FALSE,"",AVERAGE(Length_5!D26,Length_5!F26))</f>
        <v/>
      </c>
      <c r="M18" s="191" t="str">
        <f>IF(B18=FALSE,"",Calcu!J18*I$3)</f>
        <v/>
      </c>
      <c r="N18" s="192" t="str">
        <f t="shared" si="3"/>
        <v/>
      </c>
      <c r="O18" s="192" t="str">
        <f>IF(B18=FALSE,"",Length_5!M26)</f>
        <v/>
      </c>
      <c r="P18" s="193" t="str">
        <f t="shared" si="4"/>
        <v/>
      </c>
      <c r="Q18" s="278" t="str">
        <f t="shared" si="5"/>
        <v/>
      </c>
      <c r="R18" s="278" t="str">
        <f t="shared" si="6"/>
        <v/>
      </c>
      <c r="S18" s="278" t="str">
        <f t="shared" si="7"/>
        <v/>
      </c>
      <c r="T18" s="176" t="str">
        <f t="shared" si="13"/>
        <v/>
      </c>
      <c r="U18" s="194" t="str">
        <f t="shared" si="8"/>
        <v/>
      </c>
      <c r="V18" s="173" t="str">
        <f t="shared" si="14"/>
        <v/>
      </c>
      <c r="W18" s="173" t="str">
        <f t="shared" si="15"/>
        <v/>
      </c>
      <c r="X18" s="129"/>
      <c r="Y18" s="173">
        <f>Length_5!K13*$I$3</f>
        <v>0</v>
      </c>
      <c r="Z18" s="173">
        <f>Length_5!L13*$I$3</f>
        <v>0</v>
      </c>
      <c r="AA18" s="173" t="e">
        <f t="shared" ca="1" si="9"/>
        <v>#VALUE!</v>
      </c>
      <c r="AB18" s="173" t="e">
        <f t="shared" ca="1" si="10"/>
        <v>#VALUE!</v>
      </c>
      <c r="AC18" s="173" t="e">
        <f t="shared" ca="1" si="11"/>
        <v>#VALUE!</v>
      </c>
      <c r="AD18" s="173" t="e">
        <f t="shared" ca="1" si="12"/>
        <v>#VALUE!</v>
      </c>
      <c r="AE18" s="173" t="str">
        <f t="shared" si="16"/>
        <v/>
      </c>
      <c r="AF18" s="173" t="e">
        <f t="shared" ca="1" si="17"/>
        <v>#VALUE!</v>
      </c>
    </row>
    <row r="19" spans="1:32" ht="15" customHeight="1">
      <c r="N19" s="125"/>
      <c r="O19" s="125"/>
      <c r="P19" s="125"/>
      <c r="Q19" s="125"/>
      <c r="R19" s="125"/>
      <c r="S19" s="125"/>
      <c r="T19" s="125"/>
      <c r="X19" s="125"/>
    </row>
    <row r="20" spans="1:32" ht="15" customHeight="1">
      <c r="A20" s="123" t="s">
        <v>163</v>
      </c>
      <c r="C20" s="124"/>
      <c r="D20" s="124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</row>
    <row r="21" spans="1:32" ht="15" customHeight="1">
      <c r="A21" s="123"/>
      <c r="B21" s="553"/>
      <c r="C21" s="553" t="s">
        <v>165</v>
      </c>
      <c r="D21" s="559" t="s">
        <v>166</v>
      </c>
      <c r="E21" s="553" t="s">
        <v>167</v>
      </c>
      <c r="F21" s="553" t="s">
        <v>60</v>
      </c>
      <c r="G21" s="546">
        <v>1</v>
      </c>
      <c r="H21" s="548"/>
      <c r="I21" s="548"/>
      <c r="J21" s="548"/>
      <c r="K21" s="547"/>
      <c r="L21" s="164">
        <v>2</v>
      </c>
      <c r="M21" s="546">
        <v>3</v>
      </c>
      <c r="N21" s="548"/>
      <c r="O21" s="548"/>
      <c r="P21" s="547"/>
      <c r="Q21" s="546">
        <v>4</v>
      </c>
      <c r="R21" s="547"/>
      <c r="S21" s="164">
        <v>5</v>
      </c>
      <c r="T21" s="553" t="s">
        <v>501</v>
      </c>
      <c r="U21" s="546" t="s">
        <v>502</v>
      </c>
      <c r="V21" s="547"/>
    </row>
    <row r="22" spans="1:32" ht="15" customHeight="1">
      <c r="A22" s="123"/>
      <c r="B22" s="554"/>
      <c r="C22" s="554"/>
      <c r="D22" s="560"/>
      <c r="E22" s="554"/>
      <c r="F22" s="554"/>
      <c r="G22" s="277" t="s">
        <v>465</v>
      </c>
      <c r="H22" s="277" t="s">
        <v>466</v>
      </c>
      <c r="I22" s="277" t="s">
        <v>467</v>
      </c>
      <c r="J22" s="551" t="s">
        <v>169</v>
      </c>
      <c r="K22" s="552"/>
      <c r="L22" s="195" t="s">
        <v>170</v>
      </c>
      <c r="M22" s="551" t="s">
        <v>168</v>
      </c>
      <c r="N22" s="552"/>
      <c r="O22" s="551" t="s">
        <v>171</v>
      </c>
      <c r="P22" s="552"/>
      <c r="Q22" s="551" t="s">
        <v>172</v>
      </c>
      <c r="R22" s="552"/>
      <c r="S22" s="195" t="s">
        <v>173</v>
      </c>
      <c r="T22" s="576"/>
      <c r="U22" s="294" t="s">
        <v>348</v>
      </c>
      <c r="V22" s="294" t="s">
        <v>503</v>
      </c>
    </row>
    <row r="23" spans="1:32" ht="15" customHeight="1">
      <c r="B23" s="202" t="s">
        <v>521</v>
      </c>
      <c r="C23" s="203" t="s">
        <v>179</v>
      </c>
      <c r="D23" s="204" t="s">
        <v>180</v>
      </c>
      <c r="E23" s="173" t="e">
        <f ca="1">OFFSET(L$8,MATCH(K$3,T$9:T$18,0),0)</f>
        <v>#N/A</v>
      </c>
      <c r="F23" s="205" t="s">
        <v>177</v>
      </c>
      <c r="G23" s="303"/>
      <c r="H23" s="173"/>
      <c r="I23" s="173"/>
      <c r="J23" s="304">
        <f>SQRT(SUMSQ(J24:J25))</f>
        <v>0</v>
      </c>
      <c r="K23" s="209" t="s">
        <v>136</v>
      </c>
      <c r="L23" s="208" t="s">
        <v>181</v>
      </c>
      <c r="M23" s="173"/>
      <c r="N23" s="173"/>
      <c r="O23" s="191">
        <v>1</v>
      </c>
      <c r="P23" s="173"/>
      <c r="Q23" s="210">
        <f>ABS(J23*O23)</f>
        <v>0</v>
      </c>
      <c r="R23" s="209" t="s">
        <v>136</v>
      </c>
      <c r="S23" s="305" t="s">
        <v>89</v>
      </c>
      <c r="T23" s="174">
        <f>IF(S23="∞",0,Q23^4/S23)</f>
        <v>0</v>
      </c>
      <c r="U23" s="279" t="str">
        <f>IF(OR(L23="직사각형",L23="삼각형"),Q23,"")</f>
        <v/>
      </c>
      <c r="V23" s="279">
        <f>IF(OR(L23="직사각형",L23="삼각형"),"",Q23)</f>
        <v>0</v>
      </c>
    </row>
    <row r="24" spans="1:32" ht="15" customHeight="1">
      <c r="B24" s="196" t="s">
        <v>522</v>
      </c>
      <c r="C24" s="198" t="s">
        <v>342</v>
      </c>
      <c r="D24" s="307" t="s">
        <v>343</v>
      </c>
      <c r="E24" s="308" t="s">
        <v>344</v>
      </c>
      <c r="F24" s="309" t="s">
        <v>345</v>
      </c>
      <c r="G24" s="200">
        <f>MAX(Length_5!H17:H26)</f>
        <v>0</v>
      </c>
      <c r="H24" s="199"/>
      <c r="I24" s="199">
        <v>2</v>
      </c>
      <c r="J24" s="310">
        <f>G24/I24</f>
        <v>0</v>
      </c>
      <c r="K24" s="311" t="s">
        <v>136</v>
      </c>
      <c r="L24" s="312" t="s">
        <v>181</v>
      </c>
      <c r="M24" s="308"/>
      <c r="N24" s="308"/>
      <c r="O24" s="313"/>
      <c r="P24" s="308"/>
      <c r="Q24" s="314"/>
      <c r="R24" s="311"/>
      <c r="S24" s="315"/>
      <c r="T24" s="301"/>
      <c r="U24" s="282"/>
      <c r="V24" s="282"/>
    </row>
    <row r="25" spans="1:32" ht="15" customHeight="1">
      <c r="B25" s="197" t="s">
        <v>81</v>
      </c>
      <c r="C25" s="198" t="s">
        <v>346</v>
      </c>
      <c r="D25" s="307" t="s">
        <v>347</v>
      </c>
      <c r="E25" s="308" t="s">
        <v>344</v>
      </c>
      <c r="F25" s="309" t="s">
        <v>344</v>
      </c>
      <c r="G25" s="200">
        <f>MAX(Length_5!K17:K26)</f>
        <v>0</v>
      </c>
      <c r="H25" s="199">
        <v>1</v>
      </c>
      <c r="I25" s="201">
        <v>3</v>
      </c>
      <c r="J25" s="310">
        <f>G25/SQRT(I25)</f>
        <v>0</v>
      </c>
      <c r="K25" s="311" t="s">
        <v>136</v>
      </c>
      <c r="L25" s="312" t="s">
        <v>348</v>
      </c>
      <c r="M25" s="308"/>
      <c r="N25" s="308"/>
      <c r="O25" s="313"/>
      <c r="P25" s="308"/>
      <c r="Q25" s="314"/>
      <c r="R25" s="311"/>
      <c r="S25" s="315"/>
      <c r="T25" s="301"/>
      <c r="U25" s="282"/>
      <c r="V25" s="282"/>
    </row>
    <row r="26" spans="1:32" ht="15" customHeight="1">
      <c r="B26" s="179" t="s">
        <v>82</v>
      </c>
      <c r="C26" s="203" t="s">
        <v>142</v>
      </c>
      <c r="D26" s="204" t="s">
        <v>176</v>
      </c>
      <c r="E26" s="306" t="e">
        <f ca="1">OFFSET(M$8,MATCH(K$3,T$9:T$18,0),0)</f>
        <v>#N/A</v>
      </c>
      <c r="F26" s="205" t="s">
        <v>177</v>
      </c>
      <c r="G26" s="209">
        <f>IF(MAX(K9:K18)=0,N3*1000,MAX(K9:K18)*1000)</f>
        <v>0</v>
      </c>
      <c r="H26" s="173">
        <f>IF(MAX(K9:K18)=0,2,1)</f>
        <v>2</v>
      </c>
      <c r="I26" s="206">
        <f>IF(MAX(K9:K18)=0,3,5)</f>
        <v>3</v>
      </c>
      <c r="J26" s="298">
        <f>G26/(IF(H26="",1,H26)*SQRT(I26))</f>
        <v>0</v>
      </c>
      <c r="K26" s="209" t="s">
        <v>136</v>
      </c>
      <c r="L26" s="208" t="str">
        <f>IF(MAX(K9:K18)=0,"직사각형","t")</f>
        <v>직사각형</v>
      </c>
      <c r="M26" s="173"/>
      <c r="N26" s="173"/>
      <c r="O26" s="191">
        <v>-1</v>
      </c>
      <c r="P26" s="173"/>
      <c r="Q26" s="210">
        <f>ABS(J26*O26)</f>
        <v>0</v>
      </c>
      <c r="R26" s="209" t="s">
        <v>136</v>
      </c>
      <c r="S26" s="173" t="str">
        <f>IF(MAX(K9:K18)=0,"∞",I26-1)</f>
        <v>∞</v>
      </c>
      <c r="T26" s="174">
        <f t="shared" ref="T26:T30" si="18">IF(S26="∞",0,Q26^4/S26)</f>
        <v>0</v>
      </c>
      <c r="U26" s="279">
        <f t="shared" ref="U26:U32" si="19">IF(OR(L26="직사각형",L26="삼각형"),Q26,"")</f>
        <v>0</v>
      </c>
      <c r="V26" s="279" t="str">
        <f t="shared" ref="V26:V32" si="20">IF(OR(L26="직사각형",L26="삼각형"),"",Q26)</f>
        <v/>
      </c>
    </row>
    <row r="27" spans="1:32" ht="15" customHeight="1">
      <c r="B27" s="164" t="s">
        <v>182</v>
      </c>
      <c r="C27" s="203" t="s">
        <v>137</v>
      </c>
      <c r="D27" s="204" t="s">
        <v>128</v>
      </c>
      <c r="E27" s="192" t="e">
        <f ca="1">OFFSET(P$8,MATCH(K$3,T$9:T$18,0),0)</f>
        <v>#N/A</v>
      </c>
      <c r="F27" s="205" t="s">
        <v>138</v>
      </c>
      <c r="G27" s="192">
        <f>1*10^-6</f>
        <v>9.9999999999999995E-7</v>
      </c>
      <c r="H27" s="256"/>
      <c r="I27" s="206">
        <v>3</v>
      </c>
      <c r="J27" s="299">
        <f>SQRT((G27/SQRT(I27)/2)^2+(G27/SQRT(I27)/2)^2)</f>
        <v>4.0824829046386305E-7</v>
      </c>
      <c r="K27" s="205" t="s">
        <v>138</v>
      </c>
      <c r="L27" s="208" t="s">
        <v>411</v>
      </c>
      <c r="M27" s="209" t="e">
        <f>-E28</f>
        <v>#VALUE!</v>
      </c>
      <c r="N27" s="173">
        <f>K3*1000</f>
        <v>0</v>
      </c>
      <c r="O27" s="191" t="e">
        <f>M27*N27</f>
        <v>#VALUE!</v>
      </c>
      <c r="P27" s="173" t="s">
        <v>139</v>
      </c>
      <c r="Q27" s="210" t="e">
        <f t="shared" ref="Q27:Q32" si="21">ABS(J27*O27)</f>
        <v>#VALUE!</v>
      </c>
      <c r="R27" s="209" t="s">
        <v>136</v>
      </c>
      <c r="S27" s="173">
        <v>100</v>
      </c>
      <c r="T27" s="174" t="e">
        <f t="shared" si="18"/>
        <v>#VALUE!</v>
      </c>
      <c r="U27" s="279" t="e">
        <f t="shared" si="19"/>
        <v>#VALUE!</v>
      </c>
      <c r="V27" s="279" t="str">
        <f t="shared" si="20"/>
        <v/>
      </c>
    </row>
    <row r="28" spans="1:32" ht="15" customHeight="1">
      <c r="B28" s="164" t="s">
        <v>184</v>
      </c>
      <c r="C28" s="203" t="s">
        <v>143</v>
      </c>
      <c r="D28" s="204" t="s">
        <v>131</v>
      </c>
      <c r="E28" s="209" t="str">
        <f>Q9</f>
        <v/>
      </c>
      <c r="F28" s="205" t="s">
        <v>150</v>
      </c>
      <c r="G28" s="209">
        <f>IF(기본정보!H12=1,1,0.5)</f>
        <v>0.5</v>
      </c>
      <c r="H28" s="256"/>
      <c r="I28" s="206">
        <v>3</v>
      </c>
      <c r="J28" s="298">
        <f>G28/(IF(H28="",1,H28)*SQRT(I28))</f>
        <v>0.28867513459481292</v>
      </c>
      <c r="K28" s="205" t="s">
        <v>150</v>
      </c>
      <c r="L28" s="208" t="s">
        <v>92</v>
      </c>
      <c r="M28" s="192" t="e">
        <f ca="1">-E27</f>
        <v>#N/A</v>
      </c>
      <c r="N28" s="173">
        <f>K3*1000</f>
        <v>0</v>
      </c>
      <c r="O28" s="239" t="e">
        <f ca="1">M28*N28</f>
        <v>#N/A</v>
      </c>
      <c r="P28" s="173" t="s">
        <v>183</v>
      </c>
      <c r="Q28" s="210" t="e">
        <f t="shared" ca="1" si="21"/>
        <v>#N/A</v>
      </c>
      <c r="R28" s="209" t="s">
        <v>136</v>
      </c>
      <c r="S28" s="173">
        <f>ROUNDDOWN(1/2*(100/10)^2,0)</f>
        <v>50</v>
      </c>
      <c r="T28" s="174" t="e">
        <f t="shared" ca="1" si="18"/>
        <v>#N/A</v>
      </c>
      <c r="U28" s="279" t="e">
        <f t="shared" ca="1" si="19"/>
        <v>#N/A</v>
      </c>
      <c r="V28" s="279" t="str">
        <f t="shared" si="20"/>
        <v/>
      </c>
    </row>
    <row r="29" spans="1:32" ht="15" customHeight="1">
      <c r="B29" s="164" t="s">
        <v>185</v>
      </c>
      <c r="C29" s="203" t="s">
        <v>129</v>
      </c>
      <c r="D29" s="204" t="s">
        <v>130</v>
      </c>
      <c r="E29" s="211" t="e">
        <f ca="1">OFFSET(R$8,MATCH(K$3,T$9:T$18,0),0)</f>
        <v>#N/A</v>
      </c>
      <c r="F29" s="205" t="s">
        <v>138</v>
      </c>
      <c r="G29" s="192">
        <f>1*10^-6</f>
        <v>9.9999999999999995E-7</v>
      </c>
      <c r="H29" s="256"/>
      <c r="I29" s="206">
        <v>3</v>
      </c>
      <c r="J29" s="299">
        <f>SQRT((G29/SQRT(I29))^2+(G29/SQRT(I29))^2)</f>
        <v>8.1649658092772609E-7</v>
      </c>
      <c r="K29" s="205" t="s">
        <v>138</v>
      </c>
      <c r="L29" s="208" t="s">
        <v>412</v>
      </c>
      <c r="M29" s="209" t="e">
        <f>-E30</f>
        <v>#VALUE!</v>
      </c>
      <c r="N29" s="173">
        <f>K3*1000</f>
        <v>0</v>
      </c>
      <c r="O29" s="191" t="e">
        <f>M29*N29</f>
        <v>#VALUE!</v>
      </c>
      <c r="P29" s="173" t="s">
        <v>139</v>
      </c>
      <c r="Q29" s="210" t="e">
        <f>ABS(J29*O29)</f>
        <v>#VALUE!</v>
      </c>
      <c r="R29" s="209" t="s">
        <v>136</v>
      </c>
      <c r="S29" s="173">
        <v>100</v>
      </c>
      <c r="T29" s="174" t="e">
        <f t="shared" si="18"/>
        <v>#VALUE!</v>
      </c>
      <c r="U29" s="279" t="e">
        <f t="shared" si="19"/>
        <v>#VALUE!</v>
      </c>
      <c r="V29" s="279" t="str">
        <f t="shared" si="20"/>
        <v/>
      </c>
    </row>
    <row r="30" spans="1:32" ht="15" customHeight="1">
      <c r="B30" s="164" t="s">
        <v>186</v>
      </c>
      <c r="C30" s="203" t="s">
        <v>132</v>
      </c>
      <c r="D30" s="204" t="s">
        <v>133</v>
      </c>
      <c r="E30" s="209" t="str">
        <f>S9</f>
        <v/>
      </c>
      <c r="F30" s="205" t="s">
        <v>150</v>
      </c>
      <c r="G30" s="209">
        <f>IF(기본정보!H12=1,3,1)</f>
        <v>1</v>
      </c>
      <c r="H30" s="256"/>
      <c r="I30" s="206">
        <v>3</v>
      </c>
      <c r="J30" s="298">
        <f>G30/(IF(H30="",1,H30)*SQRT(I30))</f>
        <v>0.57735026918962584</v>
      </c>
      <c r="K30" s="205" t="s">
        <v>150</v>
      </c>
      <c r="L30" s="208" t="s">
        <v>92</v>
      </c>
      <c r="M30" s="211" t="e">
        <f ca="1">-E29</f>
        <v>#N/A</v>
      </c>
      <c r="N30" s="173">
        <f>K3*1000</f>
        <v>0</v>
      </c>
      <c r="O30" s="207" t="e">
        <f ca="1">M30*N30</f>
        <v>#N/A</v>
      </c>
      <c r="P30" s="173" t="s">
        <v>183</v>
      </c>
      <c r="Q30" s="210" t="e">
        <f t="shared" ca="1" si="21"/>
        <v>#N/A</v>
      </c>
      <c r="R30" s="209" t="s">
        <v>136</v>
      </c>
      <c r="S30" s="173" t="s">
        <v>89</v>
      </c>
      <c r="T30" s="174">
        <f t="shared" si="18"/>
        <v>0</v>
      </c>
      <c r="U30" s="279" t="e">
        <f t="shared" ca="1" si="19"/>
        <v>#N/A</v>
      </c>
      <c r="V30" s="279" t="str">
        <f t="shared" si="20"/>
        <v/>
      </c>
    </row>
    <row r="31" spans="1:32" ht="15" customHeight="1">
      <c r="B31" s="164" t="s">
        <v>189</v>
      </c>
      <c r="C31" s="203" t="s">
        <v>75</v>
      </c>
      <c r="D31" s="204" t="s">
        <v>523</v>
      </c>
      <c r="E31" s="173">
        <v>0</v>
      </c>
      <c r="F31" s="205" t="s">
        <v>177</v>
      </c>
      <c r="G31" s="173">
        <f>N3*1000</f>
        <v>0</v>
      </c>
      <c r="H31" s="173">
        <v>2</v>
      </c>
      <c r="I31" s="206">
        <v>3</v>
      </c>
      <c r="J31" s="298">
        <f t="shared" ref="J31:J32" si="22">G31/(IF(H31="",1,H31)*SQRT(I31))</f>
        <v>0</v>
      </c>
      <c r="K31" s="209" t="s">
        <v>136</v>
      </c>
      <c r="L31" s="208" t="s">
        <v>92</v>
      </c>
      <c r="M31" s="173"/>
      <c r="N31" s="173"/>
      <c r="O31" s="191">
        <v>1</v>
      </c>
      <c r="P31" s="173"/>
      <c r="Q31" s="210">
        <f t="shared" si="21"/>
        <v>0</v>
      </c>
      <c r="R31" s="209" t="s">
        <v>136</v>
      </c>
      <c r="S31" s="173" t="s">
        <v>89</v>
      </c>
      <c r="T31" s="174">
        <f t="shared" ref="T31:T32" si="23">IF(S31="∞",0,Q31^4/S31)</f>
        <v>0</v>
      </c>
      <c r="U31" s="279">
        <f t="shared" si="19"/>
        <v>0</v>
      </c>
      <c r="V31" s="279" t="str">
        <f t="shared" si="20"/>
        <v/>
      </c>
    </row>
    <row r="32" spans="1:32" ht="15" customHeight="1">
      <c r="B32" s="164" t="s">
        <v>349</v>
      </c>
      <c r="C32" s="203" t="s">
        <v>187</v>
      </c>
      <c r="D32" s="204" t="s">
        <v>188</v>
      </c>
      <c r="E32" s="173">
        <v>0</v>
      </c>
      <c r="F32" s="205" t="s">
        <v>177</v>
      </c>
      <c r="G32" s="173">
        <v>1</v>
      </c>
      <c r="H32" s="173">
        <v>2</v>
      </c>
      <c r="I32" s="206">
        <v>3</v>
      </c>
      <c r="J32" s="298">
        <f t="shared" si="22"/>
        <v>0.28867513459481292</v>
      </c>
      <c r="K32" s="209" t="s">
        <v>136</v>
      </c>
      <c r="L32" s="208" t="s">
        <v>92</v>
      </c>
      <c r="M32" s="173"/>
      <c r="N32" s="173"/>
      <c r="O32" s="191">
        <v>1</v>
      </c>
      <c r="P32" s="173"/>
      <c r="Q32" s="210">
        <f t="shared" si="21"/>
        <v>0.28867513459481292</v>
      </c>
      <c r="R32" s="209" t="s">
        <v>136</v>
      </c>
      <c r="S32" s="173">
        <f>ROUNDDOWN(1/2*(100/20)^2,0)</f>
        <v>12</v>
      </c>
      <c r="T32" s="174">
        <f t="shared" si="23"/>
        <v>5.78703703703704E-4</v>
      </c>
      <c r="U32" s="279">
        <f t="shared" si="19"/>
        <v>0.28867513459481292</v>
      </c>
      <c r="V32" s="279" t="str">
        <f t="shared" si="20"/>
        <v/>
      </c>
    </row>
    <row r="33" spans="2:23" ht="15" customHeight="1">
      <c r="B33" s="164" t="s">
        <v>350</v>
      </c>
      <c r="C33" s="203" t="s">
        <v>190</v>
      </c>
      <c r="D33" s="204" t="s">
        <v>321</v>
      </c>
      <c r="E33" s="181" t="e">
        <f ca="1">E23-E26-(E27*E28+E29*E30)*K3</f>
        <v>#N/A</v>
      </c>
      <c r="F33" s="205" t="s">
        <v>177</v>
      </c>
      <c r="G33" s="578"/>
      <c r="H33" s="579"/>
      <c r="I33" s="579"/>
      <c r="J33" s="579"/>
      <c r="K33" s="579"/>
      <c r="L33" s="579"/>
      <c r="M33" s="579"/>
      <c r="N33" s="579"/>
      <c r="O33" s="579"/>
      <c r="P33" s="580"/>
      <c r="Q33" s="212" t="e">
        <f>SQRT(SUMSQ(Q23:Q32))</f>
        <v>#VALUE!</v>
      </c>
      <c r="R33" s="209" t="s">
        <v>136</v>
      </c>
      <c r="S33" s="176" t="e">
        <f>IF(T33=0,"∞",ROUNDDOWN(Q33^4/T33,0))</f>
        <v>#VALUE!</v>
      </c>
      <c r="T33" s="296" t="e">
        <f>SUM(T23:T32)</f>
        <v>#VALUE!</v>
      </c>
      <c r="U33" s="281" t="e">
        <f>SQRT(SUMSQ(U23:U32))</f>
        <v>#VALUE!</v>
      </c>
      <c r="V33" s="281">
        <f>SQRT(SUMSQ(V23:V32))</f>
        <v>0</v>
      </c>
    </row>
    <row r="34" spans="2:23" ht="15" customHeight="1"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9"/>
      <c r="U34" s="126"/>
    </row>
    <row r="35" spans="2:23" ht="15" customHeight="1">
      <c r="B35" s="559"/>
      <c r="C35" s="546" t="s">
        <v>193</v>
      </c>
      <c r="D35" s="548"/>
      <c r="E35" s="548"/>
      <c r="F35" s="548"/>
      <c r="G35" s="547"/>
      <c r="H35" s="164" t="s">
        <v>194</v>
      </c>
      <c r="I35" s="164" t="s">
        <v>75</v>
      </c>
      <c r="J35" s="546" t="s">
        <v>195</v>
      </c>
      <c r="K35" s="548"/>
      <c r="L35" s="548"/>
      <c r="M35" s="547"/>
      <c r="N35" s="294" t="s">
        <v>351</v>
      </c>
      <c r="O35" s="546" t="s">
        <v>514</v>
      </c>
      <c r="P35" s="548"/>
      <c r="Q35" s="547"/>
      <c r="R35" s="553" t="s">
        <v>515</v>
      </c>
      <c r="S35" s="546" t="s">
        <v>532</v>
      </c>
      <c r="T35" s="547"/>
      <c r="U35" s="126"/>
    </row>
    <row r="36" spans="2:23" ht="15" customHeight="1">
      <c r="B36" s="577"/>
      <c r="C36" s="185">
        <v>1</v>
      </c>
      <c r="D36" s="185">
        <v>2</v>
      </c>
      <c r="E36" s="185" t="s">
        <v>149</v>
      </c>
      <c r="F36" s="185" t="s">
        <v>60</v>
      </c>
      <c r="G36" s="185" t="s">
        <v>197</v>
      </c>
      <c r="H36" s="185" t="s">
        <v>177</v>
      </c>
      <c r="I36" s="185" t="s">
        <v>177</v>
      </c>
      <c r="J36" s="294" t="s">
        <v>516</v>
      </c>
      <c r="K36" s="294" t="s">
        <v>517</v>
      </c>
      <c r="L36" s="294" t="s">
        <v>518</v>
      </c>
      <c r="M36" s="294" t="s">
        <v>519</v>
      </c>
      <c r="N36" s="295"/>
      <c r="O36" s="294" t="s">
        <v>520</v>
      </c>
      <c r="P36" s="294" t="s">
        <v>517</v>
      </c>
      <c r="Q36" s="294" t="s">
        <v>198</v>
      </c>
      <c r="R36" s="575"/>
      <c r="S36" s="302" t="s">
        <v>533</v>
      </c>
      <c r="T36" s="302" t="s">
        <v>534</v>
      </c>
      <c r="U36" s="126"/>
    </row>
    <row r="37" spans="2:23" ht="15" customHeight="1">
      <c r="B37" s="185" t="s">
        <v>193</v>
      </c>
      <c r="C37" s="131" t="e">
        <f ca="1">E48*Q33</f>
        <v>#VALUE!</v>
      </c>
      <c r="D37" s="131"/>
      <c r="E37" s="131"/>
      <c r="F37" s="133" t="str">
        <f>R33</f>
        <v>μm</v>
      </c>
      <c r="G37" s="138" t="e">
        <f ca="1">C37/1000</f>
        <v>#VALUE!</v>
      </c>
      <c r="H37" s="138" t="e">
        <f ca="1">MAX(G37:G38)</f>
        <v>#VALUE!</v>
      </c>
      <c r="I37" s="175">
        <f>N3</f>
        <v>0</v>
      </c>
      <c r="J37" s="130" t="e">
        <f ca="1">IF(H37&lt;0.00001,6,IF(H37&lt;0.0001,5,IF(H37&lt;0.001,4,IF(H37&lt;0.01,3,IF(H37&lt;0.1,2,IF(H37&lt;1,1,IF(H37&lt;10,0,IF(H37&lt;100,-1,-2))))))))+K38</f>
        <v>#VALUE!</v>
      </c>
      <c r="K37" s="130" t="e">
        <f ca="1">J37+IF(AND(H36="μm",I36="mm"),3,0)</f>
        <v>#VALUE!</v>
      </c>
      <c r="L37" s="173">
        <f>IFERROR(LEN(I37)-FIND(".",I37),0)</f>
        <v>0</v>
      </c>
      <c r="M37" s="174" t="e">
        <f ca="1">IF(M38=TRUE,MIN(K37:L37),K37)</f>
        <v>#VALUE!</v>
      </c>
      <c r="N37" s="175" t="e">
        <f ca="1">ABS((H37-ROUND(H37,M37))/H37*100)</f>
        <v>#VALUE!</v>
      </c>
      <c r="O37" s="173" t="e">
        <f ca="1">OFFSET(P41,MATCH(J37,O42:O51,0),0)</f>
        <v>#VALUE!</v>
      </c>
      <c r="P37" s="173" t="e">
        <f ca="1">OFFSET(P41,MATCH(M37,O42:O51,0),0)</f>
        <v>#VALUE!</v>
      </c>
      <c r="Q37" s="173" t="str">
        <f ca="1">OFFSET(P41,MATCH(L37,O42:O51,0),0)</f>
        <v>0</v>
      </c>
      <c r="R37" s="134" t="e">
        <f ca="1">IF(H37=G37,0,1)</f>
        <v>#VALUE!</v>
      </c>
      <c r="S37" s="140" t="e">
        <f ca="1">TEXT(IF(N37&gt;5,ROUNDUP(H37,M37),ROUND(H37,M37)),P37)</f>
        <v>#VALUE!</v>
      </c>
      <c r="T37" s="140" t="e">
        <f ca="1">S37&amp;" "&amp;H36</f>
        <v>#VALUE!</v>
      </c>
      <c r="U37" s="126"/>
    </row>
    <row r="38" spans="2:23" ht="15" customHeight="1">
      <c r="B38" s="185" t="s">
        <v>63</v>
      </c>
      <c r="C38" s="132" t="e">
        <f ca="1">$O$3</f>
        <v>#N/A</v>
      </c>
      <c r="D38" s="133" t="e">
        <f ca="1">$P$3</f>
        <v>#N/A</v>
      </c>
      <c r="E38" s="133">
        <f>K3</f>
        <v>0</v>
      </c>
      <c r="F38" s="133" t="e">
        <f ca="1">$Q$3</f>
        <v>#N/A</v>
      </c>
      <c r="G38" s="139" t="e">
        <f ca="1">SQRT(SUMSQ(C38,D38*E38))/1000</f>
        <v>#N/A</v>
      </c>
      <c r="J38" s="292" t="s">
        <v>498</v>
      </c>
      <c r="K38" s="173">
        <f>IF(O38=TRUE,1,기본정보!$A$47)</f>
        <v>1</v>
      </c>
      <c r="L38" s="292" t="s">
        <v>499</v>
      </c>
      <c r="M38" s="173" t="b">
        <f>IF(O38=TRUE,FALSE,기본정보!$A$52)</f>
        <v>0</v>
      </c>
      <c r="N38" s="292" t="s">
        <v>500</v>
      </c>
      <c r="O38" s="173" t="b">
        <f>기본정보!$A$46=0</f>
        <v>1</v>
      </c>
      <c r="P38" s="126"/>
      <c r="Q38" s="126"/>
      <c r="R38" s="126"/>
      <c r="S38" s="126"/>
      <c r="T38" s="126"/>
      <c r="U38" s="126"/>
    </row>
    <row r="39" spans="2:23" ht="15" customHeight="1">
      <c r="B39" s="127"/>
      <c r="C39" s="127"/>
      <c r="D39" s="127"/>
      <c r="O39" s="129"/>
      <c r="P39" s="126"/>
      <c r="Q39" s="126"/>
      <c r="R39" s="126"/>
      <c r="S39" s="126"/>
      <c r="T39" s="126"/>
      <c r="U39" s="126"/>
    </row>
    <row r="40" spans="2:23" ht="15" customHeight="1">
      <c r="B40" s="135" t="s">
        <v>191</v>
      </c>
      <c r="C40" s="127"/>
      <c r="D40" s="127"/>
      <c r="I40" s="203" t="s">
        <v>53</v>
      </c>
      <c r="J40" s="203" t="s">
        <v>196</v>
      </c>
      <c r="O40" s="195" t="s">
        <v>200</v>
      </c>
      <c r="P40" s="195" t="s">
        <v>199</v>
      </c>
      <c r="Q40" s="126"/>
      <c r="R40" s="126"/>
      <c r="S40" s="126"/>
      <c r="T40" s="126"/>
      <c r="U40" s="126"/>
    </row>
    <row r="41" spans="2:23" ht="15" customHeight="1">
      <c r="B41" s="573" t="s">
        <v>504</v>
      </c>
      <c r="C41" s="574"/>
      <c r="D41" s="553" t="s">
        <v>505</v>
      </c>
      <c r="E41" s="294" t="s">
        <v>506</v>
      </c>
      <c r="F41" s="294" t="s">
        <v>507</v>
      </c>
      <c r="G41" s="294" t="s">
        <v>508</v>
      </c>
      <c r="I41" s="203"/>
      <c r="J41" s="203">
        <v>95.45</v>
      </c>
      <c r="O41" s="180" t="s">
        <v>202</v>
      </c>
      <c r="P41" s="180" t="s">
        <v>201</v>
      </c>
      <c r="Q41" s="126"/>
      <c r="R41" s="126"/>
      <c r="S41" s="126"/>
      <c r="T41" s="126"/>
      <c r="U41" s="126"/>
    </row>
    <row r="42" spans="2:23" ht="15" customHeight="1">
      <c r="B42" s="295" t="s">
        <v>509</v>
      </c>
      <c r="C42" s="297" t="s">
        <v>510</v>
      </c>
      <c r="D42" s="575"/>
      <c r="E42" s="293" t="e">
        <f>U33</f>
        <v>#VALUE!</v>
      </c>
      <c r="F42" s="293">
        <f>V33</f>
        <v>0</v>
      </c>
      <c r="G42" s="280" t="e">
        <f>F42/E42</f>
        <v>#VALUE!</v>
      </c>
      <c r="I42" s="173">
        <v>1</v>
      </c>
      <c r="J42" s="173">
        <v>13.97</v>
      </c>
      <c r="O42" s="213">
        <v>0</v>
      </c>
      <c r="P42" s="214" t="s">
        <v>203</v>
      </c>
      <c r="Q42" s="126"/>
      <c r="R42" s="126"/>
      <c r="S42" s="126"/>
      <c r="T42" s="126"/>
      <c r="U42" s="126"/>
    </row>
    <row r="43" spans="2:23" ht="15" customHeight="1">
      <c r="B43" s="173">
        <v>1</v>
      </c>
      <c r="C43" s="279">
        <f>IFERROR(LARGE(U23:U32,B43),0)</f>
        <v>0</v>
      </c>
      <c r="D43" s="277" t="s">
        <v>468</v>
      </c>
      <c r="E43" s="569">
        <f>SQRT(SUMSQ(C45:C50,V23:V32))</f>
        <v>0</v>
      </c>
      <c r="F43" s="569"/>
      <c r="G43" s="570" t="e">
        <f>E43/SQRT(SUMSQ(E44,F44))</f>
        <v>#DIV/0!</v>
      </c>
      <c r="I43" s="173">
        <v>2</v>
      </c>
      <c r="J43" s="173">
        <v>4.53</v>
      </c>
      <c r="K43" s="128"/>
      <c r="L43" s="128"/>
      <c r="O43" s="213">
        <v>1</v>
      </c>
      <c r="P43" s="214" t="s">
        <v>204</v>
      </c>
      <c r="Q43" s="129"/>
      <c r="R43" s="129"/>
      <c r="S43" s="129"/>
      <c r="T43" s="129"/>
      <c r="U43" s="129"/>
      <c r="V43" s="129"/>
      <c r="W43" s="129"/>
    </row>
    <row r="44" spans="2:23" ht="15" customHeight="1">
      <c r="B44" s="173">
        <v>2</v>
      </c>
      <c r="C44" s="279">
        <f>IFERROR(LARGE(U23:U32,B44),0)</f>
        <v>0</v>
      </c>
      <c r="D44" s="277" t="s">
        <v>469</v>
      </c>
      <c r="E44" s="293">
        <f>C43</f>
        <v>0</v>
      </c>
      <c r="F44" s="293">
        <f>C44</f>
        <v>0</v>
      </c>
      <c r="G44" s="570"/>
      <c r="I44" s="173">
        <v>3</v>
      </c>
      <c r="J44" s="173">
        <v>3.31</v>
      </c>
      <c r="K44" s="128"/>
      <c r="L44" s="128"/>
      <c r="O44" s="213">
        <v>2</v>
      </c>
      <c r="P44" s="214" t="s">
        <v>205</v>
      </c>
      <c r="Q44" s="126"/>
      <c r="R44" s="126"/>
      <c r="S44" s="126"/>
      <c r="T44" s="126"/>
      <c r="U44" s="129"/>
      <c r="V44" s="129"/>
      <c r="W44" s="129"/>
    </row>
    <row r="45" spans="2:23" ht="15" customHeight="1">
      <c r="B45" s="173">
        <v>3</v>
      </c>
      <c r="C45" s="279">
        <f>IFERROR(LARGE(U23:U32,B45),0)</f>
        <v>0</v>
      </c>
      <c r="D45" s="553" t="s">
        <v>192</v>
      </c>
      <c r="E45" s="255" t="s">
        <v>511</v>
      </c>
      <c r="F45" s="255" t="s">
        <v>512</v>
      </c>
      <c r="G45" s="255" t="s">
        <v>513</v>
      </c>
      <c r="I45" s="173">
        <v>4</v>
      </c>
      <c r="J45" s="173">
        <v>2.87</v>
      </c>
      <c r="K45" s="128"/>
      <c r="L45" s="128"/>
      <c r="O45" s="213">
        <v>3</v>
      </c>
      <c r="P45" s="214" t="s">
        <v>206</v>
      </c>
      <c r="Q45" s="126"/>
      <c r="R45" s="126"/>
      <c r="S45" s="126"/>
      <c r="T45" s="126"/>
      <c r="U45" s="126"/>
    </row>
    <row r="46" spans="2:23" ht="15" customHeight="1">
      <c r="B46" s="173">
        <v>4</v>
      </c>
      <c r="C46" s="279">
        <f>IFERROR(LARGE(U23:U32,B46),0)</f>
        <v>0</v>
      </c>
      <c r="D46" s="568"/>
      <c r="E46" s="173">
        <f ca="1">OFFSET(G22,MATCH(E44,U23:U32,0),0)/IF(OFFSET(H22,MATCH(E44,U23:U32,0),0)="",1,OFFSET(H22,MATCH(E44,U23:U32,0),0))</f>
        <v>0</v>
      </c>
      <c r="F46" s="173">
        <f ca="1">OFFSET(G22,MATCH(F44,U23:U32,0),0)/IF(OFFSET(H22,MATCH(F44,U23:U32,0),0)="",1,OFFSET(H22,MATCH(F44,U23:U32,0),0))</f>
        <v>0</v>
      </c>
      <c r="G46" s="293" t="e">
        <f ca="1">ABS(E46-F46)/(E46+F46)</f>
        <v>#DIV/0!</v>
      </c>
      <c r="I46" s="173">
        <v>5</v>
      </c>
      <c r="J46" s="173">
        <v>2.65</v>
      </c>
      <c r="O46" s="213">
        <v>4</v>
      </c>
      <c r="P46" s="214" t="s">
        <v>207</v>
      </c>
      <c r="Q46" s="126"/>
      <c r="R46" s="126"/>
      <c r="S46" s="126"/>
      <c r="T46" s="126"/>
      <c r="U46" s="126"/>
    </row>
    <row r="47" spans="2:23" ht="15" customHeight="1">
      <c r="B47" s="173">
        <v>5</v>
      </c>
      <c r="C47" s="279">
        <f>IFERROR(LARGE(U23:U32,B47),0)</f>
        <v>0</v>
      </c>
      <c r="D47" s="164" t="s">
        <v>170</v>
      </c>
      <c r="E47" s="203" t="e">
        <f>IF(AND(G42&lt;0.3,G43&lt;0.3),"사다리꼴","정규")</f>
        <v>#VALUE!</v>
      </c>
      <c r="I47" s="173">
        <v>6</v>
      </c>
      <c r="J47" s="173">
        <v>2.52</v>
      </c>
      <c r="O47" s="213">
        <v>5</v>
      </c>
      <c r="P47" s="214" t="s">
        <v>208</v>
      </c>
      <c r="Q47" s="126"/>
      <c r="R47" s="126"/>
      <c r="S47" s="126"/>
      <c r="T47" s="126"/>
      <c r="U47" s="126"/>
    </row>
    <row r="48" spans="2:23" ht="15" customHeight="1">
      <c r="B48" s="173">
        <v>6</v>
      </c>
      <c r="C48" s="279">
        <f>IFERROR(LARGE(U23:U32,B48),0)</f>
        <v>0</v>
      </c>
      <c r="D48" s="164" t="s">
        <v>86</v>
      </c>
      <c r="E48" s="173" t="e">
        <f ca="1">IF(E47="정규",IF(OR(S33="∞",S33&gt;=10),2,OFFSET(J41,MATCH(S33,I42:I51,0),0)),ROUND((1-SQRT((1-0.95)*(1-G46^2)))/SQRT((1+G46^2)/6),2))</f>
        <v>#VALUE!</v>
      </c>
      <c r="I48" s="173">
        <v>7</v>
      </c>
      <c r="J48" s="173">
        <v>2.4300000000000002</v>
      </c>
      <c r="O48" s="213">
        <v>6</v>
      </c>
      <c r="P48" s="214" t="s">
        <v>209</v>
      </c>
      <c r="Q48" s="126"/>
      <c r="R48" s="126"/>
      <c r="S48" s="126"/>
      <c r="T48" s="126"/>
      <c r="U48" s="126"/>
    </row>
    <row r="49" spans="2:29" ht="15" customHeight="1">
      <c r="B49" s="173">
        <v>7</v>
      </c>
      <c r="C49" s="279">
        <f>IFERROR(LARGE(U23:U32,B49),0)</f>
        <v>0</v>
      </c>
      <c r="E49" s="128"/>
      <c r="I49" s="173">
        <v>8</v>
      </c>
      <c r="J49" s="173">
        <v>2.37</v>
      </c>
      <c r="O49" s="213">
        <v>7</v>
      </c>
      <c r="P49" s="214" t="s">
        <v>210</v>
      </c>
      <c r="Q49" s="126"/>
      <c r="R49" s="126"/>
      <c r="S49" s="126"/>
      <c r="T49" s="126"/>
      <c r="U49" s="126"/>
    </row>
    <row r="50" spans="2:29" ht="15" customHeight="1">
      <c r="B50" s="173">
        <v>8</v>
      </c>
      <c r="C50" s="279">
        <f>IFERROR(LARGE(U23:U32,B50),0)</f>
        <v>0</v>
      </c>
      <c r="E50" s="128"/>
      <c r="I50" s="173">
        <v>9</v>
      </c>
      <c r="J50" s="173">
        <v>2.3199999999999998</v>
      </c>
      <c r="O50" s="213">
        <v>8</v>
      </c>
      <c r="P50" s="214" t="s">
        <v>211</v>
      </c>
      <c r="Q50" s="126"/>
      <c r="R50" s="126"/>
      <c r="S50" s="126"/>
      <c r="T50" s="126"/>
      <c r="V50" s="127"/>
      <c r="W50" s="127"/>
      <c r="X50" s="127"/>
    </row>
    <row r="51" spans="2:29" ht="18" customHeight="1">
      <c r="B51" s="127"/>
      <c r="C51" s="127"/>
      <c r="D51" s="127"/>
      <c r="I51" s="173" t="s">
        <v>54</v>
      </c>
      <c r="J51" s="173">
        <v>2</v>
      </c>
      <c r="O51" s="213">
        <v>9</v>
      </c>
      <c r="P51" s="214" t="s">
        <v>212</v>
      </c>
      <c r="Q51" s="126"/>
      <c r="R51" s="126"/>
      <c r="S51" s="126"/>
      <c r="T51" s="126"/>
      <c r="V51" s="127"/>
      <c r="W51" s="127"/>
      <c r="X51" s="127"/>
    </row>
    <row r="52" spans="2:29" ht="18" customHeight="1">
      <c r="B52" s="127"/>
      <c r="C52" s="126"/>
      <c r="E52" s="128"/>
      <c r="F52" s="128"/>
      <c r="Q52" s="126"/>
      <c r="R52" s="126"/>
      <c r="S52" s="126"/>
      <c r="T52" s="126"/>
      <c r="V52" s="127"/>
      <c r="W52" s="127"/>
      <c r="X52" s="127"/>
    </row>
    <row r="53" spans="2:29" ht="18" customHeight="1">
      <c r="B53" s="165" t="s">
        <v>304</v>
      </c>
      <c r="C53" s="166"/>
      <c r="D53" s="166"/>
      <c r="E53" s="166"/>
      <c r="F53" s="166"/>
      <c r="G53" s="166"/>
      <c r="H53" s="166"/>
      <c r="I53" s="166"/>
      <c r="J53" s="166"/>
      <c r="K53" s="166"/>
      <c r="L53" s="166"/>
      <c r="M53" s="166"/>
      <c r="N53" s="166"/>
      <c r="O53" s="166"/>
      <c r="P53" s="166"/>
      <c r="Q53" s="166"/>
      <c r="R53" s="166"/>
      <c r="Z53" s="127"/>
      <c r="AA53" s="127"/>
      <c r="AB53" s="127"/>
      <c r="AC53" s="127"/>
    </row>
    <row r="54" spans="2:29" ht="18" customHeight="1">
      <c r="B54" s="166"/>
      <c r="C54" s="571" t="s">
        <v>305</v>
      </c>
      <c r="D54" s="572"/>
      <c r="E54" s="215" t="s">
        <v>306</v>
      </c>
      <c r="F54" s="215" t="s">
        <v>307</v>
      </c>
      <c r="G54" s="215" t="s">
        <v>308</v>
      </c>
      <c r="H54" s="166"/>
      <c r="I54" s="215"/>
      <c r="J54" s="215"/>
      <c r="K54" s="215"/>
      <c r="L54" s="215"/>
      <c r="M54" s="216" t="s">
        <v>309</v>
      </c>
      <c r="N54" s="215" t="s">
        <v>307</v>
      </c>
      <c r="O54" s="216" t="s">
        <v>308</v>
      </c>
      <c r="P54" s="215" t="s">
        <v>310</v>
      </c>
      <c r="Q54" s="215" t="s">
        <v>311</v>
      </c>
      <c r="R54" s="215" t="s">
        <v>312</v>
      </c>
      <c r="Z54" s="127"/>
      <c r="AA54" s="127"/>
      <c r="AB54" s="127"/>
      <c r="AC54" s="127"/>
    </row>
    <row r="55" spans="2:29" ht="18" customHeight="1">
      <c r="B55" s="166"/>
      <c r="C55" s="167"/>
      <c r="D55" s="168"/>
      <c r="E55" s="216"/>
      <c r="F55" s="217">
        <v>35500</v>
      </c>
      <c r="G55" s="562"/>
      <c r="H55" s="166"/>
      <c r="I55" s="215"/>
      <c r="J55" s="218"/>
      <c r="K55" s="215"/>
      <c r="L55" s="215"/>
      <c r="M55" s="215" t="b">
        <f>H3="inch"</f>
        <v>0</v>
      </c>
      <c r="N55" s="217">
        <f>F55*IF(M55=TRUE,1.8,1)</f>
        <v>35500</v>
      </c>
      <c r="O55" s="219">
        <f>ROUNDDOWN(J55/100,0)*(N55*20%)</f>
        <v>0</v>
      </c>
      <c r="P55" s="220">
        <f>N55*IF(I55&lt;=100,25%,IF(I55&lt;200,20%,17%))*L55</f>
        <v>0</v>
      </c>
      <c r="Q55" s="220">
        <f>SUM(N55:P55)</f>
        <v>35500</v>
      </c>
      <c r="R55" s="565">
        <f>SUM(Q55:Q57)</f>
        <v>35500</v>
      </c>
      <c r="Z55" s="127"/>
      <c r="AA55" s="127"/>
      <c r="AB55" s="127"/>
      <c r="AC55" s="127"/>
    </row>
    <row r="56" spans="2:29" ht="18" customHeight="1">
      <c r="B56" s="166"/>
      <c r="C56" s="167"/>
      <c r="D56" s="168"/>
      <c r="E56" s="216"/>
      <c r="F56" s="217"/>
      <c r="G56" s="563"/>
      <c r="H56" s="166"/>
      <c r="I56" s="215"/>
      <c r="J56" s="218"/>
      <c r="K56" s="215"/>
      <c r="L56" s="215"/>
      <c r="M56" s="215"/>
      <c r="N56" s="217"/>
      <c r="O56" s="219"/>
      <c r="P56" s="220"/>
      <c r="Q56" s="220"/>
      <c r="R56" s="566"/>
      <c r="Z56" s="127"/>
      <c r="AA56" s="127"/>
      <c r="AB56" s="127"/>
      <c r="AC56" s="127"/>
    </row>
    <row r="57" spans="2:29" ht="18" customHeight="1">
      <c r="B57" s="166"/>
      <c r="C57" s="167"/>
      <c r="D57" s="168"/>
      <c r="E57" s="216"/>
      <c r="F57" s="217"/>
      <c r="G57" s="563"/>
      <c r="H57" s="166"/>
      <c r="I57" s="215"/>
      <c r="J57" s="215"/>
      <c r="K57" s="215"/>
      <c r="L57" s="215"/>
      <c r="M57" s="215"/>
      <c r="N57" s="217"/>
      <c r="O57" s="221"/>
      <c r="P57" s="220"/>
      <c r="Q57" s="220"/>
      <c r="R57" s="567"/>
      <c r="Z57" s="127"/>
      <c r="AA57" s="127"/>
      <c r="AB57" s="127"/>
      <c r="AC57" s="127"/>
    </row>
    <row r="58" spans="2:29" ht="18" customHeight="1">
      <c r="B58" s="166"/>
      <c r="C58" s="167"/>
      <c r="D58" s="168"/>
      <c r="E58" s="216"/>
      <c r="F58" s="217"/>
      <c r="G58" s="563"/>
      <c r="H58" s="166"/>
      <c r="I58" s="166"/>
      <c r="J58" s="166"/>
      <c r="K58" s="166"/>
      <c r="L58" s="166"/>
      <c r="M58" s="166"/>
      <c r="N58" s="166"/>
      <c r="O58" s="169"/>
      <c r="P58" s="166"/>
      <c r="Q58" s="166"/>
      <c r="R58" s="166"/>
      <c r="U58" s="126"/>
      <c r="Y58" s="127"/>
      <c r="Z58" s="127"/>
      <c r="AA58" s="127"/>
      <c r="AB58" s="127"/>
    </row>
    <row r="59" spans="2:29" ht="18" customHeight="1">
      <c r="B59" s="166"/>
      <c r="C59" s="167"/>
      <c r="D59" s="168"/>
      <c r="E59" s="216"/>
      <c r="F59" s="217"/>
      <c r="G59" s="563"/>
      <c r="H59" s="166"/>
      <c r="I59" s="170" t="s">
        <v>340</v>
      </c>
      <c r="J59" s="166"/>
      <c r="K59" s="166"/>
      <c r="L59" s="166"/>
      <c r="M59" s="166"/>
      <c r="N59" s="166"/>
      <c r="O59" s="166"/>
      <c r="P59" s="166"/>
      <c r="Q59" s="166"/>
      <c r="R59" s="166"/>
      <c r="U59" s="126"/>
      <c r="Y59" s="127"/>
      <c r="Z59" s="127"/>
      <c r="AA59" s="127"/>
      <c r="AB59" s="127"/>
    </row>
    <row r="60" spans="2:29" ht="18" customHeight="1">
      <c r="B60" s="166"/>
      <c r="C60" s="167"/>
      <c r="D60" s="168"/>
      <c r="E60" s="216"/>
      <c r="F60" s="217"/>
      <c r="G60" s="563"/>
      <c r="H60" s="166"/>
      <c r="L60" s="166"/>
      <c r="M60" s="166"/>
      <c r="N60" s="166"/>
      <c r="O60" s="166"/>
      <c r="P60" s="166"/>
      <c r="Q60" s="166"/>
      <c r="U60" s="126"/>
      <c r="Y60" s="127"/>
      <c r="Z60" s="127"/>
      <c r="AA60" s="127"/>
      <c r="AB60" s="127"/>
    </row>
    <row r="61" spans="2:29" ht="18" customHeight="1">
      <c r="B61" s="166"/>
      <c r="C61" s="167"/>
      <c r="D61" s="171"/>
      <c r="E61" s="215"/>
      <c r="F61" s="215"/>
      <c r="G61" s="564"/>
      <c r="H61" s="166"/>
      <c r="L61" s="166"/>
      <c r="M61" s="166"/>
      <c r="N61" s="166"/>
      <c r="O61" s="166"/>
      <c r="P61" s="166"/>
      <c r="Q61" s="166"/>
      <c r="U61" s="126"/>
      <c r="Y61" s="127"/>
      <c r="Z61" s="127"/>
      <c r="AA61" s="127"/>
      <c r="AB61" s="127"/>
    </row>
    <row r="62" spans="2:29" ht="18" customHeight="1">
      <c r="B62" s="73"/>
      <c r="C62" s="73"/>
      <c r="D62" s="73"/>
      <c r="E62" s="73"/>
      <c r="F62" s="73"/>
      <c r="G62" s="73"/>
      <c r="H62" s="73"/>
      <c r="L62" s="73"/>
      <c r="M62" s="73"/>
      <c r="N62" s="73"/>
      <c r="O62" s="166"/>
      <c r="P62" s="166"/>
      <c r="Q62" s="166"/>
      <c r="U62" s="126"/>
      <c r="Y62" s="127"/>
      <c r="Z62" s="127"/>
      <c r="AA62" s="127"/>
      <c r="AB62" s="127"/>
    </row>
    <row r="63" spans="2:29" ht="18" customHeight="1">
      <c r="B63" s="127"/>
      <c r="C63" s="127"/>
      <c r="D63" s="127"/>
      <c r="I63" s="166"/>
      <c r="J63" s="166"/>
      <c r="K63" s="166"/>
      <c r="O63" s="126"/>
      <c r="P63" s="126"/>
      <c r="Q63" s="126"/>
      <c r="U63" s="126"/>
      <c r="Y63" s="127"/>
      <c r="Z63" s="127"/>
      <c r="AA63" s="127"/>
      <c r="AB63" s="127"/>
    </row>
    <row r="64" spans="2:29" ht="18" customHeight="1">
      <c r="B64" s="127"/>
      <c r="C64" s="127"/>
      <c r="D64" s="127"/>
      <c r="I64" s="166"/>
      <c r="J64" s="166"/>
      <c r="K64" s="166"/>
      <c r="O64" s="126"/>
      <c r="P64" s="126"/>
      <c r="Q64" s="126"/>
      <c r="U64" s="126"/>
      <c r="Y64" s="127"/>
      <c r="Z64" s="127"/>
      <c r="AA64" s="127"/>
      <c r="AB64" s="127"/>
    </row>
    <row r="65" spans="2:28" ht="18" customHeight="1">
      <c r="B65" s="127"/>
      <c r="C65" s="127"/>
      <c r="D65" s="127"/>
      <c r="I65" s="73"/>
      <c r="J65" s="73"/>
      <c r="K65" s="73"/>
      <c r="O65" s="126"/>
      <c r="P65" s="126"/>
      <c r="Q65" s="126"/>
      <c r="U65" s="126"/>
      <c r="Y65" s="127"/>
      <c r="Z65" s="127"/>
      <c r="AA65" s="127"/>
      <c r="AB65" s="127"/>
    </row>
    <row r="66" spans="2:28" ht="18" customHeight="1">
      <c r="B66" s="127"/>
      <c r="C66" s="127"/>
      <c r="D66" s="127"/>
      <c r="I66" s="129"/>
      <c r="J66" s="129"/>
      <c r="O66" s="126"/>
      <c r="P66" s="126"/>
      <c r="Q66" s="126"/>
      <c r="V66" s="127"/>
      <c r="W66" s="127"/>
      <c r="X66" s="127"/>
      <c r="Y66" s="127"/>
      <c r="Z66" s="127"/>
      <c r="AA66" s="127"/>
      <c r="AB66" s="127"/>
    </row>
    <row r="67" spans="2:28" ht="18" customHeight="1">
      <c r="B67" s="127"/>
      <c r="C67" s="127"/>
      <c r="D67" s="127"/>
      <c r="I67" s="129"/>
      <c r="J67" s="129"/>
      <c r="O67" s="126"/>
      <c r="P67" s="126"/>
      <c r="Q67" s="126"/>
      <c r="V67" s="127"/>
      <c r="W67" s="127"/>
      <c r="X67" s="127"/>
      <c r="Y67" s="127"/>
      <c r="Z67" s="127"/>
      <c r="AA67" s="127"/>
      <c r="AB67" s="127"/>
    </row>
    <row r="68" spans="2:28" ht="18" customHeight="1">
      <c r="B68" s="127"/>
      <c r="C68" s="127"/>
      <c r="D68" s="127"/>
      <c r="I68" s="129"/>
      <c r="J68" s="129"/>
      <c r="O68" s="126"/>
      <c r="P68" s="126"/>
      <c r="Q68" s="126"/>
    </row>
    <row r="69" spans="2:28" ht="18" customHeight="1">
      <c r="B69" s="127"/>
      <c r="C69" s="127"/>
      <c r="D69" s="127"/>
      <c r="O69" s="126"/>
      <c r="P69" s="126"/>
      <c r="Q69" s="126"/>
    </row>
  </sheetData>
  <mergeCells count="38">
    <mergeCell ref="C35:G35"/>
    <mergeCell ref="U21:V21"/>
    <mergeCell ref="B41:C41"/>
    <mergeCell ref="D41:D42"/>
    <mergeCell ref="J35:M35"/>
    <mergeCell ref="O35:Q35"/>
    <mergeCell ref="R35:R36"/>
    <mergeCell ref="T21:T22"/>
    <mergeCell ref="B35:B36"/>
    <mergeCell ref="G33:P33"/>
    <mergeCell ref="G21:K21"/>
    <mergeCell ref="M21:P21"/>
    <mergeCell ref="Q21:R21"/>
    <mergeCell ref="J22:K22"/>
    <mergeCell ref="M22:N22"/>
    <mergeCell ref="E21:E22"/>
    <mergeCell ref="G55:G61"/>
    <mergeCell ref="R55:R57"/>
    <mergeCell ref="D45:D46"/>
    <mergeCell ref="E43:F43"/>
    <mergeCell ref="G43:G44"/>
    <mergeCell ref="C54:D54"/>
    <mergeCell ref="F21:F22"/>
    <mergeCell ref="K6:K7"/>
    <mergeCell ref="E6:J6"/>
    <mergeCell ref="N6:P6"/>
    <mergeCell ref="B6:B8"/>
    <mergeCell ref="C6:C8"/>
    <mergeCell ref="D6:D8"/>
    <mergeCell ref="B21:B22"/>
    <mergeCell ref="C21:C22"/>
    <mergeCell ref="D21:D22"/>
    <mergeCell ref="S35:T35"/>
    <mergeCell ref="AA6:AF6"/>
    <mergeCell ref="Y6:Z6"/>
    <mergeCell ref="O22:P22"/>
    <mergeCell ref="Q22:R22"/>
    <mergeCell ref="V6:W6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18</vt:i4>
      </vt:variant>
    </vt:vector>
  </HeadingPairs>
  <TitlesOfParts>
    <vt:vector size="29" baseType="lpstr">
      <vt:lpstr>기본정보</vt:lpstr>
      <vt:lpstr>교정결과</vt:lpstr>
      <vt:lpstr>교정결과-E</vt:lpstr>
      <vt:lpstr>교정결과-HY</vt:lpstr>
      <vt:lpstr>판정결과</vt:lpstr>
      <vt:lpstr>부록</vt:lpstr>
      <vt:lpstr>RAWDATA</vt:lpstr>
      <vt:lpstr>측정불확도추정보고서</vt:lpstr>
      <vt:lpstr>Calcu</vt:lpstr>
      <vt:lpstr>STD_Data</vt:lpstr>
      <vt:lpstr>Length_5</vt:lpstr>
      <vt:lpstr>'교정결과-E'!B_Tag</vt:lpstr>
      <vt:lpstr>'교정결과-HY'!B_Tag</vt:lpstr>
      <vt:lpstr>B_Tag</vt:lpstr>
      <vt:lpstr>판정결과!B_Tag_2</vt:lpstr>
      <vt:lpstr>부록!B_Tag_3</vt:lpstr>
      <vt:lpstr>Length_5_CMC</vt:lpstr>
      <vt:lpstr>Length_5_Condition</vt:lpstr>
      <vt:lpstr>Length_5_Resolution</vt:lpstr>
      <vt:lpstr>Length_5_Result</vt:lpstr>
      <vt:lpstr>Length_5_Result2</vt:lpstr>
      <vt:lpstr>Length_5_Spec</vt:lpstr>
      <vt:lpstr>Length_5_STD1</vt:lpstr>
      <vt:lpstr>기본정보!Print_Area</vt:lpstr>
      <vt:lpstr>교정결과!Print_Titles</vt:lpstr>
      <vt:lpstr>'교정결과-E'!Print_Titles</vt:lpstr>
      <vt:lpstr>'교정결과-HY'!Print_Titles</vt:lpstr>
      <vt:lpstr>부록!Print_Titles</vt:lpstr>
      <vt:lpstr>판정결과!Print_Titles</vt:lpstr>
    </vt:vector>
  </TitlesOfParts>
  <Company>HCT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노트북-5</dc:creator>
  <cp:lastModifiedBy>Jey Jey</cp:lastModifiedBy>
  <cp:lastPrinted>2020-11-02T06:57:23Z</cp:lastPrinted>
  <dcterms:created xsi:type="dcterms:W3CDTF">2004-11-10T00:11:43Z</dcterms:created>
  <dcterms:modified xsi:type="dcterms:W3CDTF">2021-07-23T06:39:43Z</dcterms:modified>
</cp:coreProperties>
</file>