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Jey\OneDrive\문서\업무_개발\Calibration Tool Project\MCT V2\Templates\"/>
    </mc:Choice>
  </mc:AlternateContent>
  <bookViews>
    <workbookView xWindow="0" yWindow="90" windowWidth="15225" windowHeight="8550" tabRatio="757"/>
  </bookViews>
  <sheets>
    <sheet name="기본정보" sheetId="13" r:id="rId1"/>
    <sheet name="교정결과" sheetId="11" r:id="rId2"/>
    <sheet name="교정결과-E" sheetId="24" r:id="rId3"/>
    <sheet name="교정결과-HY" sheetId="31" r:id="rId4"/>
    <sheet name="판정결과" sheetId="30" r:id="rId5"/>
    <sheet name="부록" sheetId="25" r:id="rId6"/>
    <sheet name="RAWDATA" sheetId="3" r:id="rId7"/>
    <sheet name="측정불확도추정보고서" sheetId="23" r:id="rId8"/>
    <sheet name="Calcu" sheetId="21" r:id="rId9"/>
    <sheet name="STD_Data" sheetId="29" r:id="rId10"/>
    <sheet name="Length_2" sheetId="14" r:id="rId11"/>
  </sheets>
  <definedNames>
    <definedName name="_xlnm._FilterDatabase" localSheetId="0" hidden="1">기본정보!#REF!</definedName>
    <definedName name="B_Tag" localSheetId="2">'교정결과-E'!$F$49:$I$49</definedName>
    <definedName name="B_Tag" localSheetId="3">'교정결과-HY'!$B$40:$Q$40</definedName>
    <definedName name="B_Tag">교정결과!$F$48:$H$48</definedName>
    <definedName name="B_Tag_2" localSheetId="4">판정결과!$D$30:$I$30</definedName>
    <definedName name="B_Tag_3" localSheetId="5">부록!$B$11:$K$11</definedName>
    <definedName name="Length_2_CMC">Length_2!$C$4:$E$24</definedName>
    <definedName name="Length_2_Condition">Length_2!$A$4:$B$24</definedName>
    <definedName name="Length_2_Resolution">Length_2!$F$4:$I$24</definedName>
    <definedName name="Length_2_Result">Length_2!$Q$4:$U$24</definedName>
    <definedName name="Length_2_Result_Temp">Length_2!$J$10:$K$10</definedName>
    <definedName name="Length_2_Result2">Length_2!$J$4:$K$5</definedName>
    <definedName name="Length_2_Result3">Length_2!$J$7:$M$8</definedName>
    <definedName name="Length_2_Spec">Length_2!$N$4:$P$24</definedName>
    <definedName name="Length_2_STD1">Length_2!$A$28</definedName>
    <definedName name="_xlnm.Print_Area" localSheetId="0">기본정보!$A$1:$J$38</definedName>
    <definedName name="_xlnm.Print_Titles" localSheetId="1">교정결과!$1:$5</definedName>
    <definedName name="_xlnm.Print_Titles" localSheetId="2">'교정결과-E'!$1:$5</definedName>
    <definedName name="_xlnm.Print_Titles" localSheetId="3">'교정결과-HY'!$1:$5</definedName>
    <definedName name="_xlnm.Print_Titles" localSheetId="5">부록!$1:$5</definedName>
    <definedName name="_xlnm.Print_Titles" localSheetId="4">판정결과!$1:$5</definedName>
  </definedNames>
  <calcPr calcId="162913"/>
</workbook>
</file>

<file path=xl/calcChain.xml><?xml version="1.0" encoding="utf-8"?>
<calcChain xmlns="http://schemas.openxmlformats.org/spreadsheetml/2006/main">
  <c r="V55" i="21" l="1"/>
  <c r="V54" i="21"/>
  <c r="V52" i="21"/>
  <c r="V50" i="21"/>
  <c r="V49" i="21"/>
  <c r="V48" i="21"/>
  <c r="S56" i="21"/>
  <c r="S55" i="21"/>
  <c r="R55" i="21"/>
  <c r="S54" i="21"/>
  <c r="R54" i="21"/>
  <c r="S52" i="21"/>
  <c r="R52" i="21"/>
  <c r="S50" i="21"/>
  <c r="R50" i="21"/>
  <c r="S49" i="21"/>
  <c r="R49" i="21"/>
  <c r="J264" i="23" l="1"/>
  <c r="AT73" i="23"/>
  <c r="AP73" i="23"/>
  <c r="S73" i="23"/>
  <c r="O73" i="23"/>
  <c r="S47" i="21"/>
  <c r="R47" i="21"/>
  <c r="S46" i="21"/>
  <c r="R46" i="21"/>
  <c r="M3" i="21" l="1"/>
  <c r="N3" i="21"/>
  <c r="F20" i="11" s="1"/>
  <c r="F13" i="31" l="1"/>
  <c r="F20" i="24"/>
  <c r="O62" i="21"/>
  <c r="M62" i="21" s="1"/>
  <c r="K62" i="21" l="1"/>
  <c r="F9" i="31" l="1"/>
  <c r="F8" i="31"/>
  <c r="F7" i="31"/>
  <c r="F6" i="31"/>
  <c r="A4" i="31"/>
  <c r="Y50" i="21" l="1"/>
  <c r="Y51" i="21"/>
  <c r="Y52" i="21"/>
  <c r="Y53" i="21"/>
  <c r="Y54" i="21"/>
  <c r="Y55" i="21"/>
  <c r="X48" i="21" l="1"/>
  <c r="X56" i="21"/>
  <c r="U233" i="23" l="1"/>
  <c r="AA233" i="23" s="1"/>
  <c r="U230" i="23"/>
  <c r="AA230" i="23" s="1"/>
  <c r="R238" i="23" s="1"/>
  <c r="Y238" i="23" s="1"/>
  <c r="AB216" i="23"/>
  <c r="R221" i="23" s="1"/>
  <c r="Y221" i="23" s="1"/>
  <c r="U203" i="23"/>
  <c r="V170" i="23"/>
  <c r="G53" i="21" l="1"/>
  <c r="K53" i="21" s="1"/>
  <c r="G51" i="21"/>
  <c r="K51" i="21" s="1"/>
  <c r="Q189" i="23" l="1"/>
  <c r="A15" i="24" l="1"/>
  <c r="A16" i="24" s="1"/>
  <c r="A17" i="24" s="1"/>
  <c r="A11" i="24"/>
  <c r="A12" i="24" s="1"/>
  <c r="A13" i="24" s="1"/>
  <c r="A14" i="24" s="1"/>
  <c r="A15" i="11"/>
  <c r="A16" i="11" s="1"/>
  <c r="A17" i="11" s="1"/>
  <c r="A11" i="11"/>
  <c r="A12" i="11" s="1"/>
  <c r="A13" i="11" s="1"/>
  <c r="A14" i="11" s="1"/>
  <c r="G102" i="21" l="1"/>
  <c r="F102" i="21"/>
  <c r="E102" i="21"/>
  <c r="D102" i="21"/>
  <c r="C102" i="21"/>
  <c r="G101" i="21"/>
  <c r="F101" i="21"/>
  <c r="E101" i="21"/>
  <c r="D101" i="21"/>
  <c r="C101" i="21"/>
  <c r="G100" i="21"/>
  <c r="F100" i="21"/>
  <c r="E100" i="21"/>
  <c r="D100" i="21"/>
  <c r="C100" i="21"/>
  <c r="G99" i="21"/>
  <c r="F99" i="21"/>
  <c r="E99" i="21"/>
  <c r="D99" i="21"/>
  <c r="C99" i="21"/>
  <c r="G98" i="21"/>
  <c r="F98" i="21"/>
  <c r="E98" i="21"/>
  <c r="D98" i="21"/>
  <c r="C98" i="21"/>
  <c r="G97" i="21"/>
  <c r="F97" i="21"/>
  <c r="E97" i="21"/>
  <c r="D97" i="21"/>
  <c r="C97" i="21"/>
  <c r="G96" i="21"/>
  <c r="F96" i="21"/>
  <c r="E96" i="21"/>
  <c r="D96" i="21"/>
  <c r="C96" i="21"/>
  <c r="G95" i="21"/>
  <c r="F95" i="21"/>
  <c r="E95" i="21"/>
  <c r="D95" i="21"/>
  <c r="C95" i="21"/>
  <c r="G94" i="21"/>
  <c r="F94" i="21"/>
  <c r="E94" i="21"/>
  <c r="D94" i="21"/>
  <c r="C94" i="21"/>
  <c r="G93" i="21"/>
  <c r="F93" i="21"/>
  <c r="E93" i="21"/>
  <c r="D93" i="21"/>
  <c r="C93" i="21"/>
  <c r="G92" i="21"/>
  <c r="F92" i="21"/>
  <c r="E92" i="21"/>
  <c r="D92" i="21"/>
  <c r="C92" i="21"/>
  <c r="G91" i="21"/>
  <c r="F91" i="21"/>
  <c r="E91" i="21"/>
  <c r="D91" i="21"/>
  <c r="C91" i="21"/>
  <c r="G90" i="21"/>
  <c r="F90" i="21"/>
  <c r="E90" i="21"/>
  <c r="D90" i="21"/>
  <c r="C90" i="21"/>
  <c r="G89" i="21"/>
  <c r="F89" i="21"/>
  <c r="E89" i="21"/>
  <c r="D89" i="21"/>
  <c r="C89" i="21"/>
  <c r="G88" i="21"/>
  <c r="F88" i="21"/>
  <c r="E88" i="21"/>
  <c r="D88" i="21"/>
  <c r="C88" i="21"/>
  <c r="G87" i="21"/>
  <c r="F87" i="21"/>
  <c r="E87" i="21"/>
  <c r="D87" i="21"/>
  <c r="C87" i="21"/>
  <c r="G86" i="21"/>
  <c r="F86" i="21"/>
  <c r="E86" i="21"/>
  <c r="D86" i="21"/>
  <c r="C86" i="21"/>
  <c r="G85" i="21"/>
  <c r="F85" i="21"/>
  <c r="E85" i="21"/>
  <c r="D85" i="21"/>
  <c r="C85" i="21"/>
  <c r="G84" i="21"/>
  <c r="F84" i="21"/>
  <c r="E84" i="21"/>
  <c r="D84" i="21"/>
  <c r="C84" i="21"/>
  <c r="G83" i="21"/>
  <c r="F83" i="21"/>
  <c r="E83" i="21"/>
  <c r="D83" i="21"/>
  <c r="C83" i="21"/>
  <c r="G82" i="21"/>
  <c r="F82" i="21"/>
  <c r="E82" i="21"/>
  <c r="D82" i="21"/>
  <c r="C82" i="21"/>
  <c r="N83" i="21" l="1"/>
  <c r="N87" i="21"/>
  <c r="N91" i="21"/>
  <c r="N95" i="21"/>
  <c r="N99" i="21"/>
  <c r="N84" i="21"/>
  <c r="N88" i="21"/>
  <c r="N92" i="21"/>
  <c r="N96" i="21"/>
  <c r="N100" i="21"/>
  <c r="N85" i="21"/>
  <c r="N89" i="21"/>
  <c r="N93" i="21"/>
  <c r="N97" i="21"/>
  <c r="N101" i="21"/>
  <c r="N82" i="21"/>
  <c r="N86" i="21"/>
  <c r="N90" i="21"/>
  <c r="N94" i="21"/>
  <c r="N98" i="21"/>
  <c r="N102" i="21"/>
  <c r="W56" i="21"/>
  <c r="W54" i="21"/>
  <c r="W53" i="21"/>
  <c r="W51" i="21"/>
  <c r="W48" i="21"/>
  <c r="AX265" i="23" l="1"/>
  <c r="AN265" i="23"/>
  <c r="AI265" i="23"/>
  <c r="Y265" i="23"/>
  <c r="J265" i="23"/>
  <c r="BA84" i="23"/>
  <c r="M84" i="23"/>
  <c r="BC83" i="23"/>
  <c r="AB83" i="23"/>
  <c r="I246" i="23" s="1"/>
  <c r="AW82" i="23"/>
  <c r="AG82" i="23"/>
  <c r="AB82" i="23"/>
  <c r="I235" i="23" s="1"/>
  <c r="V82" i="23"/>
  <c r="M82" i="23"/>
  <c r="H82" i="23"/>
  <c r="BC81" i="23"/>
  <c r="AW81" i="23"/>
  <c r="AG81" i="23"/>
  <c r="AB81" i="23"/>
  <c r="I218" i="23" s="1"/>
  <c r="V81" i="23"/>
  <c r="M81" i="23"/>
  <c r="H81" i="23"/>
  <c r="H214" i="23" s="1"/>
  <c r="BC80" i="23"/>
  <c r="AB80" i="23"/>
  <c r="I205" i="23" s="1"/>
  <c r="V80" i="23"/>
  <c r="M80" i="23"/>
  <c r="AB79" i="23"/>
  <c r="I186" i="23" s="1"/>
  <c r="V79" i="23"/>
  <c r="M79" i="23"/>
  <c r="BC78" i="23"/>
  <c r="AB78" i="23"/>
  <c r="I172" i="23" s="1"/>
  <c r="V78" i="23"/>
  <c r="M78" i="23"/>
  <c r="AB77" i="23"/>
  <c r="I154" i="23" s="1"/>
  <c r="V77" i="23"/>
  <c r="M77" i="23"/>
  <c r="AW76" i="23"/>
  <c r="AG76" i="23"/>
  <c r="M139" i="23" s="1"/>
  <c r="L141" i="23" s="1"/>
  <c r="V76" i="23"/>
  <c r="M76" i="23"/>
  <c r="N129" i="23" s="1"/>
  <c r="BC75" i="23"/>
  <c r="AW75" i="23"/>
  <c r="AG75" i="23"/>
  <c r="AB75" i="23"/>
  <c r="I123" i="23" s="1"/>
  <c r="V75" i="23"/>
  <c r="BC74" i="23"/>
  <c r="BA74" i="23"/>
  <c r="AG74" i="23"/>
  <c r="AB74" i="23"/>
  <c r="I111" i="23" s="1"/>
  <c r="Z74" i="23"/>
  <c r="BC73" i="23"/>
  <c r="BA73" i="23"/>
  <c r="AG73" i="23"/>
  <c r="AB73" i="23"/>
  <c r="I90" i="23" s="1"/>
  <c r="Z73" i="23"/>
  <c r="M73" i="23"/>
  <c r="L250" i="23"/>
  <c r="H243" i="23"/>
  <c r="AA136" i="23"/>
  <c r="U136" i="23"/>
  <c r="AA133" i="23"/>
  <c r="R141" i="23" s="1"/>
  <c r="Y141" i="23" s="1"/>
  <c r="U133" i="23"/>
  <c r="H118" i="23"/>
  <c r="H97" i="23"/>
  <c r="G24" i="23"/>
  <c r="L24" i="23" s="1"/>
  <c r="Q24" i="23" s="1"/>
  <c r="V24" i="23" s="1"/>
  <c r="AA24" i="23" s="1"/>
  <c r="P56" i="21" l="1"/>
  <c r="AG83" i="23" s="1"/>
  <c r="U55" i="21"/>
  <c r="G52" i="21"/>
  <c r="G50" i="21"/>
  <c r="K50" i="21" s="1"/>
  <c r="K52" i="21" l="1"/>
  <c r="O79" i="23" s="1"/>
  <c r="BC82" i="23"/>
  <c r="AS265" i="23"/>
  <c r="O77" i="23"/>
  <c r="U52" i="21" l="1"/>
  <c r="AD265" i="23" s="1"/>
  <c r="G56" i="21"/>
  <c r="U50" i="21"/>
  <c r="F13" i="21"/>
  <c r="E13" i="21"/>
  <c r="D13" i="21"/>
  <c r="C13" i="21"/>
  <c r="F12" i="21"/>
  <c r="E12" i="21"/>
  <c r="D12" i="21"/>
  <c r="C12" i="21"/>
  <c r="D8" i="21"/>
  <c r="C8" i="21"/>
  <c r="D7" i="21"/>
  <c r="C7" i="21"/>
  <c r="F14" i="21" l="1"/>
  <c r="F15" i="21" s="1"/>
  <c r="BC79" i="23"/>
  <c r="X195" i="23" s="1"/>
  <c r="L11" i="23"/>
  <c r="D15" i="3"/>
  <c r="Y16" i="23"/>
  <c r="F20" i="3"/>
  <c r="Y17" i="23"/>
  <c r="F21" i="3"/>
  <c r="G10" i="23"/>
  <c r="C14" i="3"/>
  <c r="G16" i="23"/>
  <c r="C20" i="3"/>
  <c r="G17" i="23"/>
  <c r="C21" i="3"/>
  <c r="L10" i="23"/>
  <c r="D14" i="3"/>
  <c r="M16" i="23"/>
  <c r="D20" i="3"/>
  <c r="M17" i="23"/>
  <c r="D21" i="3"/>
  <c r="G11" i="23"/>
  <c r="C15" i="3"/>
  <c r="S16" i="23"/>
  <c r="E20" i="3"/>
  <c r="S17" i="23"/>
  <c r="E21" i="3"/>
  <c r="BC77" i="23"/>
  <c r="AB162" i="23" s="1"/>
  <c r="T265" i="23"/>
  <c r="D14" i="21"/>
  <c r="D15" i="21" s="1"/>
  <c r="E8" i="21"/>
  <c r="E14" i="21"/>
  <c r="E15" i="21" s="1"/>
  <c r="E7" i="21"/>
  <c r="C14" i="21"/>
  <c r="C15" i="21" s="1"/>
  <c r="V11" i="23" l="1"/>
  <c r="M18" i="23"/>
  <c r="M19" i="23" s="1"/>
  <c r="V10" i="23"/>
  <c r="Y18" i="23"/>
  <c r="Y19" i="23" s="1"/>
  <c r="S18" i="23"/>
  <c r="S19" i="23" s="1"/>
  <c r="G18" i="23"/>
  <c r="G19" i="23" s="1"/>
  <c r="G13" i="24"/>
  <c r="G13" i="11"/>
  <c r="G12" i="24"/>
  <c r="G12" i="11"/>
  <c r="G12" i="21"/>
  <c r="B41" i="21"/>
  <c r="B40" i="21"/>
  <c r="B39" i="21"/>
  <c r="B38" i="21"/>
  <c r="B37" i="21"/>
  <c r="B36" i="21"/>
  <c r="B35" i="21"/>
  <c r="B34" i="21"/>
  <c r="B33" i="21"/>
  <c r="B32" i="21"/>
  <c r="B31" i="21"/>
  <c r="B30" i="21"/>
  <c r="B29" i="21"/>
  <c r="B28" i="21"/>
  <c r="B27" i="21"/>
  <c r="B26" i="21"/>
  <c r="B25" i="21"/>
  <c r="B24" i="21"/>
  <c r="B23" i="21"/>
  <c r="B22" i="21"/>
  <c r="B21" i="21"/>
  <c r="H3" i="21"/>
  <c r="E20" i="21" s="1"/>
  <c r="F20" i="21" s="1"/>
  <c r="G20" i="21" s="1"/>
  <c r="H20" i="21" s="1"/>
  <c r="I20" i="21" s="1"/>
  <c r="J20" i="21" s="1"/>
  <c r="G3" i="21"/>
  <c r="F3" i="21"/>
  <c r="C8" i="3" s="1"/>
  <c r="C3" i="21"/>
  <c r="B3" i="21" s="1"/>
  <c r="F61" i="21"/>
  <c r="X24" i="21" l="1"/>
  <c r="AF24" i="21"/>
  <c r="W24" i="21"/>
  <c r="W36" i="21"/>
  <c r="AF36" i="21"/>
  <c r="X36" i="21"/>
  <c r="X21" i="21"/>
  <c r="AF21" i="21"/>
  <c r="W21" i="21"/>
  <c r="X25" i="21"/>
  <c r="W25" i="21"/>
  <c r="AF25" i="21"/>
  <c r="W29" i="21"/>
  <c r="AF29" i="21"/>
  <c r="X29" i="21"/>
  <c r="W33" i="21"/>
  <c r="AF33" i="21"/>
  <c r="X33" i="21"/>
  <c r="A33" i="31"/>
  <c r="W37" i="21"/>
  <c r="AF37" i="21"/>
  <c r="X37" i="21"/>
  <c r="A37" i="31"/>
  <c r="X41" i="21"/>
  <c r="W41" i="21"/>
  <c r="AF41" i="21"/>
  <c r="A36" i="31"/>
  <c r="X40" i="21"/>
  <c r="AF40" i="21"/>
  <c r="W40" i="21"/>
  <c r="AF22" i="21"/>
  <c r="X22" i="21"/>
  <c r="W22" i="21"/>
  <c r="AF26" i="21"/>
  <c r="X26" i="21"/>
  <c r="W26" i="21"/>
  <c r="AF30" i="21"/>
  <c r="X30" i="21"/>
  <c r="W30" i="21"/>
  <c r="AF34" i="21"/>
  <c r="X34" i="21"/>
  <c r="W34" i="21"/>
  <c r="A34" i="31"/>
  <c r="X38" i="21"/>
  <c r="W38" i="21"/>
  <c r="AF38" i="21"/>
  <c r="W28" i="21"/>
  <c r="AF28" i="21"/>
  <c r="X28" i="21"/>
  <c r="AF23" i="21"/>
  <c r="X23" i="21"/>
  <c r="W23" i="21"/>
  <c r="AF27" i="21"/>
  <c r="W27" i="21"/>
  <c r="X27" i="21"/>
  <c r="AF31" i="21"/>
  <c r="X31" i="21"/>
  <c r="W31" i="21"/>
  <c r="AF35" i="21"/>
  <c r="W35" i="21"/>
  <c r="X35" i="21"/>
  <c r="A35" i="31"/>
  <c r="AF39" i="21"/>
  <c r="X39" i="21"/>
  <c r="W39" i="21"/>
  <c r="X32" i="21"/>
  <c r="AF32" i="21"/>
  <c r="W32" i="21"/>
  <c r="V21" i="21"/>
  <c r="A17" i="31"/>
  <c r="V29" i="21"/>
  <c r="A25" i="31"/>
  <c r="V33" i="21"/>
  <c r="A29" i="31"/>
  <c r="V22" i="21"/>
  <c r="A18" i="31"/>
  <c r="V26" i="21"/>
  <c r="A22" i="31"/>
  <c r="V30" i="21"/>
  <c r="A26" i="31"/>
  <c r="V34" i="21"/>
  <c r="A30" i="31"/>
  <c r="V25" i="21"/>
  <c r="A21" i="31"/>
  <c r="V23" i="21"/>
  <c r="A19" i="31"/>
  <c r="V27" i="21"/>
  <c r="A23" i="31"/>
  <c r="V31" i="21"/>
  <c r="A27" i="31"/>
  <c r="V35" i="21"/>
  <c r="A31" i="31"/>
  <c r="V24" i="21"/>
  <c r="A20" i="31"/>
  <c r="V28" i="21"/>
  <c r="A24" i="31"/>
  <c r="V32" i="21"/>
  <c r="A28" i="31"/>
  <c r="V36" i="21"/>
  <c r="A32" i="31"/>
  <c r="V41" i="21"/>
  <c r="A44" i="24"/>
  <c r="A44" i="11"/>
  <c r="V39" i="21"/>
  <c r="A42" i="11"/>
  <c r="A42" i="24"/>
  <c r="V37" i="21"/>
  <c r="A40" i="11"/>
  <c r="A40" i="24"/>
  <c r="V38" i="21"/>
  <c r="A41" i="24"/>
  <c r="A41" i="11"/>
  <c r="V40" i="21"/>
  <c r="A43" i="11"/>
  <c r="A43" i="24"/>
  <c r="U29" i="21"/>
  <c r="T29" i="21"/>
  <c r="U41" i="21"/>
  <c r="B45" i="23" s="1"/>
  <c r="T41" i="21"/>
  <c r="U22" i="21"/>
  <c r="B26" i="23" s="1"/>
  <c r="T22" i="21"/>
  <c r="U26" i="21"/>
  <c r="B30" i="23" s="1"/>
  <c r="T26" i="21"/>
  <c r="U30" i="21"/>
  <c r="B34" i="23" s="1"/>
  <c r="T30" i="21"/>
  <c r="U34" i="21"/>
  <c r="B38" i="23" s="1"/>
  <c r="T34" i="21"/>
  <c r="U38" i="21"/>
  <c r="B42" i="23" s="1"/>
  <c r="T38" i="21"/>
  <c r="U25" i="21"/>
  <c r="B29" i="23" s="1"/>
  <c r="T25" i="21"/>
  <c r="U37" i="21"/>
  <c r="B41" i="23" s="1"/>
  <c r="T37" i="21"/>
  <c r="U27" i="21"/>
  <c r="B31" i="23" s="1"/>
  <c r="T27" i="21"/>
  <c r="U31" i="21"/>
  <c r="B35" i="23" s="1"/>
  <c r="T31" i="21"/>
  <c r="U35" i="21"/>
  <c r="B39" i="23" s="1"/>
  <c r="T35" i="21"/>
  <c r="U39" i="21"/>
  <c r="B43" i="23" s="1"/>
  <c r="T39" i="21"/>
  <c r="U21" i="21"/>
  <c r="B25" i="23" s="1"/>
  <c r="T21" i="21"/>
  <c r="S21" i="21"/>
  <c r="E53" i="21" s="1"/>
  <c r="U33" i="21"/>
  <c r="B37" i="23" s="1"/>
  <c r="T33" i="21"/>
  <c r="U23" i="21"/>
  <c r="B27" i="23" s="1"/>
  <c r="T23" i="21"/>
  <c r="U24" i="21"/>
  <c r="T24" i="21"/>
  <c r="U28" i="21"/>
  <c r="B32" i="23" s="1"/>
  <c r="T28" i="21"/>
  <c r="U32" i="21"/>
  <c r="B36" i="23" s="1"/>
  <c r="T32" i="21"/>
  <c r="U36" i="21"/>
  <c r="B40" i="23" s="1"/>
  <c r="T36" i="21"/>
  <c r="U40" i="21"/>
  <c r="T40" i="21"/>
  <c r="AJ16" i="23"/>
  <c r="G16" i="24"/>
  <c r="G16" i="11"/>
  <c r="AA40" i="23"/>
  <c r="G40" i="23"/>
  <c r="Q40" i="23"/>
  <c r="L40" i="23"/>
  <c r="V40" i="23"/>
  <c r="AA27" i="23"/>
  <c r="G27" i="23"/>
  <c r="Q27" i="23"/>
  <c r="L27" i="23"/>
  <c r="V27" i="23"/>
  <c r="AA35" i="23"/>
  <c r="G35" i="23"/>
  <c r="Q35" i="23"/>
  <c r="V35" i="23"/>
  <c r="L35" i="23"/>
  <c r="AA39" i="23"/>
  <c r="G39" i="23"/>
  <c r="Q39" i="23"/>
  <c r="V39" i="23"/>
  <c r="L39" i="23"/>
  <c r="AA43" i="23"/>
  <c r="G43" i="23"/>
  <c r="Q43" i="23"/>
  <c r="L43" i="23"/>
  <c r="V43" i="23"/>
  <c r="M108" i="21"/>
  <c r="N108" i="21" s="1"/>
  <c r="B5" i="23"/>
  <c r="AA29" i="23"/>
  <c r="G29" i="23"/>
  <c r="Q29" i="23"/>
  <c r="L29" i="23"/>
  <c r="V29" i="23"/>
  <c r="AA33" i="23"/>
  <c r="G33" i="23"/>
  <c r="Q33" i="23"/>
  <c r="L33" i="23"/>
  <c r="V33" i="23"/>
  <c r="AA37" i="23"/>
  <c r="G37" i="23"/>
  <c r="L37" i="23"/>
  <c r="V37" i="23"/>
  <c r="Q37" i="23"/>
  <c r="AA41" i="23"/>
  <c r="G41" i="23"/>
  <c r="L41" i="23"/>
  <c r="V41" i="23"/>
  <c r="Q41" i="23"/>
  <c r="AA45" i="23"/>
  <c r="G45" i="23"/>
  <c r="Q45" i="23"/>
  <c r="L45" i="23"/>
  <c r="V45" i="23"/>
  <c r="AA31" i="23"/>
  <c r="G31" i="23"/>
  <c r="Q31" i="23"/>
  <c r="V31" i="23"/>
  <c r="L31" i="23"/>
  <c r="AA28" i="23"/>
  <c r="G28" i="23"/>
  <c r="Q28" i="23"/>
  <c r="V28" i="23"/>
  <c r="L28" i="23"/>
  <c r="AA32" i="23"/>
  <c r="G32" i="23"/>
  <c r="Q32" i="23"/>
  <c r="L32" i="23"/>
  <c r="V32" i="23"/>
  <c r="AA36" i="23"/>
  <c r="G36" i="23"/>
  <c r="Q36" i="23"/>
  <c r="L36" i="23"/>
  <c r="V36" i="23"/>
  <c r="AA44" i="23"/>
  <c r="G44" i="23"/>
  <c r="Q44" i="23"/>
  <c r="L44" i="23"/>
  <c r="V44" i="23"/>
  <c r="K108" i="21"/>
  <c r="L108" i="21" s="1"/>
  <c r="AA25" i="23"/>
  <c r="G25" i="23"/>
  <c r="V25" i="23"/>
  <c r="Q25" i="23"/>
  <c r="L25" i="23"/>
  <c r="AA26" i="23"/>
  <c r="G26" i="23"/>
  <c r="Q26" i="23"/>
  <c r="L26" i="23"/>
  <c r="V26" i="23"/>
  <c r="AA30" i="23"/>
  <c r="G30" i="23"/>
  <c r="Q30" i="23"/>
  <c r="V30" i="23"/>
  <c r="L30" i="23"/>
  <c r="AA34" i="23"/>
  <c r="G34" i="23"/>
  <c r="Q34" i="23"/>
  <c r="V34" i="23"/>
  <c r="L34" i="23"/>
  <c r="AA38" i="23"/>
  <c r="G38" i="23"/>
  <c r="Q38" i="23"/>
  <c r="V38" i="23"/>
  <c r="L38" i="23"/>
  <c r="AA42" i="23"/>
  <c r="G42" i="23"/>
  <c r="Q42" i="23"/>
  <c r="L42" i="23"/>
  <c r="V42" i="23"/>
  <c r="O22" i="21"/>
  <c r="O24" i="21"/>
  <c r="O28" i="21"/>
  <c r="O32" i="21"/>
  <c r="O36" i="21"/>
  <c r="O40" i="21"/>
  <c r="O21" i="21"/>
  <c r="O25" i="21"/>
  <c r="O29" i="21"/>
  <c r="O33" i="21"/>
  <c r="O37" i="21"/>
  <c r="O41" i="21"/>
  <c r="O26" i="21"/>
  <c r="O30" i="21"/>
  <c r="O34" i="21"/>
  <c r="O38" i="21"/>
  <c r="O23" i="21"/>
  <c r="O27" i="21"/>
  <c r="O31" i="21"/>
  <c r="O35" i="21"/>
  <c r="O39" i="21"/>
  <c r="A29" i="24"/>
  <c r="A29" i="11"/>
  <c r="A33" i="24"/>
  <c r="A33" i="11"/>
  <c r="A37" i="24"/>
  <c r="A37" i="11"/>
  <c r="A26" i="24"/>
  <c r="A26" i="11"/>
  <c r="A30" i="24"/>
  <c r="A30" i="11"/>
  <c r="A34" i="24"/>
  <c r="A34" i="11"/>
  <c r="A38" i="24"/>
  <c r="A38" i="11"/>
  <c r="A27" i="24"/>
  <c r="A27" i="11"/>
  <c r="A31" i="24"/>
  <c r="A31" i="11"/>
  <c r="A35" i="24"/>
  <c r="A35" i="11"/>
  <c r="A39" i="24"/>
  <c r="A39" i="11"/>
  <c r="A25" i="24"/>
  <c r="A25" i="11"/>
  <c r="A24" i="24"/>
  <c r="A24" i="11"/>
  <c r="A28" i="24"/>
  <c r="A28" i="11"/>
  <c r="A32" i="24"/>
  <c r="A32" i="11"/>
  <c r="A36" i="24"/>
  <c r="A36" i="11"/>
  <c r="C31" i="21"/>
  <c r="B37" i="3" s="1"/>
  <c r="C22" i="21"/>
  <c r="B28" i="3" s="1"/>
  <c r="C38" i="21"/>
  <c r="B44" i="3" s="1"/>
  <c r="N21" i="21"/>
  <c r="C29" i="21"/>
  <c r="B35" i="3" s="1"/>
  <c r="C33" i="21"/>
  <c r="B39" i="3" s="1"/>
  <c r="C37" i="21"/>
  <c r="B43" i="3" s="1"/>
  <c r="C41" i="21"/>
  <c r="B47" i="3" s="1"/>
  <c r="C27" i="21"/>
  <c r="B33" i="3" s="1"/>
  <c r="C35" i="21"/>
  <c r="B41" i="3" s="1"/>
  <c r="C39" i="21"/>
  <c r="B45" i="3" s="1"/>
  <c r="C26" i="21"/>
  <c r="B32" i="3" s="1"/>
  <c r="C30" i="21"/>
  <c r="B36" i="3" s="1"/>
  <c r="C34" i="21"/>
  <c r="B40" i="3" s="1"/>
  <c r="C24" i="21"/>
  <c r="B30" i="3" s="1"/>
  <c r="C28" i="21"/>
  <c r="B34" i="3" s="1"/>
  <c r="C32" i="21"/>
  <c r="B38" i="3" s="1"/>
  <c r="C36" i="21"/>
  <c r="B42" i="3" s="1"/>
  <c r="C40" i="21"/>
  <c r="B46" i="3" s="1"/>
  <c r="C23" i="21"/>
  <c r="B29" i="3" s="1"/>
  <c r="C21" i="21"/>
  <c r="K25" i="21"/>
  <c r="C25" i="21"/>
  <c r="B31" i="3" s="1"/>
  <c r="I3" i="21"/>
  <c r="H5" i="23" s="1"/>
  <c r="K24" i="21"/>
  <c r="K32" i="21"/>
  <c r="K22" i="21"/>
  <c r="K26" i="21"/>
  <c r="K30" i="21"/>
  <c r="K34" i="21"/>
  <c r="K38" i="21"/>
  <c r="K21" i="21"/>
  <c r="K29" i="21"/>
  <c r="K33" i="21"/>
  <c r="K37" i="21"/>
  <c r="K41" i="21"/>
  <c r="K40" i="21"/>
  <c r="K28" i="21"/>
  <c r="K36" i="21"/>
  <c r="K23" i="21"/>
  <c r="K27" i="21"/>
  <c r="K31" i="21"/>
  <c r="K35" i="21"/>
  <c r="K39" i="21"/>
  <c r="A10" i="30"/>
  <c r="A14" i="30"/>
  <c r="A18" i="30"/>
  <c r="A22" i="30"/>
  <c r="A26" i="30"/>
  <c r="I21" i="21"/>
  <c r="A9" i="30"/>
  <c r="I25" i="21"/>
  <c r="A13" i="30"/>
  <c r="I29" i="21"/>
  <c r="A17" i="30"/>
  <c r="I33" i="21"/>
  <c r="A21" i="30"/>
  <c r="I37" i="21"/>
  <c r="A25" i="30"/>
  <c r="I41" i="21"/>
  <c r="A29" i="30"/>
  <c r="A12" i="30"/>
  <c r="A16" i="30"/>
  <c r="A20" i="30"/>
  <c r="A24" i="30"/>
  <c r="A28" i="30"/>
  <c r="I23" i="21"/>
  <c r="A11" i="30"/>
  <c r="I27" i="21"/>
  <c r="A15" i="30"/>
  <c r="I31" i="21"/>
  <c r="A19" i="30"/>
  <c r="I35" i="21"/>
  <c r="A23" i="30"/>
  <c r="I39" i="21"/>
  <c r="A27" i="30"/>
  <c r="D28" i="3"/>
  <c r="S35" i="21"/>
  <c r="D36" i="3"/>
  <c r="C28" i="3"/>
  <c r="F41" i="3"/>
  <c r="E42" i="3"/>
  <c r="G28" i="3"/>
  <c r="G36" i="3"/>
  <c r="F42" i="3"/>
  <c r="F34" i="3"/>
  <c r="D27" i="3"/>
  <c r="C33" i="3"/>
  <c r="C41" i="3"/>
  <c r="E46" i="3"/>
  <c r="D8" i="3"/>
  <c r="D44" i="3"/>
  <c r="F33" i="3"/>
  <c r="D35" i="3"/>
  <c r="D43" i="3"/>
  <c r="G44" i="3"/>
  <c r="Q37" i="21"/>
  <c r="E27" i="3"/>
  <c r="F29" i="3"/>
  <c r="G33" i="3"/>
  <c r="E35" i="3"/>
  <c r="F37" i="3"/>
  <c r="G41" i="3"/>
  <c r="E43" i="3"/>
  <c r="F45" i="3"/>
  <c r="E30" i="3"/>
  <c r="E34" i="3"/>
  <c r="C36" i="3"/>
  <c r="E38" i="3"/>
  <c r="C44" i="3"/>
  <c r="C32" i="3"/>
  <c r="C29" i="3"/>
  <c r="G29" i="3"/>
  <c r="F30" i="3"/>
  <c r="E31" i="3"/>
  <c r="D32" i="3"/>
  <c r="C37" i="3"/>
  <c r="G37" i="3"/>
  <c r="F38" i="3"/>
  <c r="E39" i="3"/>
  <c r="D40" i="3"/>
  <c r="C45" i="3"/>
  <c r="G45" i="3"/>
  <c r="F46" i="3"/>
  <c r="E47" i="3"/>
  <c r="C40" i="3"/>
  <c r="D47" i="3"/>
  <c r="Q41" i="21"/>
  <c r="P33" i="21"/>
  <c r="S41" i="21"/>
  <c r="F27" i="3"/>
  <c r="E28" i="3"/>
  <c r="D29" i="3"/>
  <c r="C30" i="3"/>
  <c r="G30" i="3"/>
  <c r="F31" i="3"/>
  <c r="E32" i="3"/>
  <c r="D33" i="3"/>
  <c r="C34" i="3"/>
  <c r="G34" i="3"/>
  <c r="F35" i="3"/>
  <c r="E36" i="3"/>
  <c r="D37" i="3"/>
  <c r="C38" i="3"/>
  <c r="G38" i="3"/>
  <c r="F39" i="3"/>
  <c r="E40" i="3"/>
  <c r="D41" i="3"/>
  <c r="C42" i="3"/>
  <c r="G42" i="3"/>
  <c r="F43" i="3"/>
  <c r="E44" i="3"/>
  <c r="D45" i="3"/>
  <c r="C46" i="3"/>
  <c r="G46" i="3"/>
  <c r="F47" i="3"/>
  <c r="D31" i="3"/>
  <c r="G32" i="3"/>
  <c r="D39" i="3"/>
  <c r="G40" i="3"/>
  <c r="S33" i="21"/>
  <c r="Q39" i="21"/>
  <c r="C27" i="3"/>
  <c r="G27" i="3"/>
  <c r="F28" i="3"/>
  <c r="E29" i="3"/>
  <c r="D30" i="3"/>
  <c r="C31" i="3"/>
  <c r="G31" i="3"/>
  <c r="F32" i="3"/>
  <c r="E33" i="3"/>
  <c r="D34" i="3"/>
  <c r="C35" i="3"/>
  <c r="G35" i="3"/>
  <c r="F36" i="3"/>
  <c r="E37" i="3"/>
  <c r="D38" i="3"/>
  <c r="C39" i="3"/>
  <c r="G39" i="3"/>
  <c r="F40" i="3"/>
  <c r="E41" i="3"/>
  <c r="D42" i="3"/>
  <c r="C43" i="3"/>
  <c r="G43" i="3"/>
  <c r="F44" i="3"/>
  <c r="E45" i="3"/>
  <c r="D46" i="3"/>
  <c r="C47" i="3"/>
  <c r="G47" i="3"/>
  <c r="L21" i="21"/>
  <c r="L23" i="21"/>
  <c r="L25" i="21"/>
  <c r="L27" i="21"/>
  <c r="L29" i="21"/>
  <c r="L31" i="21"/>
  <c r="L33" i="21"/>
  <c r="L35" i="21"/>
  <c r="L37" i="21"/>
  <c r="L39" i="21"/>
  <c r="L41" i="21"/>
  <c r="M21" i="21"/>
  <c r="AF25" i="23" s="1"/>
  <c r="M23" i="21"/>
  <c r="AF27" i="23" s="1"/>
  <c r="M25" i="21"/>
  <c r="AF29" i="23" s="1"/>
  <c r="M27" i="21"/>
  <c r="AF31" i="23" s="1"/>
  <c r="M29" i="21"/>
  <c r="AF33" i="23" s="1"/>
  <c r="M31" i="21"/>
  <c r="AF35" i="23" s="1"/>
  <c r="M33" i="21"/>
  <c r="AF37" i="23" s="1"/>
  <c r="M35" i="21"/>
  <c r="AF39" i="23" s="1"/>
  <c r="M37" i="21"/>
  <c r="AF41" i="23" s="1"/>
  <c r="M39" i="21"/>
  <c r="AF43" i="23" s="1"/>
  <c r="M41" i="21"/>
  <c r="AF45" i="23" s="1"/>
  <c r="J32" i="21"/>
  <c r="S36" i="21"/>
  <c r="F21" i="21"/>
  <c r="F23" i="21"/>
  <c r="F25" i="21"/>
  <c r="F27" i="21"/>
  <c r="F29" i="21"/>
  <c r="F31" i="21"/>
  <c r="F33" i="21"/>
  <c r="F35" i="21"/>
  <c r="F37" i="21"/>
  <c r="F39" i="21"/>
  <c r="F41" i="21"/>
  <c r="N28" i="21"/>
  <c r="R28" i="21" s="1"/>
  <c r="Q38" i="21"/>
  <c r="G21" i="21"/>
  <c r="G23" i="21"/>
  <c r="G25" i="21"/>
  <c r="G27" i="21"/>
  <c r="G29" i="21"/>
  <c r="G31" i="21"/>
  <c r="G33" i="21"/>
  <c r="G35" i="21"/>
  <c r="G37" i="21"/>
  <c r="G39" i="21"/>
  <c r="G41" i="21"/>
  <c r="E22" i="21"/>
  <c r="I26" i="21"/>
  <c r="E28" i="21"/>
  <c r="E34" i="21"/>
  <c r="E36" i="21"/>
  <c r="E40" i="21"/>
  <c r="N32" i="21"/>
  <c r="R34" i="21"/>
  <c r="J38" i="21"/>
  <c r="S38" i="21"/>
  <c r="D21" i="21"/>
  <c r="H21" i="21"/>
  <c r="F22" i="21"/>
  <c r="L22" i="21"/>
  <c r="D23" i="21"/>
  <c r="H23" i="21"/>
  <c r="F24" i="21"/>
  <c r="L24" i="21"/>
  <c r="D25" i="21"/>
  <c r="H25" i="21"/>
  <c r="F26" i="21"/>
  <c r="L26" i="21"/>
  <c r="D27" i="21"/>
  <c r="H27" i="21"/>
  <c r="F28" i="21"/>
  <c r="L28" i="21"/>
  <c r="D29" i="21"/>
  <c r="H29" i="21"/>
  <c r="F30" i="21"/>
  <c r="L30" i="21"/>
  <c r="D31" i="21"/>
  <c r="H31" i="21"/>
  <c r="F32" i="21"/>
  <c r="L32" i="21"/>
  <c r="D33" i="21"/>
  <c r="H33" i="21"/>
  <c r="F34" i="21"/>
  <c r="L34" i="21"/>
  <c r="D35" i="21"/>
  <c r="H35" i="21"/>
  <c r="F36" i="21"/>
  <c r="L36" i="21"/>
  <c r="D37" i="21"/>
  <c r="H37" i="21"/>
  <c r="F38" i="21"/>
  <c r="L38" i="21"/>
  <c r="D39" i="21"/>
  <c r="H39" i="21"/>
  <c r="F40" i="21"/>
  <c r="L40" i="21"/>
  <c r="D41" i="21"/>
  <c r="H41" i="21"/>
  <c r="I22" i="21"/>
  <c r="E24" i="21"/>
  <c r="E30" i="21"/>
  <c r="I30" i="21"/>
  <c r="I32" i="21"/>
  <c r="I34" i="21"/>
  <c r="I38" i="21"/>
  <c r="I40" i="21"/>
  <c r="R32" i="21"/>
  <c r="Q36" i="21"/>
  <c r="E21" i="21"/>
  <c r="G22" i="21"/>
  <c r="M22" i="21"/>
  <c r="AF26" i="23" s="1"/>
  <c r="E23" i="21"/>
  <c r="G24" i="21"/>
  <c r="M24" i="21"/>
  <c r="AF28" i="23" s="1"/>
  <c r="E25" i="21"/>
  <c r="G26" i="21"/>
  <c r="M26" i="21"/>
  <c r="AF30" i="23" s="1"/>
  <c r="E27" i="21"/>
  <c r="G28" i="21"/>
  <c r="M28" i="21"/>
  <c r="AF32" i="23" s="1"/>
  <c r="E29" i="21"/>
  <c r="G30" i="21"/>
  <c r="M30" i="21"/>
  <c r="AF34" i="23" s="1"/>
  <c r="E31" i="21"/>
  <c r="G32" i="21"/>
  <c r="M32" i="21"/>
  <c r="AF36" i="23" s="1"/>
  <c r="E33" i="21"/>
  <c r="G34" i="21"/>
  <c r="M34" i="21"/>
  <c r="AF38" i="23" s="1"/>
  <c r="E35" i="21"/>
  <c r="G36" i="21"/>
  <c r="M36" i="21"/>
  <c r="AF40" i="23" s="1"/>
  <c r="E37" i="21"/>
  <c r="G38" i="21"/>
  <c r="M38" i="21"/>
  <c r="AF42" i="23" s="1"/>
  <c r="E39" i="21"/>
  <c r="G40" i="21"/>
  <c r="M40" i="21"/>
  <c r="AF44" i="23" s="1"/>
  <c r="E41" i="21"/>
  <c r="I24" i="21"/>
  <c r="E26" i="21"/>
  <c r="I28" i="21"/>
  <c r="E32" i="21"/>
  <c r="I36" i="21"/>
  <c r="E38" i="21"/>
  <c r="N24" i="21"/>
  <c r="R24" i="21" s="1"/>
  <c r="S32" i="21"/>
  <c r="R36" i="21"/>
  <c r="N38" i="21"/>
  <c r="D22" i="21"/>
  <c r="H22" i="21"/>
  <c r="D24" i="21"/>
  <c r="H24" i="21"/>
  <c r="D26" i="21"/>
  <c r="H26" i="21"/>
  <c r="D28" i="21"/>
  <c r="H28" i="21"/>
  <c r="D30" i="21"/>
  <c r="H30" i="21"/>
  <c r="D32" i="21"/>
  <c r="H32" i="21"/>
  <c r="D34" i="21"/>
  <c r="H34" i="21"/>
  <c r="D36" i="21"/>
  <c r="H36" i="21"/>
  <c r="D38" i="21"/>
  <c r="H38" i="21"/>
  <c r="D40" i="21"/>
  <c r="H40" i="21"/>
  <c r="S28" i="21"/>
  <c r="S24" i="21"/>
  <c r="S29" i="21"/>
  <c r="S25" i="21"/>
  <c r="S23" i="21"/>
  <c r="S31" i="21"/>
  <c r="S27" i="21"/>
  <c r="P39" i="21"/>
  <c r="B44" i="23"/>
  <c r="P40" i="21"/>
  <c r="J40" i="21"/>
  <c r="N40" i="21"/>
  <c r="Q21" i="21"/>
  <c r="E51" i="21" s="1"/>
  <c r="N22" i="21"/>
  <c r="R22" i="21" s="1"/>
  <c r="S22" i="21"/>
  <c r="B28" i="23"/>
  <c r="P24" i="21"/>
  <c r="Q24" i="21"/>
  <c r="N25" i="21"/>
  <c r="P25" i="21" s="1"/>
  <c r="J25" i="21"/>
  <c r="Q25" i="21"/>
  <c r="N26" i="21"/>
  <c r="S26" i="21"/>
  <c r="P28" i="21"/>
  <c r="Q28" i="21"/>
  <c r="N29" i="21"/>
  <c r="P29" i="21" s="1"/>
  <c r="J29" i="21"/>
  <c r="Q29" i="21"/>
  <c r="N30" i="21"/>
  <c r="R30" i="21" s="1"/>
  <c r="S30" i="21"/>
  <c r="P32" i="21"/>
  <c r="Q32" i="21"/>
  <c r="R33" i="21"/>
  <c r="N33" i="21"/>
  <c r="J33" i="21"/>
  <c r="Q33" i="21"/>
  <c r="N34" i="21"/>
  <c r="S34" i="21"/>
  <c r="P36" i="21"/>
  <c r="J36" i="21"/>
  <c r="N36" i="21"/>
  <c r="S37" i="21"/>
  <c r="P38" i="21"/>
  <c r="R38" i="21"/>
  <c r="Q40" i="21"/>
  <c r="R39" i="21"/>
  <c r="N39" i="21"/>
  <c r="J39" i="21"/>
  <c r="S39" i="21"/>
  <c r="J23" i="21"/>
  <c r="J26" i="21"/>
  <c r="P26" i="21"/>
  <c r="P27" i="21"/>
  <c r="J34" i="21"/>
  <c r="P35" i="21"/>
  <c r="R40" i="21"/>
  <c r="R41" i="21"/>
  <c r="N41" i="21"/>
  <c r="J41" i="21"/>
  <c r="P41" i="21"/>
  <c r="R21" i="21"/>
  <c r="J21" i="21"/>
  <c r="P22" i="21"/>
  <c r="Q22" i="21"/>
  <c r="N23" i="21"/>
  <c r="R23" i="21" s="1"/>
  <c r="Q23" i="21"/>
  <c r="Q26" i="21"/>
  <c r="R27" i="21"/>
  <c r="N27" i="21"/>
  <c r="J27" i="21"/>
  <c r="Q27" i="21"/>
  <c r="P30" i="21"/>
  <c r="Q30" i="21"/>
  <c r="N31" i="21"/>
  <c r="R31" i="21" s="1"/>
  <c r="Q31" i="21"/>
  <c r="P34" i="21"/>
  <c r="Q34" i="21"/>
  <c r="R35" i="21"/>
  <c r="N35" i="21"/>
  <c r="J35" i="21"/>
  <c r="Q35" i="21"/>
  <c r="R37" i="21"/>
  <c r="N37" i="21"/>
  <c r="J37" i="21"/>
  <c r="P37" i="21"/>
  <c r="S40" i="21"/>
  <c r="AU30" i="23" l="1"/>
  <c r="AK30" i="23"/>
  <c r="AP30" i="23"/>
  <c r="AU39" i="23"/>
  <c r="AK39" i="23"/>
  <c r="AP39" i="23"/>
  <c r="AU35" i="23"/>
  <c r="AP35" i="23"/>
  <c r="AK35" i="23"/>
  <c r="AU32" i="23"/>
  <c r="AK32" i="23"/>
  <c r="AP32" i="23"/>
  <c r="AU44" i="23"/>
  <c r="AP44" i="23"/>
  <c r="AK44" i="23"/>
  <c r="AU29" i="23"/>
  <c r="AP29" i="23"/>
  <c r="AK29" i="23"/>
  <c r="AU25" i="23"/>
  <c r="AK25" i="23"/>
  <c r="AP25" i="23"/>
  <c r="AU31" i="23"/>
  <c r="AK31" i="23"/>
  <c r="AP31" i="23"/>
  <c r="AU28" i="23"/>
  <c r="AK28" i="23"/>
  <c r="AP28" i="23"/>
  <c r="AU26" i="23"/>
  <c r="AK26" i="23"/>
  <c r="AP26" i="23"/>
  <c r="AU41" i="23"/>
  <c r="AP41" i="23"/>
  <c r="AK41" i="23"/>
  <c r="AU38" i="23"/>
  <c r="AK38" i="23"/>
  <c r="AP38" i="23"/>
  <c r="AU43" i="23"/>
  <c r="AP43" i="23"/>
  <c r="AK43" i="23"/>
  <c r="AU42" i="23"/>
  <c r="AK42" i="23"/>
  <c r="AP42" i="23"/>
  <c r="AU45" i="23"/>
  <c r="AP45" i="23"/>
  <c r="AK45" i="23"/>
  <c r="AU40" i="23"/>
  <c r="AK40" i="23"/>
  <c r="AP40" i="23"/>
  <c r="AU36" i="23"/>
  <c r="AP36" i="23"/>
  <c r="AK36" i="23"/>
  <c r="AU34" i="23"/>
  <c r="AK34" i="23"/>
  <c r="AP34" i="23"/>
  <c r="AU27" i="23"/>
  <c r="AP27" i="23"/>
  <c r="AK27" i="23"/>
  <c r="AU37" i="23"/>
  <c r="AP37" i="23"/>
  <c r="AK37" i="23"/>
  <c r="H78" i="23"/>
  <c r="H169" i="23" s="1"/>
  <c r="N50" i="21"/>
  <c r="H80" i="23"/>
  <c r="H202" i="23" s="1"/>
  <c r="M203" i="23"/>
  <c r="C200" i="23" s="1"/>
  <c r="N52" i="21"/>
  <c r="P108" i="21"/>
  <c r="N170" i="23"/>
  <c r="D168" i="23" s="1"/>
  <c r="I49" i="21"/>
  <c r="I47" i="21"/>
  <c r="H49" i="21"/>
  <c r="U49" i="21"/>
  <c r="W49" i="21" s="1"/>
  <c r="M49" i="21"/>
  <c r="Y49" i="21" s="1"/>
  <c r="O3" i="21"/>
  <c r="B91" i="21"/>
  <c r="B98" i="21"/>
  <c r="B100" i="21"/>
  <c r="B89" i="21"/>
  <c r="B101" i="21"/>
  <c r="B97" i="21"/>
  <c r="B93" i="21"/>
  <c r="B84" i="21"/>
  <c r="B95" i="21"/>
  <c r="B87" i="21"/>
  <c r="B99" i="21"/>
  <c r="B96" i="21"/>
  <c r="B92" i="21"/>
  <c r="B94" i="21"/>
  <c r="B82" i="21"/>
  <c r="B88" i="21"/>
  <c r="B85" i="21"/>
  <c r="B83" i="21"/>
  <c r="B86" i="21"/>
  <c r="B102" i="21"/>
  <c r="B33" i="23"/>
  <c r="B27" i="3"/>
  <c r="E3" i="21"/>
  <c r="D3" i="21"/>
  <c r="P23" i="21"/>
  <c r="J22" i="21"/>
  <c r="R26" i="21"/>
  <c r="J31" i="21"/>
  <c r="P21" i="21"/>
  <c r="J24" i="21"/>
  <c r="J28" i="21"/>
  <c r="P31" i="21"/>
  <c r="J30" i="21"/>
  <c r="R29" i="21"/>
  <c r="R25" i="21"/>
  <c r="P156" i="23" l="1"/>
  <c r="I155" i="23" s="1"/>
  <c r="P50" i="21"/>
  <c r="P52" i="21"/>
  <c r="R136" i="23"/>
  <c r="X136" i="23" s="1"/>
  <c r="G54" i="21"/>
  <c r="J54" i="21" s="1"/>
  <c r="AU33" i="23"/>
  <c r="AP33" i="23"/>
  <c r="AK33" i="23"/>
  <c r="Q132" i="23" s="1"/>
  <c r="R133" i="23" s="1"/>
  <c r="X133" i="23" s="1"/>
  <c r="I187" i="23"/>
  <c r="R203" i="23"/>
  <c r="U208" i="23" s="1"/>
  <c r="AB76" i="23"/>
  <c r="O265" i="23"/>
  <c r="BC76" i="23"/>
  <c r="S170" i="23"/>
  <c r="U175" i="23" s="1"/>
  <c r="G49" i="21"/>
  <c r="O78" i="23"/>
  <c r="O80" i="23"/>
  <c r="T245" i="23" s="1"/>
  <c r="Z245" i="23" s="1"/>
  <c r="S250" i="23" s="1"/>
  <c r="AA250" i="23" s="1"/>
  <c r="I61" i="21"/>
  <c r="L61" i="21" s="1"/>
  <c r="Q61" i="21" s="1"/>
  <c r="B90" i="21"/>
  <c r="K3" i="21"/>
  <c r="B8" i="3"/>
  <c r="J3" i="21"/>
  <c r="X52" i="21" l="1"/>
  <c r="AG77" i="23"/>
  <c r="J49" i="21"/>
  <c r="Y156" i="23"/>
  <c r="L158" i="23" s="1"/>
  <c r="AA158" i="23" s="1"/>
  <c r="G47" i="21"/>
  <c r="L3" i="21"/>
  <c r="F19" i="11" s="1"/>
  <c r="AG79" i="23"/>
  <c r="T216" i="23"/>
  <c r="P215" i="23" s="1"/>
  <c r="G55" i="21"/>
  <c r="J55" i="21" s="1"/>
  <c r="R3" i="21"/>
  <c r="F62" i="21" s="1"/>
  <c r="Q3" i="21"/>
  <c r="D62" i="21" s="1"/>
  <c r="P3" i="21"/>
  <c r="C62" i="21" s="1"/>
  <c r="I46" i="21"/>
  <c r="Q101" i="23" s="1"/>
  <c r="H46" i="21"/>
  <c r="AA98" i="23" s="1"/>
  <c r="S100" i="23" s="1"/>
  <c r="AE100" i="23" s="1"/>
  <c r="AS100" i="23" s="1"/>
  <c r="G46" i="21"/>
  <c r="Y98" i="23" s="1"/>
  <c r="Q100" i="23" s="1"/>
  <c r="AC100" i="23" s="1"/>
  <c r="AO100" i="23" s="1"/>
  <c r="Z189" i="23"/>
  <c r="L191" i="23" s="1"/>
  <c r="AA191" i="23" s="1"/>
  <c r="I108" i="21"/>
  <c r="J108" i="21" s="1"/>
  <c r="O108" i="21" s="1"/>
  <c r="Q108" i="21" s="1"/>
  <c r="R108" i="21" s="1"/>
  <c r="K104" i="23"/>
  <c r="I138" i="23"/>
  <c r="L142" i="23"/>
  <c r="O81" i="23"/>
  <c r="E50" i="21"/>
  <c r="E48" i="21"/>
  <c r="H73" i="23" s="1"/>
  <c r="E52" i="21"/>
  <c r="E49" i="21"/>
  <c r="H76" i="23" s="1"/>
  <c r="H56" i="21"/>
  <c r="E62" i="21"/>
  <c r="C9" i="25"/>
  <c r="C8" i="25"/>
  <c r="C7" i="25"/>
  <c r="C6" i="25"/>
  <c r="O76" i="23" l="1"/>
  <c r="X49" i="21"/>
  <c r="AP79" i="23"/>
  <c r="H257" i="23" s="1"/>
  <c r="AP76" i="23"/>
  <c r="O141" i="23" s="1"/>
  <c r="V141" i="23" s="1"/>
  <c r="AP77" i="23"/>
  <c r="AD256" i="23" s="1"/>
  <c r="F12" i="31"/>
  <c r="H79" i="23"/>
  <c r="J56" i="21"/>
  <c r="R56" i="21" s="1"/>
  <c r="V56" i="21" s="1"/>
  <c r="X50" i="21"/>
  <c r="F19" i="24"/>
  <c r="S233" i="23"/>
  <c r="X233" i="23" s="1"/>
  <c r="J92" i="21"/>
  <c r="H102" i="21"/>
  <c r="L102" i="21"/>
  <c r="I87" i="21"/>
  <c r="J88" i="21"/>
  <c r="P96" i="21"/>
  <c r="K86" i="21"/>
  <c r="I100" i="21"/>
  <c r="K87" i="21"/>
  <c r="I98" i="21"/>
  <c r="I93" i="21"/>
  <c r="J85" i="21"/>
  <c r="H88" i="21"/>
  <c r="P89" i="21"/>
  <c r="J82" i="21"/>
  <c r="I84" i="21"/>
  <c r="J90" i="21"/>
  <c r="I82" i="21"/>
  <c r="AC105" i="23" s="1"/>
  <c r="H100" i="21"/>
  <c r="K92" i="21"/>
  <c r="L92" i="21"/>
  <c r="P88" i="21"/>
  <c r="K85" i="21"/>
  <c r="L91" i="21"/>
  <c r="H99" i="21"/>
  <c r="K96" i="21"/>
  <c r="L90" i="21"/>
  <c r="I99" i="21"/>
  <c r="J99" i="21"/>
  <c r="P94" i="21"/>
  <c r="P87" i="21"/>
  <c r="K97" i="21"/>
  <c r="L89" i="21"/>
  <c r="L99" i="21"/>
  <c r="H89" i="21"/>
  <c r="K83" i="21"/>
  <c r="J96" i="21"/>
  <c r="L85" i="21"/>
  <c r="H86" i="21"/>
  <c r="J102" i="21"/>
  <c r="J87" i="21"/>
  <c r="K94" i="21"/>
  <c r="I95" i="21"/>
  <c r="H82" i="21"/>
  <c r="L86" i="21"/>
  <c r="J93" i="21"/>
  <c r="K100" i="21"/>
  <c r="K82" i="21"/>
  <c r="I89" i="21"/>
  <c r="H96" i="21"/>
  <c r="L100" i="21"/>
  <c r="P98" i="21"/>
  <c r="P101" i="21"/>
  <c r="P99" i="21"/>
  <c r="P95" i="21"/>
  <c r="P97" i="21"/>
  <c r="K93" i="21"/>
  <c r="H87" i="21"/>
  <c r="J86" i="21"/>
  <c r="H101" i="21"/>
  <c r="L93" i="21"/>
  <c r="H83" i="21"/>
  <c r="I90" i="21"/>
  <c r="J89" i="21"/>
  <c r="H84" i="21"/>
  <c r="L88" i="21"/>
  <c r="J95" i="21"/>
  <c r="K102" i="21"/>
  <c r="J97" i="21"/>
  <c r="I83" i="21"/>
  <c r="H90" i="21"/>
  <c r="L94" i="21"/>
  <c r="J101" i="21"/>
  <c r="J83" i="21"/>
  <c r="K90" i="21"/>
  <c r="I97" i="21"/>
  <c r="P84" i="21"/>
  <c r="P82" i="21"/>
  <c r="P93" i="21"/>
  <c r="P91" i="21"/>
  <c r="P86" i="21"/>
  <c r="P100" i="21"/>
  <c r="Y216" i="23"/>
  <c r="O221" i="23" s="1"/>
  <c r="V221" i="23" s="1"/>
  <c r="J98" i="21"/>
  <c r="J100" i="21"/>
  <c r="I96" i="21"/>
  <c r="K99" i="21"/>
  <c r="H85" i="21"/>
  <c r="I94" i="21"/>
  <c r="I101" i="21"/>
  <c r="H93" i="21"/>
  <c r="L97" i="21"/>
  <c r="I92" i="21"/>
  <c r="H97" i="21"/>
  <c r="K95" i="21"/>
  <c r="K101" i="21"/>
  <c r="L87" i="21"/>
  <c r="K89" i="21"/>
  <c r="H95" i="21"/>
  <c r="J84" i="21"/>
  <c r="I88" i="21"/>
  <c r="J94" i="21"/>
  <c r="L83" i="21"/>
  <c r="K91" i="21"/>
  <c r="L95" i="21"/>
  <c r="L101" i="21"/>
  <c r="H91" i="21"/>
  <c r="I102" i="21"/>
  <c r="I86" i="21"/>
  <c r="H94" i="21"/>
  <c r="I85" i="21"/>
  <c r="H92" i="21"/>
  <c r="L96" i="21"/>
  <c r="K88" i="21"/>
  <c r="L98" i="21"/>
  <c r="K84" i="21"/>
  <c r="I91" i="21"/>
  <c r="H98" i="21"/>
  <c r="L82" i="21"/>
  <c r="AR105" i="23" s="1"/>
  <c r="L84" i="21"/>
  <c r="J91" i="21"/>
  <c r="K98" i="21"/>
  <c r="P90" i="21"/>
  <c r="P85" i="21"/>
  <c r="P83" i="21"/>
  <c r="P92" i="21"/>
  <c r="P102" i="21"/>
  <c r="O229" i="23"/>
  <c r="S230" i="23" s="1"/>
  <c r="X230" i="23" s="1"/>
  <c r="AD264" i="23"/>
  <c r="W52" i="21"/>
  <c r="AH104" i="23"/>
  <c r="AC104" i="23"/>
  <c r="AM105" i="23"/>
  <c r="AM104" i="23"/>
  <c r="AR104" i="23"/>
  <c r="AW104" i="23"/>
  <c r="W256" i="23"/>
  <c r="N51" i="21"/>
  <c r="H77" i="23"/>
  <c r="AP81" i="23"/>
  <c r="AB257" i="23" s="1"/>
  <c r="N53" i="21"/>
  <c r="E57" i="21"/>
  <c r="H84" i="23" s="1"/>
  <c r="G62" i="21"/>
  <c r="M84" i="21"/>
  <c r="O84" i="21" s="1"/>
  <c r="A48" i="13"/>
  <c r="O83" i="23" l="1"/>
  <c r="W50" i="21"/>
  <c r="T264" i="23"/>
  <c r="M102" i="21"/>
  <c r="P53" i="21"/>
  <c r="P51" i="21"/>
  <c r="M98" i="21"/>
  <c r="O98" i="21" s="1"/>
  <c r="M85" i="21"/>
  <c r="O85" i="21" s="1"/>
  <c r="M83" i="21"/>
  <c r="O83" i="21" s="1"/>
  <c r="M99" i="21"/>
  <c r="O99" i="21" s="1"/>
  <c r="M94" i="21"/>
  <c r="O94" i="21" s="1"/>
  <c r="M101" i="21"/>
  <c r="O101" i="21" s="1"/>
  <c r="M92" i="21"/>
  <c r="O92" i="21" s="1"/>
  <c r="M91" i="21"/>
  <c r="O91" i="21" s="1"/>
  <c r="M93" i="21"/>
  <c r="O93" i="21" s="1"/>
  <c r="M90" i="21"/>
  <c r="O90" i="21" s="1"/>
  <c r="M89" i="21"/>
  <c r="O89" i="21" s="1"/>
  <c r="M95" i="21"/>
  <c r="O95" i="21" s="1"/>
  <c r="O102" i="21"/>
  <c r="M88" i="21"/>
  <c r="O88" i="21" s="1"/>
  <c r="M97" i="21"/>
  <c r="O97" i="21" s="1"/>
  <c r="M87" i="21"/>
  <c r="O87" i="21" s="1"/>
  <c r="M100" i="21"/>
  <c r="O100" i="21" s="1"/>
  <c r="M86" i="21"/>
  <c r="O86" i="21" s="1"/>
  <c r="M96" i="21"/>
  <c r="O96" i="21" s="1"/>
  <c r="O238" i="23"/>
  <c r="V238" i="23" s="1"/>
  <c r="M82" i="21"/>
  <c r="AG107" i="23" s="1"/>
  <c r="O82" i="23"/>
  <c r="J47" i="21"/>
  <c r="Q121" i="23"/>
  <c r="X105" i="23"/>
  <c r="O264" i="23"/>
  <c r="AH105" i="23"/>
  <c r="S51" i="21" l="1"/>
  <c r="V51" i="21" s="1"/>
  <c r="R51" i="21"/>
  <c r="R53" i="21"/>
  <c r="S53" i="21"/>
  <c r="V53" i="21" s="1"/>
  <c r="AG78" i="23"/>
  <c r="AG80" i="23"/>
  <c r="AP83" i="23"/>
  <c r="Y56" i="21"/>
  <c r="AN264" i="23"/>
  <c r="X54" i="21"/>
  <c r="O82" i="21"/>
  <c r="X109" i="23" s="1"/>
  <c r="N114" i="23" s="1"/>
  <c r="AC114" i="23" s="1"/>
  <c r="AP82" i="23"/>
  <c r="AI257" i="23" s="1"/>
  <c r="X55" i="21"/>
  <c r="V121" i="23"/>
  <c r="N125" i="23" s="1"/>
  <c r="U125" i="23" s="1"/>
  <c r="J119" i="23"/>
  <c r="K120" i="23"/>
  <c r="J46" i="21"/>
  <c r="O74" i="23" s="1"/>
  <c r="Y89" i="23" s="1"/>
  <c r="O75" i="23"/>
  <c r="K46" i="21"/>
  <c r="K48" i="21" s="1"/>
  <c r="AB109" i="23"/>
  <c r="R114" i="23" s="1"/>
  <c r="AG114" i="23" s="1"/>
  <c r="F9" i="24"/>
  <c r="F8" i="24"/>
  <c r="F7" i="24"/>
  <c r="F6" i="24"/>
  <c r="A4" i="24"/>
  <c r="H4" i="3"/>
  <c r="E4" i="3"/>
  <c r="C4" i="3"/>
  <c r="H3" i="3"/>
  <c r="E3" i="3"/>
  <c r="C3" i="3"/>
  <c r="AP78" i="23" l="1"/>
  <c r="AP80" i="23"/>
  <c r="AS264" i="23"/>
  <c r="W55" i="21"/>
  <c r="AX264" i="23"/>
  <c r="J48" i="21"/>
  <c r="R48" i="21" s="1"/>
  <c r="R57" i="21" s="1"/>
  <c r="AP84" i="23" s="1"/>
  <c r="F258" i="23" s="1"/>
  <c r="AP74" i="23"/>
  <c r="AP75" i="23"/>
  <c r="S48" i="21"/>
  <c r="S74" i="23"/>
  <c r="AC89" i="23" s="1"/>
  <c r="AJ89" i="23"/>
  <c r="F9" i="11"/>
  <c r="F8" i="11"/>
  <c r="F7" i="11"/>
  <c r="F6" i="11"/>
  <c r="W57" i="21" l="1"/>
  <c r="S57" i="21"/>
  <c r="AT84" i="23" s="1"/>
  <c r="Y264" i="23"/>
  <c r="X51" i="21"/>
  <c r="AI264" i="23"/>
  <c r="X53" i="21"/>
  <c r="F260" i="23"/>
  <c r="N277" i="23" s="1"/>
  <c r="AT74" i="23"/>
  <c r="AQ89" i="23"/>
  <c r="O93" i="23" s="1"/>
  <c r="AE93" i="23" s="1"/>
  <c r="F256" i="23"/>
  <c r="A4" i="11"/>
  <c r="C72" i="21" l="1"/>
  <c r="C75" i="21"/>
  <c r="C77" i="21"/>
  <c r="C68" i="21"/>
  <c r="F68" i="21" s="1"/>
  <c r="F70" i="21" s="1"/>
  <c r="C71" i="21"/>
  <c r="C69" i="21"/>
  <c r="C74" i="21"/>
  <c r="C70" i="21"/>
  <c r="C67" i="21"/>
  <c r="E68" i="21" s="1"/>
  <c r="E70" i="21" s="1"/>
  <c r="C76" i="21"/>
  <c r="C73" i="21"/>
  <c r="X57" i="21"/>
  <c r="E66" i="21" s="1"/>
  <c r="Y48" i="21"/>
  <c r="E67" i="21" s="1"/>
  <c r="M256" i="23"/>
  <c r="AU89" i="23"/>
  <c r="S93" i="23" s="1"/>
  <c r="AI93" i="23" s="1"/>
  <c r="G70" i="21" l="1"/>
  <c r="G67" i="21"/>
  <c r="Y57" i="21"/>
  <c r="F66" i="21" s="1"/>
  <c r="G66" i="21" s="1"/>
  <c r="V57" i="21"/>
  <c r="U57" i="21" s="1"/>
  <c r="BC263" i="23" l="1"/>
  <c r="BC84" i="23"/>
  <c r="E71" i="21"/>
  <c r="E72" i="21" s="1"/>
  <c r="H39" i="31" s="1"/>
  <c r="J263" i="23"/>
  <c r="B26" i="3"/>
  <c r="C26" i="3" s="1"/>
  <c r="D26" i="3" s="1"/>
  <c r="E26" i="3" s="1"/>
  <c r="F26" i="3" s="1"/>
  <c r="G26" i="3" s="1"/>
  <c r="F48" i="24" l="1"/>
  <c r="A48" i="24"/>
  <c r="G47" i="24"/>
  <c r="F47" i="11"/>
  <c r="G39" i="31"/>
  <c r="G47" i="11"/>
  <c r="C61" i="21"/>
  <c r="G61" i="21" s="1"/>
  <c r="I277" i="23"/>
  <c r="H47" i="24"/>
  <c r="AB277" i="23" l="1"/>
  <c r="H61" i="21"/>
  <c r="R61" i="21" s="1"/>
  <c r="S3" i="21" l="1"/>
  <c r="C43" i="13" s="1"/>
  <c r="J61" i="21"/>
  <c r="H88" i="23"/>
  <c r="O61" i="21" l="1"/>
  <c r="K61" i="21"/>
  <c r="M61" i="21" s="1"/>
  <c r="AA21" i="21" s="1"/>
  <c r="I129" i="23"/>
  <c r="AA27" i="21" l="1"/>
  <c r="AA26" i="21"/>
  <c r="AA23" i="21"/>
  <c r="Z34" i="21"/>
  <c r="AA38" i="21"/>
  <c r="AA36" i="21"/>
  <c r="AA41" i="21"/>
  <c r="Z30" i="21"/>
  <c r="Z21" i="21"/>
  <c r="Z35" i="21"/>
  <c r="AA30" i="21"/>
  <c r="AA31" i="21"/>
  <c r="AA39" i="21"/>
  <c r="Z27" i="21"/>
  <c r="AA28" i="21"/>
  <c r="Z37" i="21"/>
  <c r="AA33" i="21"/>
  <c r="Z31" i="21"/>
  <c r="AA34" i="21"/>
  <c r="AA22" i="21"/>
  <c r="Z29" i="21"/>
  <c r="AA40" i="21"/>
  <c r="Z26" i="21"/>
  <c r="AA35" i="21"/>
  <c r="Z39" i="21"/>
  <c r="L35" i="31" s="1"/>
  <c r="Z23" i="21"/>
  <c r="AA32" i="21"/>
  <c r="AA24" i="21"/>
  <c r="AA25" i="21"/>
  <c r="Z38" i="21"/>
  <c r="Z22" i="21"/>
  <c r="AA37" i="21"/>
  <c r="L33" i="31" s="1"/>
  <c r="Z41" i="21"/>
  <c r="Z25" i="21"/>
  <c r="Z36" i="21"/>
  <c r="Z28" i="21"/>
  <c r="P61" i="21"/>
  <c r="N61" i="21"/>
  <c r="AA29" i="21"/>
  <c r="Z33" i="21"/>
  <c r="Z40" i="21"/>
  <c r="Z32" i="21"/>
  <c r="Z24" i="21"/>
  <c r="P173" i="23"/>
  <c r="AB173" i="23" s="1"/>
  <c r="L175" i="23" s="1"/>
  <c r="AA175" i="23" s="1"/>
  <c r="H146" i="23"/>
  <c r="H181" i="23"/>
  <c r="P206" i="23"/>
  <c r="AB206" i="23" s="1"/>
  <c r="L208" i="23" s="1"/>
  <c r="AA208" i="23" s="1"/>
  <c r="AN256" i="23"/>
  <c r="AP257" i="23"/>
  <c r="L17" i="31" l="1"/>
  <c r="AC39" i="21"/>
  <c r="F27" i="30" s="1"/>
  <c r="L24" i="31"/>
  <c r="L26" i="31"/>
  <c r="AC29" i="21"/>
  <c r="J25" i="31" s="1"/>
  <c r="AD23" i="21"/>
  <c r="K19" i="31" s="1"/>
  <c r="AD31" i="21"/>
  <c r="K27" i="31" s="1"/>
  <c r="AC41" i="21"/>
  <c r="F29" i="30" s="1"/>
  <c r="AC30" i="21"/>
  <c r="J26" i="31" s="1"/>
  <c r="AE23" i="21"/>
  <c r="H19" i="31" s="1"/>
  <c r="AB35" i="21"/>
  <c r="F31" i="31" s="1"/>
  <c r="AB30" i="21"/>
  <c r="F26" i="31" s="1"/>
  <c r="L21" i="31"/>
  <c r="L34" i="31"/>
  <c r="AE38" i="21"/>
  <c r="G26" i="30" s="1"/>
  <c r="AC35" i="21"/>
  <c r="F23" i="30" s="1"/>
  <c r="AC36" i="21"/>
  <c r="J32" i="31" s="1"/>
  <c r="L29" i="31"/>
  <c r="AB26" i="21"/>
  <c r="F22" i="31" s="1"/>
  <c r="AB24" i="21"/>
  <c r="F20" i="31" s="1"/>
  <c r="AD21" i="21"/>
  <c r="G24" i="11" s="1"/>
  <c r="AB27" i="21"/>
  <c r="F23" i="31" s="1"/>
  <c r="AD24" i="21"/>
  <c r="K20" i="31" s="1"/>
  <c r="AC37" i="21"/>
  <c r="F25" i="30" s="1"/>
  <c r="L25" i="31"/>
  <c r="AE32" i="21"/>
  <c r="H28" i="31" s="1"/>
  <c r="L19" i="31"/>
  <c r="L23" i="31"/>
  <c r="AE26" i="21"/>
  <c r="H22" i="31" s="1"/>
  <c r="L32" i="31"/>
  <c r="L22" i="31"/>
  <c r="L18" i="31"/>
  <c r="AE29" i="21"/>
  <c r="H25" i="31" s="1"/>
  <c r="L27" i="31"/>
  <c r="L30" i="31"/>
  <c r="L37" i="31"/>
  <c r="L36" i="31"/>
  <c r="AE24" i="21"/>
  <c r="H20" i="31" s="1"/>
  <c r="L31" i="31"/>
  <c r="L28" i="31"/>
  <c r="L20" i="31"/>
  <c r="AE25" i="21"/>
  <c r="H21" i="31" s="1"/>
  <c r="AE33" i="21"/>
  <c r="G21" i="30" s="1"/>
  <c r="AE27" i="21"/>
  <c r="H23" i="31" s="1"/>
  <c r="AE30" i="21"/>
  <c r="G18" i="30" s="1"/>
  <c r="AE40" i="21"/>
  <c r="G28" i="30" s="1"/>
  <c r="AC24" i="21"/>
  <c r="J20" i="31" s="1"/>
  <c r="AC31" i="21"/>
  <c r="F19" i="30" s="1"/>
  <c r="AD25" i="21"/>
  <c r="K21" i="31" s="1"/>
  <c r="AD36" i="21"/>
  <c r="K32" i="31" s="1"/>
  <c r="AC25" i="21"/>
  <c r="J21" i="31" s="1"/>
  <c r="AB41" i="21"/>
  <c r="F37" i="31" s="1"/>
  <c r="AB33" i="21"/>
  <c r="F29" i="31" s="1"/>
  <c r="AD33" i="21"/>
  <c r="K29" i="31" s="1"/>
  <c r="AB39" i="21"/>
  <c r="F35" i="31" s="1"/>
  <c r="AD37" i="21"/>
  <c r="K33" i="31" s="1"/>
  <c r="AC32" i="21"/>
  <c r="J28" i="31" s="1"/>
  <c r="AB29" i="21"/>
  <c r="F25" i="31" s="1"/>
  <c r="AD34" i="21"/>
  <c r="K30" i="31" s="1"/>
  <c r="AB25" i="21"/>
  <c r="F21" i="31" s="1"/>
  <c r="AB40" i="21"/>
  <c r="F36" i="31" s="1"/>
  <c r="AB28" i="21"/>
  <c r="F24" i="31" s="1"/>
  <c r="AE21" i="21"/>
  <c r="H17" i="31" s="1"/>
  <c r="AE37" i="21"/>
  <c r="G25" i="30" s="1"/>
  <c r="AD32" i="21"/>
  <c r="K28" i="31" s="1"/>
  <c r="AB36" i="21"/>
  <c r="F32" i="31" s="1"/>
  <c r="AC34" i="21"/>
  <c r="J30" i="31" s="1"/>
  <c r="AD30" i="21"/>
  <c r="K26" i="31" s="1"/>
  <c r="AB38" i="21"/>
  <c r="F34" i="31" s="1"/>
  <c r="AD29" i="21"/>
  <c r="K25" i="31" s="1"/>
  <c r="AB32" i="21"/>
  <c r="F28" i="31" s="1"/>
  <c r="AB37" i="21"/>
  <c r="F33" i="31" s="1"/>
  <c r="AD22" i="21"/>
  <c r="K18" i="31" s="1"/>
  <c r="AB23" i="21"/>
  <c r="F19" i="31" s="1"/>
  <c r="AC26" i="21"/>
  <c r="J22" i="31" s="1"/>
  <c r="AD39" i="21"/>
  <c r="K35" i="31" s="1"/>
  <c r="AB21" i="21"/>
  <c r="F17" i="31" s="1"/>
  <c r="AD41" i="21"/>
  <c r="K37" i="31" s="1"/>
  <c r="AD27" i="21"/>
  <c r="K23" i="31" s="1"/>
  <c r="AE28" i="21"/>
  <c r="H24" i="31" s="1"/>
  <c r="AE34" i="21"/>
  <c r="G22" i="30" s="1"/>
  <c r="AE39" i="21"/>
  <c r="G27" i="30" s="1"/>
  <c r="AE41" i="21"/>
  <c r="G29" i="30" s="1"/>
  <c r="AE36" i="21"/>
  <c r="G24" i="30" s="1"/>
  <c r="AC38" i="21"/>
  <c r="J34" i="31" s="1"/>
  <c r="AC27" i="21"/>
  <c r="J23" i="31" s="1"/>
  <c r="AB31" i="21"/>
  <c r="F27" i="31" s="1"/>
  <c r="AD40" i="21"/>
  <c r="K36" i="31" s="1"/>
  <c r="AC23" i="21"/>
  <c r="J19" i="31" s="1"/>
  <c r="AC28" i="21"/>
  <c r="J24" i="31" s="1"/>
  <c r="AD35" i="21"/>
  <c r="K31" i="31" s="1"/>
  <c r="AD26" i="21"/>
  <c r="K22" i="31" s="1"/>
  <c r="AC22" i="21"/>
  <c r="J18" i="31" s="1"/>
  <c r="AB34" i="21"/>
  <c r="F30" i="31" s="1"/>
  <c r="AD28" i="21"/>
  <c r="K24" i="31" s="1"/>
  <c r="AC40" i="21"/>
  <c r="J36" i="31" s="1"/>
  <c r="AC33" i="21"/>
  <c r="F21" i="30" s="1"/>
  <c r="AB22" i="21"/>
  <c r="F18" i="31" s="1"/>
  <c r="AD38" i="21"/>
  <c r="K34" i="31" s="1"/>
  <c r="AC21" i="21"/>
  <c r="J17" i="31" s="1"/>
  <c r="AE22" i="21"/>
  <c r="H18" i="31" s="1"/>
  <c r="AE31" i="21"/>
  <c r="G19" i="30" s="1"/>
  <c r="AE35" i="21"/>
  <c r="H31" i="31" s="1"/>
  <c r="S61" i="21"/>
  <c r="H25" i="30"/>
  <c r="H27" i="30"/>
  <c r="H9" i="30"/>
  <c r="R257" i="23"/>
  <c r="AF20" i="21" l="1"/>
  <c r="T3" i="21" s="1"/>
  <c r="AG21" i="21"/>
  <c r="Q17" i="31" s="1"/>
  <c r="AG23" i="21"/>
  <c r="Q19" i="31" s="1"/>
  <c r="AG27" i="21"/>
  <c r="Q23" i="31" s="1"/>
  <c r="AG31" i="21"/>
  <c r="Q27" i="31" s="1"/>
  <c r="AG35" i="21"/>
  <c r="Q31" i="31" s="1"/>
  <c r="AG39" i="21"/>
  <c r="Q35" i="31" s="1"/>
  <c r="AG28" i="21"/>
  <c r="Q24" i="31" s="1"/>
  <c r="AG36" i="21"/>
  <c r="Q32" i="31" s="1"/>
  <c r="AG25" i="21"/>
  <c r="Q21" i="31" s="1"/>
  <c r="AG29" i="21"/>
  <c r="Q25" i="31" s="1"/>
  <c r="AG37" i="21"/>
  <c r="Q33" i="31" s="1"/>
  <c r="AG22" i="21"/>
  <c r="Q18" i="31" s="1"/>
  <c r="AG30" i="21"/>
  <c r="Q26" i="31" s="1"/>
  <c r="AG38" i="21"/>
  <c r="Q34" i="31" s="1"/>
  <c r="AG24" i="21"/>
  <c r="Q20" i="31" s="1"/>
  <c r="AG32" i="21"/>
  <c r="Q28" i="31" s="1"/>
  <c r="AG40" i="21"/>
  <c r="Q36" i="31" s="1"/>
  <c r="AG33" i="21"/>
  <c r="Q29" i="31" s="1"/>
  <c r="AG41" i="21"/>
  <c r="Q37" i="31" s="1"/>
  <c r="AG26" i="21"/>
  <c r="Q22" i="31" s="1"/>
  <c r="AG34" i="21"/>
  <c r="Q30" i="31" s="1"/>
  <c r="T61" i="21"/>
  <c r="F46" i="11" s="1"/>
  <c r="J35" i="31"/>
  <c r="H13" i="30"/>
  <c r="F33" i="24"/>
  <c r="J37" i="31"/>
  <c r="E21" i="30"/>
  <c r="H16" i="30"/>
  <c r="F33" i="11"/>
  <c r="F36" i="24"/>
  <c r="H18" i="30"/>
  <c r="G33" i="11"/>
  <c r="F43" i="24"/>
  <c r="F43" i="11"/>
  <c r="G16" i="30"/>
  <c r="F20" i="30"/>
  <c r="J31" i="31"/>
  <c r="F17" i="30"/>
  <c r="F18" i="30"/>
  <c r="G26" i="24"/>
  <c r="G26" i="11"/>
  <c r="F27" i="24"/>
  <c r="G33" i="24"/>
  <c r="E18" i="30"/>
  <c r="G11" i="30"/>
  <c r="H26" i="30"/>
  <c r="H28" i="30"/>
  <c r="F38" i="11"/>
  <c r="H34" i="31"/>
  <c r="G34" i="24"/>
  <c r="G28" i="11"/>
  <c r="E25" i="30"/>
  <c r="G17" i="30"/>
  <c r="H10" i="30"/>
  <c r="K17" i="31"/>
  <c r="H21" i="30"/>
  <c r="G34" i="11"/>
  <c r="F30" i="11"/>
  <c r="G24" i="24"/>
  <c r="F36" i="11"/>
  <c r="G42" i="11"/>
  <c r="F30" i="24"/>
  <c r="H17" i="30"/>
  <c r="H15" i="30"/>
  <c r="F38" i="24"/>
  <c r="J29" i="31"/>
  <c r="E23" i="30"/>
  <c r="F28" i="30"/>
  <c r="H32" i="31"/>
  <c r="J33" i="31"/>
  <c r="G27" i="11"/>
  <c r="G32" i="24"/>
  <c r="F27" i="11"/>
  <c r="F29" i="11"/>
  <c r="F29" i="24"/>
  <c r="F24" i="30"/>
  <c r="G29" i="24"/>
  <c r="G27" i="24"/>
  <c r="G28" i="24"/>
  <c r="E12" i="30"/>
  <c r="E15" i="30"/>
  <c r="E14" i="30"/>
  <c r="G43" i="24"/>
  <c r="E28" i="30"/>
  <c r="H12" i="30"/>
  <c r="G14" i="30"/>
  <c r="G20" i="30"/>
  <c r="H26" i="31"/>
  <c r="G29" i="11"/>
  <c r="F40" i="24"/>
  <c r="G43" i="11"/>
  <c r="H33" i="31"/>
  <c r="F40" i="11"/>
  <c r="G42" i="24"/>
  <c r="F9" i="30"/>
  <c r="E9" i="30"/>
  <c r="G12" i="30"/>
  <c r="E22" i="30"/>
  <c r="H11" i="30"/>
  <c r="H14" i="30"/>
  <c r="H19" i="30"/>
  <c r="H24" i="30"/>
  <c r="H29" i="30"/>
  <c r="G25" i="11"/>
  <c r="F39" i="11"/>
  <c r="F25" i="11"/>
  <c r="F37" i="24"/>
  <c r="G35" i="11"/>
  <c r="E24" i="30"/>
  <c r="E11" i="30"/>
  <c r="E26" i="30"/>
  <c r="F13" i="30"/>
  <c r="F26" i="24"/>
  <c r="H36" i="31"/>
  <c r="H35" i="31"/>
  <c r="H30" i="31"/>
  <c r="H23" i="30"/>
  <c r="F26" i="30"/>
  <c r="H22" i="30"/>
  <c r="H27" i="31"/>
  <c r="H29" i="31"/>
  <c r="G37" i="24"/>
  <c r="E17" i="30"/>
  <c r="F42" i="24"/>
  <c r="F12" i="30"/>
  <c r="F25" i="24"/>
  <c r="G13" i="30"/>
  <c r="G38" i="11"/>
  <c r="G30" i="24"/>
  <c r="F35" i="11"/>
  <c r="G41" i="24"/>
  <c r="F44" i="24"/>
  <c r="F14" i="30"/>
  <c r="H20" i="30"/>
  <c r="G31" i="24"/>
  <c r="A50" i="13"/>
  <c r="J27" i="31"/>
  <c r="F22" i="30"/>
  <c r="E20" i="30"/>
  <c r="G41" i="11"/>
  <c r="G40" i="24"/>
  <c r="H37" i="31"/>
  <c r="G37" i="11"/>
  <c r="F28" i="11"/>
  <c r="F34" i="11"/>
  <c r="E10" i="30"/>
  <c r="F42" i="11"/>
  <c r="G40" i="11"/>
  <c r="G44" i="24"/>
  <c r="F16" i="30"/>
  <c r="G15" i="30"/>
  <c r="F35" i="24"/>
  <c r="G23" i="30"/>
  <c r="G38" i="24"/>
  <c r="E29" i="30"/>
  <c r="F34" i="24"/>
  <c r="G31" i="11"/>
  <c r="G30" i="11"/>
  <c r="G32" i="11"/>
  <c r="E13" i="30"/>
  <c r="E19" i="30"/>
  <c r="F37" i="11"/>
  <c r="F26" i="11"/>
  <c r="E27" i="30"/>
  <c r="F44" i="11"/>
  <c r="G44" i="11"/>
  <c r="F28" i="24"/>
  <c r="F15" i="30"/>
  <c r="G9" i="30"/>
  <c r="F39" i="24"/>
  <c r="F31" i="11"/>
  <c r="F32" i="24"/>
  <c r="F10" i="30"/>
  <c r="F24" i="24"/>
  <c r="G36" i="11"/>
  <c r="G39" i="24"/>
  <c r="G36" i="24"/>
  <c r="G39" i="11"/>
  <c r="E16" i="30"/>
  <c r="F41" i="24"/>
  <c r="G10" i="30"/>
  <c r="G25" i="24"/>
  <c r="G35" i="24"/>
  <c r="F24" i="11"/>
  <c r="F32" i="11"/>
  <c r="F41" i="11"/>
  <c r="F31" i="24"/>
  <c r="F11" i="30"/>
  <c r="J260" i="23"/>
  <c r="R277" i="23" s="1"/>
  <c r="AF277" i="23" s="1"/>
  <c r="AO277" i="23" s="1"/>
  <c r="M258" i="23"/>
  <c r="F46" i="24" l="1"/>
</calcChain>
</file>

<file path=xl/sharedStrings.xml><?xml version="1.0" encoding="utf-8"?>
<sst xmlns="http://schemas.openxmlformats.org/spreadsheetml/2006/main" count="1063" uniqueCount="692">
  <si>
    <r>
      <t xml:space="preserve">CALIBRATION </t>
    </r>
    <r>
      <rPr>
        <b/>
        <sz val="20"/>
        <rFont val="돋움"/>
        <family val="3"/>
        <charset val="129"/>
      </rPr>
      <t>기본정보</t>
    </r>
    <phoneticPr fontId="4" type="noConversion"/>
  </si>
  <si>
    <r>
      <t xml:space="preserve">[1] </t>
    </r>
    <r>
      <rPr>
        <b/>
        <sz val="8"/>
        <rFont val="맑은 고딕"/>
        <family val="3"/>
        <charset val="129"/>
      </rPr>
      <t>교정정보</t>
    </r>
    <r>
      <rPr>
        <b/>
        <sz val="8"/>
        <rFont val="Tahoma"/>
        <family val="2"/>
      </rPr>
      <t/>
    </r>
    <phoneticPr fontId="4" type="noConversion"/>
  </si>
  <si>
    <t>등록번호</t>
    <phoneticPr fontId="4" type="noConversion"/>
  </si>
  <si>
    <r>
      <rPr>
        <sz val="8"/>
        <rFont val="맑은 고딕"/>
        <family val="3"/>
        <charset val="129"/>
      </rPr>
      <t>접수번호</t>
    </r>
    <phoneticPr fontId="4" type="noConversion"/>
  </si>
  <si>
    <r>
      <rPr>
        <sz val="8"/>
        <rFont val="맑은 고딕"/>
        <family val="3"/>
        <charset val="129"/>
      </rPr>
      <t>의뢰기관</t>
    </r>
    <phoneticPr fontId="4" type="noConversion"/>
  </si>
  <si>
    <r>
      <rPr>
        <sz val="8"/>
        <rFont val="맑은 고딕"/>
        <family val="3"/>
        <charset val="129"/>
      </rPr>
      <t>교정일자</t>
    </r>
    <phoneticPr fontId="4" type="noConversion"/>
  </si>
  <si>
    <r>
      <rPr>
        <sz val="8"/>
        <rFont val="맑은 고딕"/>
        <family val="3"/>
        <charset val="129"/>
      </rPr>
      <t>기기명</t>
    </r>
    <phoneticPr fontId="4" type="noConversion"/>
  </si>
  <si>
    <t>교정절차서1</t>
    <phoneticPr fontId="4" type="noConversion"/>
  </si>
  <si>
    <r>
      <rPr>
        <sz val="8"/>
        <rFont val="맑은 고딕"/>
        <family val="3"/>
        <charset val="129"/>
      </rPr>
      <t>제작회사</t>
    </r>
    <phoneticPr fontId="4" type="noConversion"/>
  </si>
  <si>
    <t>교정절차서2</t>
    <phoneticPr fontId="4" type="noConversion"/>
  </si>
  <si>
    <r>
      <rPr>
        <sz val="8"/>
        <rFont val="맑은 고딕"/>
        <family val="3"/>
        <charset val="129"/>
      </rPr>
      <t>형식</t>
    </r>
    <phoneticPr fontId="4" type="noConversion"/>
  </si>
  <si>
    <t>접수확인자</t>
    <phoneticPr fontId="4" type="noConversion"/>
  </si>
  <si>
    <r>
      <rPr>
        <sz val="8"/>
        <rFont val="맑은 고딕"/>
        <family val="3"/>
        <charset val="129"/>
      </rPr>
      <t>기기번호</t>
    </r>
    <phoneticPr fontId="4" type="noConversion"/>
  </si>
  <si>
    <t>인증교정자</t>
    <phoneticPr fontId="4" type="noConversion"/>
  </si>
  <si>
    <t>기술책임자</t>
    <phoneticPr fontId="4" type="noConversion"/>
  </si>
  <si>
    <r>
      <rPr>
        <sz val="8"/>
        <rFont val="맑은 고딕"/>
        <family val="3"/>
        <charset val="129"/>
      </rPr>
      <t>교정주기</t>
    </r>
    <phoneticPr fontId="4" type="noConversion"/>
  </si>
  <si>
    <r>
      <t>KOLAS</t>
    </r>
    <r>
      <rPr>
        <sz val="8"/>
        <rFont val="맑은 고딕"/>
        <family val="3"/>
        <charset val="129"/>
      </rPr>
      <t>유무</t>
    </r>
    <phoneticPr fontId="4" type="noConversion"/>
  </si>
  <si>
    <t>1: KOLAS 성적서
0: 비공인성적서</t>
    <phoneticPr fontId="4" type="noConversion"/>
  </si>
  <si>
    <r>
      <t xml:space="preserve">[2] </t>
    </r>
    <r>
      <rPr>
        <b/>
        <sz val="8"/>
        <rFont val="맑은 고딕"/>
        <family val="3"/>
        <charset val="129"/>
      </rPr>
      <t>교정환경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</si>
  <si>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최저온도</t>
    </r>
    <phoneticPr fontId="4" type="noConversion"/>
  </si>
  <si>
    <t>최저습도</t>
    <phoneticPr fontId="4" type="noConversion"/>
  </si>
  <si>
    <t>최저기압</t>
    <phoneticPr fontId="4" type="noConversion"/>
  </si>
  <si>
    <t>교정장소</t>
    <phoneticPr fontId="4" type="noConversion"/>
  </si>
  <si>
    <t>0: KC00-011 고정표준실
1: 현장교정
4: KC10-244 고정표준실</t>
    <phoneticPr fontId="4" type="noConversion"/>
  </si>
  <si>
    <r>
      <rPr>
        <sz val="8"/>
        <rFont val="맑은 고딕"/>
        <family val="3"/>
        <charset val="129"/>
      </rPr>
      <t>최고온도</t>
    </r>
    <phoneticPr fontId="4" type="noConversion"/>
  </si>
  <si>
    <r>
      <rPr>
        <sz val="8"/>
        <rFont val="맑은 고딕"/>
        <family val="3"/>
        <charset val="129"/>
      </rPr>
      <t>최고습도</t>
    </r>
    <phoneticPr fontId="4" type="noConversion"/>
  </si>
  <si>
    <t>최고기압</t>
    <phoneticPr fontId="4" type="noConversion"/>
  </si>
  <si>
    <r>
      <t xml:space="preserve">[3] </t>
    </r>
    <r>
      <rPr>
        <b/>
        <sz val="8"/>
        <rFont val="맑은 고딕"/>
        <family val="3"/>
        <charset val="129"/>
      </rPr>
      <t>교정방법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소급성서술</t>
    </r>
    <r>
      <rPr>
        <b/>
        <sz val="8"/>
        <rFont val="Tahoma"/>
        <family val="2"/>
      </rPr>
      <t/>
    </r>
    <phoneticPr fontId="4" type="noConversion"/>
  </si>
  <si>
    <r>
      <t xml:space="preserve">[4] </t>
    </r>
    <r>
      <rPr>
        <b/>
        <sz val="8"/>
        <rFont val="맑은 고딕"/>
        <family val="3"/>
        <charset val="129"/>
      </rPr>
      <t>교정에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사용한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표준장비</t>
    </r>
    <r>
      <rPr>
        <b/>
        <sz val="8"/>
        <rFont val="Tahoma"/>
        <family val="2"/>
      </rPr>
      <t xml:space="preserve"> </t>
    </r>
    <r>
      <rPr>
        <b/>
        <sz val="8"/>
        <rFont val="맑은 고딕"/>
        <family val="3"/>
        <charset val="129"/>
      </rPr>
      <t>명세</t>
    </r>
    <r>
      <rPr>
        <b/>
        <sz val="8"/>
        <rFont val="Tahoma"/>
        <family val="2"/>
      </rPr>
      <t/>
    </r>
    <phoneticPr fontId="4" type="noConversion"/>
  </si>
  <si>
    <r>
      <rPr>
        <sz val="8"/>
        <rFont val="맑은 고딕"/>
        <family val="3"/>
        <charset val="129"/>
      </rPr>
      <t>등록번호</t>
    </r>
    <phoneticPr fontId="4" type="noConversion"/>
  </si>
  <si>
    <t>기기명</t>
    <phoneticPr fontId="4" type="noConversion"/>
  </si>
  <si>
    <t>제작회사</t>
    <phoneticPr fontId="4" type="noConversion"/>
  </si>
  <si>
    <t>기기번호</t>
    <phoneticPr fontId="4" type="noConversion"/>
  </si>
  <si>
    <t>차기교정예정일자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</si>
  <si>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</si>
  <si>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>세부분류코드</t>
    <phoneticPr fontId="4" type="noConversion"/>
  </si>
  <si>
    <r>
      <t xml:space="preserve">[5] </t>
    </r>
    <r>
      <rPr>
        <b/>
        <sz val="8"/>
        <rFont val="돋움"/>
        <family val="3"/>
        <charset val="129"/>
      </rPr>
      <t>교정결과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및</t>
    </r>
    <r>
      <rPr>
        <b/>
        <sz val="8"/>
        <rFont val="Tahoma"/>
        <family val="2"/>
      </rPr>
      <t xml:space="preserve"> </t>
    </r>
    <r>
      <rPr>
        <b/>
        <sz val="8"/>
        <rFont val="돋움"/>
        <family val="3"/>
        <charset val="129"/>
      </rPr>
      <t>검토</t>
    </r>
    <phoneticPr fontId="4" type="noConversion"/>
  </si>
  <si>
    <t>전체</t>
    <phoneticPr fontId="4" type="noConversion"/>
  </si>
  <si>
    <t>특이사항</t>
    <phoneticPr fontId="4" type="noConversion"/>
  </si>
  <si>
    <t>PASS</t>
    <phoneticPr fontId="4" type="noConversion"/>
  </si>
  <si>
    <t>FIAL</t>
    <phoneticPr fontId="4" type="noConversion"/>
  </si>
  <si>
    <t>교정자 확인</t>
    <phoneticPr fontId="4" type="noConversion"/>
  </si>
  <si>
    <t>확인전</t>
  </si>
  <si>
    <t>CONDITION</t>
    <phoneticPr fontId="4" type="noConversion"/>
  </si>
  <si>
    <t>SPEC</t>
    <phoneticPr fontId="4" type="noConversion"/>
  </si>
  <si>
    <t>MEASURED VALUE</t>
    <phoneticPr fontId="4" type="noConversion"/>
  </si>
  <si>
    <t>Display</t>
    <phoneticPr fontId="4" type="noConversion"/>
  </si>
  <si>
    <t>분해능단위</t>
    <phoneticPr fontId="4" type="noConversion"/>
  </si>
  <si>
    <t>MIN</t>
    <phoneticPr fontId="4" type="noConversion"/>
  </si>
  <si>
    <t>MAX</t>
    <phoneticPr fontId="4" type="noConversion"/>
  </si>
  <si>
    <t>UNIT</t>
    <phoneticPr fontId="4" type="noConversion"/>
  </si>
  <si>
    <t>CMC_UNIT</t>
    <phoneticPr fontId="4" type="noConversion"/>
  </si>
  <si>
    <t>CMC 검토</t>
    <phoneticPr fontId="4" type="noConversion"/>
  </si>
  <si>
    <t>자유도</t>
  </si>
  <si>
    <t>∞</t>
  </si>
  <si>
    <t>CMC_1</t>
    <phoneticPr fontId="4" type="noConversion"/>
  </si>
  <si>
    <t>CMC_2</t>
  </si>
  <si>
    <t xml:space="preserve"> 성적서발급번호(Certificate No) :</t>
    <phoneticPr fontId="4" type="noConversion"/>
  </si>
  <si>
    <t>CALIBRATION Result</t>
    <phoneticPr fontId="4" type="noConversion"/>
  </si>
  <si>
    <t>부록</t>
    <phoneticPr fontId="4" type="noConversion"/>
  </si>
  <si>
    <t>단위</t>
    <phoneticPr fontId="4" type="noConversion"/>
  </si>
  <si>
    <t>최소눈금</t>
    <phoneticPr fontId="4" type="noConversion"/>
  </si>
  <si>
    <t>CMC</t>
    <phoneticPr fontId="4" type="noConversion"/>
  </si>
  <si>
    <t>1st</t>
    <phoneticPr fontId="4" type="noConversion"/>
  </si>
  <si>
    <t>2nd</t>
    <phoneticPr fontId="4" type="noConversion"/>
  </si>
  <si>
    <t>등록번호</t>
    <phoneticPr fontId="77" type="noConversion"/>
  </si>
  <si>
    <t>기기명(종류)</t>
    <phoneticPr fontId="77" type="noConversion"/>
  </si>
  <si>
    <t>측정값</t>
    <phoneticPr fontId="77" type="noConversion"/>
  </si>
  <si>
    <t>단위</t>
    <phoneticPr fontId="77" type="noConversion"/>
  </si>
  <si>
    <t>보정값</t>
    <phoneticPr fontId="77" type="noConversion"/>
  </si>
  <si>
    <t>불확도 1</t>
    <phoneticPr fontId="77" type="noConversion"/>
  </si>
  <si>
    <t>불확도 단위</t>
    <phoneticPr fontId="77" type="noConversion"/>
  </si>
  <si>
    <t>포함인자</t>
    <phoneticPr fontId="77" type="noConversion"/>
  </si>
  <si>
    <t>판정결과</t>
    <phoneticPr fontId="4" type="noConversion"/>
  </si>
  <si>
    <t>Resolution</t>
    <phoneticPr fontId="4" type="noConversion"/>
  </si>
  <si>
    <t>분해능</t>
    <phoneticPr fontId="4" type="noConversion"/>
  </si>
  <si>
    <t>◆ 측정불확도 추정보고서 ◆</t>
    <phoneticPr fontId="4" type="noConversion"/>
  </si>
  <si>
    <t>환산계수</t>
    <phoneticPr fontId="4" type="noConversion"/>
  </si>
  <si>
    <t>표준편차</t>
    <phoneticPr fontId="4" type="noConversion"/>
  </si>
  <si>
    <t>D</t>
    <phoneticPr fontId="4" type="noConversion"/>
  </si>
  <si>
    <t>|</t>
    <phoneticPr fontId="4" type="noConversion"/>
  </si>
  <si>
    <t>×</t>
    <phoneticPr fontId="4" type="noConversion"/>
  </si>
  <si>
    <t>A6. 자유도 :</t>
    <phoneticPr fontId="4" type="noConversion"/>
  </si>
  <si>
    <t>B2. 표준불확도 :</t>
    <phoneticPr fontId="4" type="noConversion"/>
  </si>
  <si>
    <t>B3. 확률분포 :</t>
    <phoneticPr fontId="4" type="noConversion"/>
  </si>
  <si>
    <t>B4. 감도계수 :</t>
    <phoneticPr fontId="4" type="noConversion"/>
  </si>
  <si>
    <t>B6. 자유도 :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</si>
  <si>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0%로 추정</t>
    </r>
    <phoneticPr fontId="4" type="noConversion"/>
  </si>
  <si>
    <t>C3. 확률분포 :</t>
    <phoneticPr fontId="4" type="noConversion"/>
  </si>
  <si>
    <t>직사각형</t>
    <phoneticPr fontId="4" type="noConversion"/>
  </si>
  <si>
    <t>C4. 감도계수 :</t>
    <phoneticPr fontId="4" type="noConversion"/>
  </si>
  <si>
    <t>C6. 자유도 :</t>
    <phoneticPr fontId="4" type="noConversion"/>
  </si>
  <si>
    <t>D1. 추정값 :</t>
    <phoneticPr fontId="4" type="noConversion"/>
  </si>
  <si>
    <t>D4. 감도계수 :</t>
    <phoneticPr fontId="4" type="noConversion"/>
  </si>
  <si>
    <t>D6. 자유도 :</t>
    <phoneticPr fontId="4" type="noConversion"/>
  </si>
  <si>
    <t>+</t>
    <phoneticPr fontId="4" type="noConversion"/>
  </si>
  <si>
    <t>1회</t>
    <phoneticPr fontId="4" type="noConversion"/>
  </si>
  <si>
    <t xml:space="preserve"> 성적서발급번호(Certificate No) :</t>
    <phoneticPr fontId="4" type="noConversion"/>
  </si>
  <si>
    <t>Spec</t>
    <phoneticPr fontId="4" type="noConversion"/>
  </si>
  <si>
    <t>교정값</t>
    <phoneticPr fontId="4" type="noConversion"/>
  </si>
  <si>
    <t>Decision</t>
    <phoneticPr fontId="4" type="noConversion"/>
  </si>
  <si>
    <t>[Length Calibration]</t>
    <phoneticPr fontId="4" type="noConversion"/>
  </si>
  <si>
    <t>명목값</t>
    <phoneticPr fontId="4" type="noConversion"/>
  </si>
  <si>
    <t>3rd</t>
    <phoneticPr fontId="4" type="noConversion"/>
  </si>
  <si>
    <t>4th</t>
    <phoneticPr fontId="4" type="noConversion"/>
  </si>
  <si>
    <t>5th</t>
    <phoneticPr fontId="4" type="noConversion"/>
  </si>
  <si>
    <t>기준기 교정데이터</t>
    <phoneticPr fontId="4" type="noConversion"/>
  </si>
  <si>
    <t>번호</t>
    <phoneticPr fontId="77" type="noConversion"/>
  </si>
  <si>
    <t>측정위치</t>
    <phoneticPr fontId="77" type="noConversion"/>
  </si>
  <si>
    <t>명목값</t>
    <phoneticPr fontId="77" type="noConversion"/>
  </si>
  <si>
    <t>기준값</t>
    <phoneticPr fontId="77" type="noConversion"/>
  </si>
  <si>
    <t>단위</t>
    <phoneticPr fontId="77" type="noConversion"/>
  </si>
  <si>
    <t>불확도 2</t>
  </si>
  <si>
    <t>비고</t>
    <phoneticPr fontId="4" type="noConversion"/>
  </si>
  <si>
    <t>열팽창계수</t>
    <phoneticPr fontId="77" type="noConversion"/>
  </si>
  <si>
    <t>단위</t>
    <phoneticPr fontId="4" type="noConversion"/>
  </si>
  <si>
    <t>개수</t>
    <phoneticPr fontId="4" type="noConversion"/>
  </si>
  <si>
    <t>교정일자</t>
    <phoneticPr fontId="77" type="noConversion"/>
  </si>
  <si>
    <t>CMC2</t>
    <phoneticPr fontId="4" type="noConversion"/>
  </si>
  <si>
    <r>
      <t>3회</t>
    </r>
    <r>
      <rPr>
        <b/>
        <sz val="9"/>
        <color indexed="9"/>
        <rFont val="굴림"/>
        <family val="3"/>
        <charset val="129"/>
      </rPr>
      <t/>
    </r>
  </si>
  <si>
    <r>
      <t>4회</t>
    </r>
    <r>
      <rPr>
        <b/>
        <sz val="9"/>
        <color indexed="9"/>
        <rFont val="굴림"/>
        <family val="3"/>
        <charset val="129"/>
      </rPr>
      <t/>
    </r>
  </si>
  <si>
    <r>
      <t>5회</t>
    </r>
    <r>
      <rPr>
        <b/>
        <sz val="9"/>
        <color indexed="9"/>
        <rFont val="굴림"/>
        <family val="3"/>
        <charset val="129"/>
      </rPr>
      <t/>
    </r>
  </si>
  <si>
    <t>k</t>
    <phoneticPr fontId="4" type="noConversion"/>
  </si>
  <si>
    <t>α_avr</t>
  </si>
  <si>
    <t>Δα</t>
  </si>
  <si>
    <t>Δt</t>
  </si>
  <si>
    <t>t_avr-20</t>
  </si>
  <si>
    <t>δt</t>
  </si>
  <si>
    <t>최소범위</t>
    <phoneticPr fontId="4" type="noConversion"/>
  </si>
  <si>
    <t>Res. (mm)</t>
    <phoneticPr fontId="4" type="noConversion"/>
  </si>
  <si>
    <t>μm</t>
    <phoneticPr fontId="4" type="noConversion"/>
  </si>
  <si>
    <t>CMC단위</t>
    <phoneticPr fontId="4" type="noConversion"/>
  </si>
  <si>
    <t>열팽창계수차</t>
    <phoneticPr fontId="4" type="noConversion"/>
  </si>
  <si>
    <t>2회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</si>
  <si>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</si>
  <si>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Δt</t>
    <phoneticPr fontId="4" type="noConversion"/>
  </si>
  <si>
    <t>Δα</t>
    <phoneticPr fontId="4" type="noConversion"/>
  </si>
  <si>
    <t>δt</t>
    <phoneticPr fontId="4" type="noConversion"/>
  </si>
  <si>
    <t>1. 교정조건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</si>
  <si>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</si>
  <si>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최대범위</t>
    <phoneticPr fontId="4" type="noConversion"/>
  </si>
  <si>
    <t>분해능</t>
    <phoneticPr fontId="4" type="noConversion"/>
  </si>
  <si>
    <t>단위</t>
    <phoneticPr fontId="4" type="noConversion"/>
  </si>
  <si>
    <t>환산계수</t>
    <phoneticPr fontId="4" type="noConversion"/>
  </si>
  <si>
    <t>Div. (mm)</t>
    <phoneticPr fontId="4" type="noConversion"/>
  </si>
  <si>
    <t>CMC1</t>
    <phoneticPr fontId="4" type="noConversion"/>
  </si>
  <si>
    <r>
      <t>CMC</t>
    </r>
    <r>
      <rPr>
        <b/>
        <sz val="9"/>
        <color indexed="9"/>
        <rFont val="돋움"/>
        <family val="3"/>
        <charset val="129"/>
      </rPr>
      <t>초과</t>
    </r>
    <r>
      <rPr>
        <b/>
        <sz val="9"/>
        <color indexed="9"/>
        <rFont val="Tahoma"/>
        <family val="2"/>
      </rPr>
      <t>?</t>
    </r>
  </si>
  <si>
    <t>FAIL?</t>
  </si>
  <si>
    <t>기준값</t>
    <phoneticPr fontId="4" type="noConversion"/>
  </si>
  <si>
    <t>보정값</t>
    <phoneticPr fontId="4" type="noConversion"/>
  </si>
  <si>
    <t>자리수 맞춤</t>
    <phoneticPr fontId="4" type="noConversion"/>
  </si>
  <si>
    <t>Spec</t>
    <phoneticPr fontId="4" type="noConversion"/>
  </si>
  <si>
    <t>Pass/Fail</t>
    <phoneticPr fontId="4" type="noConversion"/>
  </si>
  <si>
    <t>평균</t>
    <phoneticPr fontId="4" type="noConversion"/>
  </si>
  <si>
    <t>Min</t>
    <phoneticPr fontId="4" type="noConversion"/>
  </si>
  <si>
    <t>Max</t>
    <phoneticPr fontId="4" type="noConversion"/>
  </si>
  <si>
    <t>3. 불확도 계산</t>
    <phoneticPr fontId="4" type="noConversion"/>
  </si>
  <si>
    <t>4. 성적서용</t>
    <phoneticPr fontId="4" type="noConversion"/>
  </si>
  <si>
    <t>입력량</t>
    <phoneticPr fontId="4" type="noConversion"/>
  </si>
  <si>
    <t>요인(값)</t>
    <phoneticPr fontId="4" type="noConversion"/>
  </si>
  <si>
    <t>표준불확도</t>
    <phoneticPr fontId="4" type="noConversion"/>
  </si>
  <si>
    <t>확률분포</t>
    <phoneticPr fontId="4" type="noConversion"/>
  </si>
  <si>
    <t>자유도</t>
    <phoneticPr fontId="4" type="noConversion"/>
  </si>
  <si>
    <t>눈금값</t>
    <phoneticPr fontId="4" type="noConversion"/>
  </si>
  <si>
    <t>표기용</t>
    <phoneticPr fontId="4" type="noConversion"/>
  </si>
  <si>
    <t>A</t>
    <phoneticPr fontId="4" type="noConversion"/>
  </si>
  <si>
    <t>B</t>
    <phoneticPr fontId="4" type="noConversion"/>
  </si>
  <si>
    <t>H</t>
    <phoneticPr fontId="4" type="noConversion"/>
  </si>
  <si>
    <t>mm</t>
    <phoneticPr fontId="4" type="noConversion"/>
  </si>
  <si>
    <t>※ 직사각형 확률분포가 합성표준불확도에 미치는 영향</t>
    <phoneticPr fontId="4" type="noConversion"/>
  </si>
  <si>
    <t>직사각형
분포 성분</t>
    <phoneticPr fontId="4" type="noConversion"/>
  </si>
  <si>
    <t>잔여 기여량</t>
    <phoneticPr fontId="4" type="noConversion"/>
  </si>
  <si>
    <t>주 기여량</t>
    <phoneticPr fontId="4" type="noConversion"/>
  </si>
  <si>
    <t>k</t>
    <phoneticPr fontId="4" type="noConversion"/>
  </si>
  <si>
    <t>측정불확도</t>
    <phoneticPr fontId="4" type="noConversion"/>
  </si>
  <si>
    <t>선택</t>
    <phoneticPr fontId="4" type="noConversion"/>
  </si>
  <si>
    <t>분해능</t>
    <phoneticPr fontId="4" type="noConversion"/>
  </si>
  <si>
    <t>신뢰수준(%)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</si>
  <si>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0</t>
    </r>
    <phoneticPr fontId="4" type="noConversion"/>
  </si>
  <si>
    <t>단위</t>
    <phoneticPr fontId="4" type="noConversion"/>
  </si>
  <si>
    <t>계산(mm)</t>
    <phoneticPr fontId="4" type="noConversion"/>
  </si>
  <si>
    <t>mm</t>
    <phoneticPr fontId="4" type="noConversion"/>
  </si>
  <si>
    <t>mm</t>
    <phoneticPr fontId="4" type="noConversion"/>
  </si>
  <si>
    <t>불확도</t>
    <phoneticPr fontId="4" type="noConversion"/>
  </si>
  <si>
    <t>CMC</t>
    <phoneticPr fontId="4" type="noConversion"/>
  </si>
  <si>
    <t>Number</t>
    <phoneticPr fontId="4" type="noConversion"/>
  </si>
  <si>
    <t>소수점</t>
    <phoneticPr fontId="4" type="noConversion"/>
  </si>
  <si>
    <t>Format</t>
    <phoneticPr fontId="4" type="noConversion"/>
  </si>
  <si>
    <t>자리수</t>
    <phoneticPr fontId="4" type="noConversion"/>
  </si>
  <si>
    <t>0</t>
    <phoneticPr fontId="4" type="noConversion"/>
  </si>
  <si>
    <t>0.0</t>
    <phoneticPr fontId="4" type="noConversion"/>
  </si>
  <si>
    <t>0.00</t>
    <phoneticPr fontId="4" type="noConversion"/>
  </si>
  <si>
    <t>0.000</t>
    <phoneticPr fontId="4" type="noConversion"/>
  </si>
  <si>
    <t>0.000 0</t>
    <phoneticPr fontId="4" type="noConversion"/>
  </si>
  <si>
    <t>0.000 00</t>
    <phoneticPr fontId="4" type="noConversion"/>
  </si>
  <si>
    <t>0.000 000</t>
    <phoneticPr fontId="4" type="noConversion"/>
  </si>
  <si>
    <t>0.000 000 0</t>
    <phoneticPr fontId="4" type="noConversion"/>
  </si>
  <si>
    <t>0.000 000 00</t>
    <phoneticPr fontId="4" type="noConversion"/>
  </si>
  <si>
    <t>0.000 000 000</t>
    <phoneticPr fontId="4" type="noConversion"/>
  </si>
  <si>
    <t>최소범위 (mm)</t>
    <phoneticPr fontId="4" type="noConversion"/>
  </si>
  <si>
    <t>최대범위 (mm)</t>
    <phoneticPr fontId="4" type="noConversion"/>
  </si>
  <si>
    <t>눈금값</t>
    <phoneticPr fontId="4" type="noConversion"/>
  </si>
  <si>
    <t>보정값</t>
    <phoneticPr fontId="4" type="noConversion"/>
  </si>
  <si>
    <t>(mm)</t>
    <phoneticPr fontId="4" type="noConversion"/>
  </si>
  <si>
    <t>Nominal</t>
    <phoneticPr fontId="4" type="noConversion"/>
  </si>
  <si>
    <t>Correction</t>
    <phoneticPr fontId="4" type="noConversion"/>
  </si>
  <si>
    <t>1. 교정결과</t>
    <phoneticPr fontId="4" type="noConversion"/>
  </si>
  <si>
    <t>(mm)</t>
    <phoneticPr fontId="4" type="noConversion"/>
  </si>
  <si>
    <t>■ 측정기본정보</t>
    <phoneticPr fontId="4" type="noConversion"/>
  </si>
  <si>
    <t>■ 반복 측정 결과</t>
    <phoneticPr fontId="4" type="noConversion"/>
  </si>
  <si>
    <t>평균값</t>
    <phoneticPr fontId="4" type="noConversion"/>
  </si>
  <si>
    <t>3회</t>
    <phoneticPr fontId="4" type="noConversion"/>
  </si>
  <si>
    <t>4회</t>
    <phoneticPr fontId="4" type="noConversion"/>
  </si>
  <si>
    <t>5회</t>
    <phoneticPr fontId="4" type="noConversion"/>
  </si>
  <si>
    <t>mm</t>
    <phoneticPr fontId="4" type="noConversion"/>
  </si>
  <si>
    <t>■ 수학적 모델</t>
    <phoneticPr fontId="4" type="noConversion"/>
  </si>
  <si>
    <t>:</t>
    <phoneticPr fontId="4" type="noConversion"/>
  </si>
  <si>
    <r>
      <t>l</t>
    </r>
    <r>
      <rPr>
        <i/>
        <vertAlign val="subscript"/>
        <sz val="10"/>
        <rFont val="Times New Roman"/>
        <family val="1"/>
      </rPr>
      <t>x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</si>
  <si>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phoneticPr fontId="4" type="noConversion"/>
  </si>
  <si>
    <r>
      <t>l</t>
    </r>
    <r>
      <rPr>
        <vertAlign val="subscript"/>
        <sz val="10"/>
        <rFont val="Times New Roman"/>
        <family val="1"/>
      </rPr>
      <t>0</t>
    </r>
    <phoneticPr fontId="4" type="noConversion"/>
  </si>
  <si>
    <t>■ 합성표준불확도 관계식</t>
    <phoneticPr fontId="4" type="noConversion"/>
  </si>
  <si>
    <t>※ 감도계수</t>
    <phoneticPr fontId="4" type="noConversion"/>
  </si>
  <si>
    <t>■ 불확도 총괄표</t>
    <phoneticPr fontId="4" type="noConversion"/>
  </si>
  <si>
    <t>추정값</t>
    <phoneticPr fontId="4" type="noConversion"/>
  </si>
  <si>
    <t>감도계수</t>
    <phoneticPr fontId="4" type="noConversion"/>
  </si>
  <si>
    <t>불확도 기여량</t>
    <phoneticPr fontId="4" type="noConversion"/>
  </si>
  <si>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</si>
  <si>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t>C</t>
    <phoneticPr fontId="4" type="noConversion"/>
  </si>
  <si>
    <t>E</t>
    <phoneticPr fontId="4" type="noConversion"/>
  </si>
  <si>
    <t>F</t>
    <phoneticPr fontId="4" type="noConversion"/>
  </si>
  <si>
    <t>G</t>
    <phoneticPr fontId="4" type="noConversion"/>
  </si>
  <si>
    <t>I</t>
    <phoneticPr fontId="4" type="noConversion"/>
  </si>
  <si>
    <t>■ 표준불확도 성분의 계산</t>
    <phoneticPr fontId="4" type="noConversion"/>
  </si>
  <si>
    <t>※ 표준불확도 성분은 우연효과로 인한 불확도로써 A형 평가를 통하여 구한다.</t>
    <phoneticPr fontId="4" type="noConversion"/>
  </si>
  <si>
    <r>
      <t>반복측정한</t>
    </r>
    <r>
      <rPr>
        <sz val="10"/>
        <rFont val="맑은 고딕"/>
        <family val="1"/>
        <scheme val="major"/>
      </rPr>
      <t xml:space="preserve"> 결과의 </t>
    </r>
    <r>
      <rPr>
        <sz val="10"/>
        <rFont val="맑은 고딕"/>
        <family val="3"/>
        <charset val="129"/>
        <scheme val="major"/>
      </rPr>
      <t>표준편차(</t>
    </r>
    <r>
      <rPr>
        <i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)를 구하고 이 값을 측정횟수의 제곱근으로 나누어 구한다.</t>
    </r>
    <phoneticPr fontId="4" type="noConversion"/>
  </si>
  <si>
    <t>A2. 표준불확도 :</t>
    <phoneticPr fontId="4" type="noConversion"/>
  </si>
  <si>
    <r>
      <rPr>
        <sz val="10"/>
        <rFont val="맑은 고딕"/>
        <family val="3"/>
        <charset val="129"/>
      </rPr>
      <t>※</t>
    </r>
    <r>
      <rPr>
        <sz val="10"/>
        <rFont val="Times New Roman"/>
        <family val="1"/>
      </rPr>
      <t xml:space="preserve"> </t>
    </r>
    <r>
      <rPr>
        <sz val="10"/>
        <rFont val="맑은 고딕"/>
        <family val="3"/>
        <charset val="129"/>
      </rPr>
      <t>표준편차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s</t>
    </r>
    <r>
      <rPr>
        <sz val="10"/>
        <rFont val="Times New Roman"/>
        <family val="1"/>
      </rPr>
      <t>) :</t>
    </r>
    <phoneticPr fontId="4" type="noConversion"/>
  </si>
  <si>
    <t>μm</t>
    <phoneticPr fontId="4" type="noConversion"/>
  </si>
  <si>
    <t>s</t>
    <phoneticPr fontId="4" type="noConversion"/>
  </si>
  <si>
    <t>=</t>
    <phoneticPr fontId="4" type="noConversion"/>
  </si>
  <si>
    <t>A4. 감도계수 :</t>
    <phoneticPr fontId="4" type="noConversion"/>
  </si>
  <si>
    <t>B1. 추정값 :</t>
    <phoneticPr fontId="4" type="noConversion"/>
  </si>
  <si>
    <t>C1. 추정값 :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</si>
  <si>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</si>
  <si>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C2. 표준불확도 :</t>
    <phoneticPr fontId="4" type="noConversion"/>
  </si>
  <si>
    <t>※ 불확도 전파법칙에 의한 수식 :</t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</si>
  <si>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>=</t>
    </r>
    <phoneticPr fontId="4" type="noConversion"/>
  </si>
  <si>
    <r>
      <t>1.0×10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</si>
  <si>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</si>
  <si>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불확도 전파법칙에 의한 수식에 열팽창계수의 불확도 값을 대입하여 계산하면</t>
    <phoneticPr fontId="4" type="noConversion"/>
  </si>
  <si>
    <r>
      <t>0.41×10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</si>
  <si>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℃·μm</t>
    <phoneticPr fontId="4" type="noConversion"/>
  </si>
  <si>
    <t>C5. 불확도 기여량 :</t>
    <phoneticPr fontId="4" type="noConversion"/>
  </si>
  <si>
    <t>D2. 표준불확도 :</t>
    <phoneticPr fontId="4" type="noConversion"/>
  </si>
  <si>
    <r>
      <t xml:space="preserve">※ 불확도 전파법칙에 의한 수식 : </t>
    </r>
    <r>
      <rPr>
        <i/>
        <sz val="10"/>
        <rFont val="Times New Roman"/>
        <family val="1"/>
      </rPr>
      <t>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=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r>
      <rPr>
        <i/>
        <sz val="10"/>
        <rFont val="Times New Roman"/>
        <family val="1"/>
      </rPr>
      <t xml:space="preserve"> + u</t>
    </r>
    <r>
      <rPr>
        <i/>
        <vertAlign val="superscript"/>
        <sz val="10"/>
        <rFont val="Times New Roman"/>
        <family val="1"/>
      </rPr>
      <t>2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phoneticPr fontId="4" type="noConversion"/>
  </si>
  <si>
    <r>
      <t xml:space="preserve">※ 열팽창계수의 불확도 값 :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</t>
    </r>
    <r>
      <rPr>
        <sz val="10"/>
        <rFont val="맑은 고딕"/>
        <family val="3"/>
        <charset val="129"/>
        <scheme val="major"/>
      </rPr>
      <t xml:space="preserve"> = 0.58×10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</si>
  <si>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D3. 확률분포 :</t>
    <phoneticPr fontId="4" type="noConversion"/>
  </si>
  <si>
    <t>E1. 추정값 :</t>
    <phoneticPr fontId="4" type="noConversion"/>
  </si>
  <si>
    <t>E2. 표준불확도 :</t>
    <phoneticPr fontId="4" type="noConversion"/>
  </si>
  <si>
    <t>E3. 확률분포 :</t>
    <phoneticPr fontId="4" type="noConversion"/>
  </si>
  <si>
    <t>E4. 감도계수 :</t>
    <phoneticPr fontId="4" type="noConversion"/>
  </si>
  <si>
    <t>E5. 불확도 기여량 :</t>
    <phoneticPr fontId="4" type="noConversion"/>
  </si>
  <si>
    <t>E6. 자유도 :</t>
    <phoneticPr fontId="4" type="noConversion"/>
  </si>
  <si>
    <t>F1. 추정값 :</t>
    <phoneticPr fontId="4" type="noConversion"/>
  </si>
  <si>
    <t>F2. 표준불확도 :</t>
    <phoneticPr fontId="4" type="noConversion"/>
  </si>
  <si>
    <t>F3. 확률분포 :</t>
    <phoneticPr fontId="4" type="noConversion"/>
  </si>
  <si>
    <t>F4. 감도계수 :</t>
    <phoneticPr fontId="4" type="noConversion"/>
  </si>
  <si>
    <t>F5. 불확도 기여량 :</t>
    <phoneticPr fontId="4" type="noConversion"/>
  </si>
  <si>
    <t>F6. 자유도 :</t>
    <phoneticPr fontId="4" type="noConversion"/>
  </si>
  <si>
    <t>G1. 추정값 :</t>
    <phoneticPr fontId="4" type="noConversion"/>
  </si>
  <si>
    <t>G2. 표준불확도 :</t>
    <phoneticPr fontId="4" type="noConversion"/>
  </si>
  <si>
    <t>G3. 확률분포 :</t>
    <phoneticPr fontId="4" type="noConversion"/>
  </si>
  <si>
    <t>G4. 감도계수 :</t>
    <phoneticPr fontId="4" type="noConversion"/>
  </si>
  <si>
    <t>G5. 불확도 기여량 :</t>
    <phoneticPr fontId="4" type="noConversion"/>
  </si>
  <si>
    <t>1 ×</t>
    <phoneticPr fontId="4" type="noConversion"/>
  </si>
  <si>
    <t>G6. 자유도 :</t>
    <phoneticPr fontId="4" type="noConversion"/>
  </si>
  <si>
    <t>H1. 추정값 :</t>
    <phoneticPr fontId="4" type="noConversion"/>
  </si>
  <si>
    <t>H2. 표준불확도 :</t>
    <phoneticPr fontId="4" type="noConversion"/>
  </si>
  <si>
    <t>H3. 확률분포 :</t>
    <phoneticPr fontId="4" type="noConversion"/>
  </si>
  <si>
    <t>H4. 감도계수 :</t>
    <phoneticPr fontId="4" type="noConversion"/>
  </si>
  <si>
    <t>H5. 불확도 기여량 :</t>
    <phoneticPr fontId="4" type="noConversion"/>
  </si>
  <si>
    <t>H6. 자유도 :</t>
    <phoneticPr fontId="4" type="noConversion"/>
  </si>
  <si>
    <t>■ 합성표준불확도 계산</t>
    <phoneticPr fontId="4" type="noConversion"/>
  </si>
  <si>
    <t>■ 유효자유도</t>
    <phoneticPr fontId="4" type="noConversion"/>
  </si>
  <si>
    <t>※ 합성표준불확도를 구성하는 입력변수 중에서 직사각형 확률분포를 가지는 한 개 또는 두 개의 표준불확도 성분이</t>
    <phoneticPr fontId="4" type="noConversion"/>
  </si>
  <si>
    <t>전체의 대부분을 차지하는 경우가 아닌 경우, 유효자유도 계산 결과 값을 이용하여 t 분포표에서 신뢰수준 약 95%에</t>
    <phoneticPr fontId="4" type="noConversion"/>
  </si>
  <si>
    <r>
      <t xml:space="preserve">해당하는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값을 찾아서 계산한다.</t>
    </r>
    <phoneticPr fontId="4" type="noConversion"/>
  </si>
  <si>
    <r>
      <t>U</t>
    </r>
    <r>
      <rPr>
        <sz val="10"/>
        <rFont val="Times New Roman"/>
        <family val="1"/>
      </rPr>
      <t xml:space="preserve"> = </t>
    </r>
    <r>
      <rPr>
        <i/>
        <sz val="10"/>
        <rFont val="Times New Roman"/>
        <family val="1"/>
      </rPr>
      <t>k</t>
    </r>
    <r>
      <rPr>
        <sz val="10"/>
        <rFont val="Times New Roman"/>
        <family val="1"/>
      </rPr>
      <t xml:space="preserve"> × 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Times New Roman"/>
        <family val="1"/>
      </rPr>
      <t xml:space="preserve"> = </t>
    </r>
    <phoneticPr fontId="4" type="noConversion"/>
  </si>
  <si>
    <t>×</t>
  </si>
  <si>
    <t>≒</t>
    <phoneticPr fontId="4" type="noConversion"/>
  </si>
  <si>
    <t>전체의 대부분을 차지하는 경우, 주된 성분에 대한 잔여 성분의 크기가 0.3보다 작은지 점검한다.</t>
    <phoneticPr fontId="4" type="noConversion"/>
  </si>
  <si>
    <t>● 교정료 계산</t>
    <phoneticPr fontId="4" type="noConversion"/>
  </si>
  <si>
    <t>조건 1</t>
    <phoneticPr fontId="4" type="noConversion"/>
  </si>
  <si>
    <t>조건 2</t>
    <phoneticPr fontId="4" type="noConversion"/>
  </si>
  <si>
    <t>기본수수료</t>
    <phoneticPr fontId="4" type="noConversion"/>
  </si>
  <si>
    <t>추가수수료</t>
    <phoneticPr fontId="4" type="noConversion"/>
  </si>
  <si>
    <t>추가길이</t>
    <phoneticPr fontId="4" type="noConversion"/>
  </si>
  <si>
    <t>교정점(최대)</t>
    <phoneticPr fontId="4" type="noConversion"/>
  </si>
  <si>
    <t>교정점(추가)</t>
    <phoneticPr fontId="4" type="noConversion"/>
  </si>
  <si>
    <t>인치?</t>
    <phoneticPr fontId="4" type="noConversion"/>
  </si>
  <si>
    <t>교정점추가</t>
    <phoneticPr fontId="4" type="noConversion"/>
  </si>
  <si>
    <t>소계</t>
    <phoneticPr fontId="4" type="noConversion"/>
  </si>
  <si>
    <t>합계</t>
    <phoneticPr fontId="4" type="noConversion"/>
  </si>
  <si>
    <t>mm 이하</t>
    <phoneticPr fontId="4" type="noConversion"/>
  </si>
  <si>
    <t>※ 교정포인트를 늘려달라는 업체 요구가 증가 함에 따라, 교정점 추가분을 적용하였음.</t>
    <phoneticPr fontId="4" type="noConversion"/>
  </si>
  <si>
    <t>인치의 경우 기본수수료에서 80% 추가함.</t>
    <phoneticPr fontId="4" type="noConversion"/>
  </si>
  <si>
    <t>※ 5회 측정한 표준편차가 0 일 때, 최소한 분해능 1눈금의 차이는 있을 수 있다고 추정하여 다음과 같이 계산한다. (이 내용은 KOLAS 평가시 제외)</t>
    <phoneticPr fontId="4" type="noConversion"/>
  </si>
  <si>
    <t>d</t>
    <phoneticPr fontId="4" type="noConversion"/>
  </si>
  <si>
    <r>
      <t>B</t>
    </r>
    <r>
      <rPr>
        <i/>
        <vertAlign val="subscript"/>
        <sz val="10"/>
        <rFont val="Times New Roman"/>
        <family val="1"/>
      </rPr>
      <t>x</t>
    </r>
    <phoneticPr fontId="4" type="noConversion"/>
  </si>
  <si>
    <t>A1. 추정값 :</t>
    <phoneticPr fontId="4" type="noConversion"/>
  </si>
  <si>
    <t>A3. 확률분포 :</t>
    <phoneticPr fontId="4" type="noConversion"/>
  </si>
  <si>
    <t>기준기명</t>
    <phoneticPr fontId="4" type="noConversion"/>
  </si>
  <si>
    <t>명목값</t>
    <phoneticPr fontId="4" type="noConversion"/>
  </si>
  <si>
    <t>단위</t>
    <phoneticPr fontId="4" type="noConversion"/>
  </si>
  <si>
    <t>교정값</t>
    <phoneticPr fontId="4" type="noConversion"/>
  </si>
  <si>
    <t>사용블록 #1</t>
    <phoneticPr fontId="4" type="noConversion"/>
  </si>
  <si>
    <t>사용블록 #2</t>
  </si>
  <si>
    <t>사용블록 #3</t>
  </si>
  <si>
    <t>사용블록 #4</t>
  </si>
  <si>
    <t>사용블록 #5</t>
  </si>
  <si>
    <t>블록교정값 #1</t>
    <phoneticPr fontId="4" type="noConversion"/>
  </si>
  <si>
    <t>블록교정값 #2</t>
  </si>
  <si>
    <t>블록교정값 #3</t>
  </si>
  <si>
    <t>블록교정값 #4</t>
  </si>
  <si>
    <t>블록교정값 #5</t>
  </si>
  <si>
    <t>열팽창계수</t>
    <phoneticPr fontId="4" type="noConversion"/>
  </si>
  <si>
    <t>불확도 단위</t>
    <phoneticPr fontId="4" type="noConversion"/>
  </si>
  <si>
    <t>간섭무늬
간격 (a)</t>
    <phoneticPr fontId="4" type="noConversion"/>
  </si>
  <si>
    <t>간섭무늬
굴곡(b)</t>
    <phoneticPr fontId="4" type="noConversion"/>
  </si>
  <si>
    <t>간섭무늬개수
1차</t>
    <phoneticPr fontId="4" type="noConversion"/>
  </si>
  <si>
    <t>간섭무늬개수
2차</t>
    <phoneticPr fontId="4" type="noConversion"/>
  </si>
  <si>
    <t>간섭무늬개수
3차</t>
    <phoneticPr fontId="4" type="noConversion"/>
  </si>
  <si>
    <t>간섭무늬개수
4차</t>
    <phoneticPr fontId="4" type="noConversion"/>
  </si>
  <si>
    <r>
      <t>t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</si>
  <si>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확장불확도 1-1</t>
    <phoneticPr fontId="4" type="noConversion"/>
  </si>
  <si>
    <t>확장불확도 1-2</t>
    <phoneticPr fontId="4" type="noConversion"/>
  </si>
  <si>
    <t>확장불확도 2-1</t>
    <phoneticPr fontId="4" type="noConversion"/>
  </si>
  <si>
    <t>확장불확도 2-2</t>
    <phoneticPr fontId="4" type="noConversion"/>
  </si>
  <si>
    <t>확장불확도 3-1</t>
    <phoneticPr fontId="4" type="noConversion"/>
  </si>
  <si>
    <t>확장불확도 3-2</t>
    <phoneticPr fontId="4" type="noConversion"/>
  </si>
  <si>
    <t>확장불확도 4-1</t>
    <phoneticPr fontId="4" type="noConversion"/>
  </si>
  <si>
    <t>확장불확도 4-2</t>
    <phoneticPr fontId="4" type="noConversion"/>
  </si>
  <si>
    <t>확장불확도 5-1</t>
    <phoneticPr fontId="4" type="noConversion"/>
  </si>
  <si>
    <t>확장불확도 5-2</t>
    <phoneticPr fontId="4" type="noConversion"/>
  </si>
  <si>
    <t>※ 게이지 블록 결합에 의한 불확도 계산</t>
    <phoneticPr fontId="4" type="noConversion"/>
  </si>
  <si>
    <t>블록 1</t>
    <phoneticPr fontId="4" type="noConversion"/>
  </si>
  <si>
    <t>블록 2</t>
  </si>
  <si>
    <t>블록 3</t>
  </si>
  <si>
    <t>블록 4</t>
  </si>
  <si>
    <t>블록 5</t>
  </si>
  <si>
    <t>밀착 불확도 합( k=1)</t>
    <phoneticPr fontId="4" type="noConversion"/>
  </si>
  <si>
    <t>결합수</t>
    <phoneticPr fontId="4" type="noConversion"/>
  </si>
  <si>
    <t>상관관계 불확도 수식</t>
    <phoneticPr fontId="4" type="noConversion"/>
  </si>
  <si>
    <t>결합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</si>
  <si>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</si>
  <si>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∞</t>
    <phoneticPr fontId="4" type="noConversion"/>
  </si>
  <si>
    <t>평행도</t>
    <phoneticPr fontId="4" type="noConversion"/>
  </si>
  <si>
    <t>J</t>
    <phoneticPr fontId="4" type="noConversion"/>
  </si>
  <si>
    <t>정규</t>
    <phoneticPr fontId="4" type="noConversion"/>
  </si>
  <si>
    <t>K</t>
    <phoneticPr fontId="4" type="noConversion"/>
  </si>
  <si>
    <t>합성표준</t>
    <phoneticPr fontId="4" type="noConversion"/>
  </si>
  <si>
    <t>2. 평면도 교정결과</t>
    <phoneticPr fontId="4" type="noConversion"/>
  </si>
  <si>
    <t>3. 평행도 교정결과</t>
    <phoneticPr fontId="4" type="noConversion"/>
  </si>
  <si>
    <t>4. 눈금 교정결과</t>
    <phoneticPr fontId="4" type="noConversion"/>
  </si>
  <si>
    <t>측정위치</t>
  </si>
  <si>
    <t>a</t>
  </si>
  <si>
    <t>b</t>
  </si>
  <si>
    <t>평면도 (μm)</t>
  </si>
  <si>
    <t>1차</t>
  </si>
  <si>
    <t>2차</t>
  </si>
  <si>
    <t>3차</t>
  </si>
  <si>
    <t>4차</t>
  </si>
  <si>
    <t>평행도 (μm)</t>
  </si>
  <si>
    <t>스핀들</t>
  </si>
  <si>
    <t>앤빌</t>
  </si>
  <si>
    <t>합계</t>
  </si>
  <si>
    <t>평행도</t>
  </si>
  <si>
    <t>요인</t>
    <phoneticPr fontId="4" type="noConversion"/>
  </si>
  <si>
    <t>추정값</t>
    <phoneticPr fontId="4" type="noConversion"/>
  </si>
  <si>
    <t>나눔수</t>
    <phoneticPr fontId="4" type="noConversion"/>
  </si>
  <si>
    <t>불확도기여량</t>
    <phoneticPr fontId="4" type="noConversion"/>
  </si>
  <si>
    <t>기준기(길이)</t>
    <phoneticPr fontId="4" type="noConversion"/>
  </si>
  <si>
    <t>기준기(결합)</t>
    <phoneticPr fontId="4" type="noConversion"/>
  </si>
  <si>
    <t>지시값</t>
    <phoneticPr fontId="4" type="noConversion"/>
  </si>
  <si>
    <t>평균열팽창계수</t>
    <phoneticPr fontId="4" type="noConversion"/>
  </si>
  <si>
    <t>/℃</t>
    <phoneticPr fontId="4" type="noConversion"/>
  </si>
  <si>
    <t>/℃</t>
    <phoneticPr fontId="4" type="noConversion"/>
  </si>
  <si>
    <t>℃·μm</t>
    <phoneticPr fontId="4" type="noConversion"/>
  </si>
  <si>
    <t>온도차</t>
    <phoneticPr fontId="4" type="noConversion"/>
  </si>
  <si>
    <t>℃</t>
    <phoneticPr fontId="4" type="noConversion"/>
  </si>
  <si>
    <t>/℃·μm</t>
    <phoneticPr fontId="4" type="noConversion"/>
  </si>
  <si>
    <t>μm</t>
    <phoneticPr fontId="4" type="noConversion"/>
  </si>
  <si>
    <t>/℃</t>
    <phoneticPr fontId="4" type="noConversion"/>
  </si>
  <si>
    <t>/℃·μm</t>
    <phoneticPr fontId="4" type="noConversion"/>
  </si>
  <si>
    <t>μm</t>
    <phoneticPr fontId="4" type="noConversion"/>
  </si>
  <si>
    <t>2차항</t>
    <phoneticPr fontId="4" type="noConversion"/>
  </si>
  <si>
    <t>정규</t>
    <phoneticPr fontId="4" type="noConversion"/>
  </si>
  <si>
    <r>
      <t>B</t>
    </r>
    <r>
      <rPr>
        <vertAlign val="subscript"/>
        <sz val="9"/>
        <rFont val="맑은 고딕"/>
        <family val="3"/>
        <charset val="129"/>
        <scheme val="major"/>
      </rPr>
      <t>x</t>
    </r>
    <phoneticPr fontId="4" type="noConversion"/>
  </si>
  <si>
    <t>mm</t>
    <phoneticPr fontId="4" type="noConversion"/>
  </si>
  <si>
    <t>■ 평면도측정 결과</t>
    <phoneticPr fontId="4" type="noConversion"/>
  </si>
  <si>
    <t>측정면</t>
    <phoneticPr fontId="4" type="noConversion"/>
  </si>
  <si>
    <t>간섭무늬 (목측)</t>
    <phoneticPr fontId="4" type="noConversion"/>
  </si>
  <si>
    <t>단색광원
파장 (μm)</t>
    <phoneticPr fontId="4" type="noConversion"/>
  </si>
  <si>
    <t>평면도 (μm)</t>
    <phoneticPr fontId="4" type="noConversion"/>
  </si>
  <si>
    <t>간격 (a)</t>
    <phoneticPr fontId="4" type="noConversion"/>
  </si>
  <si>
    <t>휨량 (b)</t>
    <phoneticPr fontId="4" type="noConversion"/>
  </si>
  <si>
    <t>앤빌</t>
    <phoneticPr fontId="4" type="noConversion"/>
  </si>
  <si>
    <t>스핀들</t>
    <phoneticPr fontId="4" type="noConversion"/>
  </si>
  <si>
    <t>■ 평행도측정 결과</t>
    <phoneticPr fontId="4" type="noConversion"/>
  </si>
  <si>
    <t>간섭무늬 개수</t>
    <phoneticPr fontId="4" type="noConversion"/>
  </si>
  <si>
    <t>최대값
(μm)</t>
    <phoneticPr fontId="4" type="noConversion"/>
  </si>
  <si>
    <t>옵티컬 패러렐1</t>
  </si>
  <si>
    <t>옵티컬 패러렐2</t>
  </si>
  <si>
    <t>옵티컬 패러렐3</t>
  </si>
  <si>
    <t>옵티컬 패러렐4</t>
  </si>
  <si>
    <t>외측 마이크로미터 지시값</t>
    <phoneticPr fontId="4" type="noConversion"/>
  </si>
  <si>
    <t>표준온도에서 외측 마이크로미터의 보정값</t>
    <phoneticPr fontId="4" type="noConversion"/>
  </si>
  <si>
    <t>게이지 블록의 교정값</t>
    <phoneticPr fontId="4" type="noConversion"/>
  </si>
  <si>
    <t>외측 마이크로미터의 지시값</t>
    <phoneticPr fontId="4" type="noConversion"/>
  </si>
  <si>
    <t>게이지 블록의 명목값</t>
    <phoneticPr fontId="4" type="noConversion"/>
  </si>
  <si>
    <t>외측 마이크로미터와 게이지 블록의 평균열팽창계수</t>
    <phoneticPr fontId="4" type="noConversion"/>
  </si>
  <si>
    <t>외측 마이크로미터와 게이지 블록의 온도차이</t>
    <phoneticPr fontId="4" type="noConversion"/>
  </si>
  <si>
    <t>외측 마이크로미터와 게이지 블록의 열팽창계수 차이</t>
    <phoneticPr fontId="4" type="noConversion"/>
  </si>
  <si>
    <t>외측 마이크로미터와 게이지 블록의 평균 온도값과 기준온도와의 차</t>
    <phoneticPr fontId="4" type="noConversion"/>
  </si>
  <si>
    <t>외측 마이크로미터의 분해능 한계에 대한 보정값 (기대값=0)</t>
    <phoneticPr fontId="4" type="noConversion"/>
  </si>
  <si>
    <t>기하학적 효과에 대한 보정값 (기대값=0)</t>
    <phoneticPr fontId="4" type="noConversion"/>
  </si>
  <si>
    <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</si>
  <si>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x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</si>
  <si>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(</t>
    </r>
    <r>
      <rPr>
        <i/>
        <sz val="10"/>
        <rFont val="Times New Roman"/>
        <family val="1"/>
      </rPr>
      <t>c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)</t>
    </r>
    <phoneticPr fontId="4" type="noConversion"/>
  </si>
  <si>
    <r>
      <t>|</t>
    </r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i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y</t>
    </r>
    <r>
      <rPr>
        <sz val="10"/>
        <rFont val="Times New Roman"/>
        <family val="1"/>
      </rPr>
      <t>)|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</si>
  <si>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(</t>
    </r>
    <r>
      <rPr>
        <vertAlign val="subscript"/>
        <sz val="10"/>
        <rFont val="바탕"/>
        <family val="1"/>
        <charset val="129"/>
      </rPr>
      <t>길이</t>
    </r>
    <r>
      <rPr>
        <vertAlign val="subscript"/>
        <sz val="10"/>
        <rFont val="Times New Roman"/>
        <family val="1"/>
      </rPr>
      <t>)</t>
    </r>
    <phoneticPr fontId="4" type="noConversion"/>
  </si>
  <si>
    <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Times New Roman"/>
        <family val="1"/>
      </rPr>
      <t>(</t>
    </r>
    <r>
      <rPr>
        <vertAlign val="subscript"/>
        <sz val="10"/>
        <rFont val="바탕"/>
        <family val="1"/>
        <charset val="129"/>
      </rPr>
      <t>결합</t>
    </r>
    <r>
      <rPr>
        <vertAlign val="subscript"/>
        <sz val="10"/>
        <rFont val="Times New Roman"/>
        <family val="1"/>
      </rPr>
      <t>)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</si>
  <si>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</si>
  <si>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</si>
  <si>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t>L</t>
    <phoneticPr fontId="4" type="noConversion"/>
  </si>
  <si>
    <r>
      <t xml:space="preserve">※ </t>
    </r>
    <r>
      <rPr>
        <i/>
        <sz val="10"/>
        <rFont val="Times New Roman"/>
        <family val="1"/>
      </rPr>
      <t>l</t>
    </r>
    <r>
      <rPr>
        <vertAlign val="subscript"/>
        <sz val="10"/>
        <rFont val="맑은 고딕"/>
        <family val="3"/>
        <charset val="129"/>
        <scheme val="minor"/>
      </rPr>
      <t>0</t>
    </r>
    <r>
      <rPr>
        <sz val="10"/>
        <rFont val="맑은 고딕"/>
        <family val="3"/>
        <charset val="129"/>
        <scheme val="minor"/>
      </rPr>
      <t>는 외측 마이크로미터의 지시값이며, 단위는 mm 이다.</t>
    </r>
    <phoneticPr fontId="4" type="noConversion"/>
  </si>
  <si>
    <r>
      <rPr>
        <b/>
        <sz val="10"/>
        <rFont val="맑은 고딕"/>
        <family val="1"/>
        <scheme val="major"/>
      </rPr>
      <t>1</t>
    </r>
    <r>
      <rPr>
        <b/>
        <sz val="10"/>
        <rFont val="맑은 고딕"/>
        <family val="3"/>
        <charset val="129"/>
        <scheme val="major"/>
      </rPr>
      <t xml:space="preserve">. 게이지 블록 교정값의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sz val="10"/>
        <rFont val="Times New Roman"/>
        <family val="1"/>
      </rPr>
      <t>)</t>
    </r>
    <phoneticPr fontId="4" type="noConversion"/>
  </si>
  <si>
    <t>μm =</t>
    <phoneticPr fontId="4" type="noConversion"/>
  </si>
  <si>
    <t>A5. 불확도 기여량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</si>
  <si>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sz val="10"/>
        <rFont val="Times New Roman"/>
        <family val="1"/>
      </rPr>
      <t>)=</t>
    </r>
    <r>
      <rPr>
        <sz val="10"/>
        <rFont val="바탕"/>
        <family val="1"/>
        <charset val="129"/>
      </rPr>
      <t>∞</t>
    </r>
    <phoneticPr fontId="4" type="noConversion"/>
  </si>
  <si>
    <r>
      <t>가</t>
    </r>
    <r>
      <rPr>
        <b/>
        <sz val="10"/>
        <rFont val="맑은 고딕"/>
        <family val="1"/>
        <scheme val="major"/>
      </rPr>
      <t>)</t>
    </r>
    <r>
      <rPr>
        <b/>
        <sz val="10"/>
        <rFont val="맑은 고딕"/>
        <family val="3"/>
        <charset val="129"/>
        <scheme val="major"/>
      </rPr>
      <t xml:space="preserve"> 게이지 블록 길이 상관관계의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맑은 고딕"/>
        <family val="3"/>
        <charset val="129"/>
        <scheme val="major"/>
      </rPr>
      <t>(길이)</t>
    </r>
    <r>
      <rPr>
        <b/>
        <sz val="10"/>
        <rFont val="Times New Roman"/>
        <family val="1"/>
      </rPr>
      <t>)</t>
    </r>
    <phoneticPr fontId="4" type="noConversion"/>
  </si>
  <si>
    <r>
      <t xml:space="preserve">nm (신뢰수준 약 95 %, </t>
    </r>
    <r>
      <rPr>
        <i/>
        <sz val="10"/>
        <rFont val="Times New Roman"/>
        <family val="1"/>
      </rPr>
      <t>k</t>
    </r>
    <r>
      <rPr>
        <sz val="10"/>
        <rFont val="맑은 고딕"/>
        <family val="3"/>
        <charset val="129"/>
        <scheme val="minor"/>
      </rPr>
      <t>=2) 이므로</t>
    </r>
    <phoneticPr fontId="4" type="noConversion"/>
  </si>
  <si>
    <r>
      <t>(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inor"/>
      </rPr>
      <t>는 게이지 블록의 길이이며, 단위는 mm이다.)</t>
    </r>
    <phoneticPr fontId="4" type="noConversion"/>
  </si>
  <si>
    <t xml:space="preserve">※ 게이지 블록을 밀착하는 경우 공통적인 계통오차의 상관 관계를 가지고 있다. </t>
    <phoneticPr fontId="4" type="noConversion"/>
  </si>
  <si>
    <t>mm의 교정시 사용한 게이지 블록은</t>
    <phoneticPr fontId="4" type="noConversion"/>
  </si>
  <si>
    <t>,</t>
    <phoneticPr fontId="4" type="noConversion"/>
  </si>
  <si>
    <t>이다.</t>
    <phoneticPr fontId="4" type="noConversion"/>
  </si>
  <si>
    <t>각 각의 길이의 불확도를 구하면</t>
    <phoneticPr fontId="4" type="noConversion"/>
  </si>
  <si>
    <r>
      <t>(</t>
    </r>
    <r>
      <rPr>
        <i/>
        <sz val="10"/>
        <rFont val="맑은 고딕"/>
        <family val="3"/>
        <charset val="129"/>
        <scheme val="minor"/>
      </rPr>
      <t>k</t>
    </r>
    <r>
      <rPr>
        <sz val="10"/>
        <rFont val="맑은 고딕"/>
        <family val="3"/>
        <charset val="129"/>
        <scheme val="minor"/>
      </rPr>
      <t>=1)</t>
    </r>
    <phoneticPr fontId="4" type="noConversion"/>
  </si>
  <si>
    <t>아래의 불확도 전파법칙식으로 계산 하면 다음과 같다.</t>
    <phoneticPr fontId="4" type="noConversion"/>
  </si>
  <si>
    <t>길이 상관관계의 표준불확도 =</t>
    <phoneticPr fontId="4" type="noConversion"/>
  </si>
  <si>
    <t>B5. 불확도 기여량 :</t>
    <phoneticPr fontId="4" type="noConversion"/>
  </si>
  <si>
    <t>기준기</t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</si>
  <si>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s</t>
    </r>
    <phoneticPr fontId="4" type="noConversion"/>
  </si>
  <si>
    <t>-</t>
    <phoneticPr fontId="4" type="noConversion"/>
  </si>
  <si>
    <r>
      <t>l</t>
    </r>
    <r>
      <rPr>
        <vertAlign val="subscript"/>
        <sz val="9"/>
        <color theme="0" tint="-0.499984740745262"/>
        <rFont val="맑은 고딕"/>
        <family val="3"/>
        <charset val="129"/>
        <scheme val="major"/>
      </rPr>
      <t>s(길이)</t>
    </r>
    <phoneticPr fontId="4" type="noConversion"/>
  </si>
  <si>
    <r>
      <t>l</t>
    </r>
    <r>
      <rPr>
        <vertAlign val="subscript"/>
        <sz val="9"/>
        <color theme="0" tint="-0.499984740745262"/>
        <rFont val="맑은 고딕"/>
        <family val="3"/>
        <charset val="129"/>
        <scheme val="major"/>
      </rPr>
      <t>s(결합)</t>
    </r>
    <phoneticPr fontId="4" type="noConversion"/>
  </si>
  <si>
    <t>-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</si>
  <si>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</si>
  <si>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</si>
  <si>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</t>
    </r>
    <phoneticPr fontId="4" type="noConversion"/>
  </si>
  <si>
    <r>
      <rPr>
        <sz val="10"/>
        <rFont val="맑은 고딕"/>
        <family val="3"/>
        <charset val="129"/>
        <scheme val="minor"/>
      </rP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</rPr>
      <t xml:space="preserve"> μm</t>
    </r>
    <phoneticPr fontId="4" type="noConversion"/>
  </si>
  <si>
    <t>|</t>
    <phoneticPr fontId="4" type="noConversion"/>
  </si>
  <si>
    <t>nm</t>
    <phoneticPr fontId="4" type="noConversion"/>
  </si>
  <si>
    <t>=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</si>
  <si>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맑은 고딕"/>
        <family val="3"/>
        <charset val="129"/>
        <scheme val="major"/>
      </rPr>
      <t>(길이)</t>
    </r>
    <r>
      <rPr>
        <sz val="10"/>
        <rFont val="Times New Roman"/>
        <family val="1"/>
      </rPr>
      <t>)=</t>
    </r>
    <r>
      <rPr>
        <sz val="10"/>
        <rFont val="바탕"/>
        <family val="1"/>
        <charset val="129"/>
      </rPr>
      <t>∞</t>
    </r>
    <phoneticPr fontId="4" type="noConversion"/>
  </si>
  <si>
    <r>
      <rPr>
        <b/>
        <sz val="10"/>
        <rFont val="맑은 고딕"/>
        <family val="1"/>
        <scheme val="major"/>
      </rPr>
      <t>나)</t>
    </r>
    <r>
      <rPr>
        <b/>
        <sz val="10"/>
        <rFont val="맑은 고딕"/>
        <family val="3"/>
        <charset val="129"/>
        <scheme val="major"/>
      </rPr>
      <t xml:space="preserve"> 결합에 의한 길이변화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s</t>
    </r>
    <r>
      <rPr>
        <b/>
        <vertAlign val="subscript"/>
        <sz val="10"/>
        <rFont val="맑은 고딕"/>
        <family val="3"/>
        <charset val="129"/>
        <scheme val="major"/>
      </rPr>
      <t>(결합)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</si>
  <si>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s</t>
    </r>
    <r>
      <rPr>
        <vertAlign val="subscript"/>
        <sz val="10"/>
        <rFont val="맑은 고딕"/>
        <family val="3"/>
        <charset val="129"/>
        <scheme val="major"/>
      </rPr>
      <t>(결합)</t>
    </r>
    <r>
      <rPr>
        <sz val="10"/>
        <rFont val="Times New Roman"/>
        <family val="1"/>
      </rPr>
      <t>)=</t>
    </r>
    <r>
      <rPr>
        <sz val="10"/>
        <rFont val="바탕"/>
        <family val="1"/>
        <charset val="129"/>
      </rPr>
      <t>∞</t>
    </r>
    <phoneticPr fontId="4" type="noConversion"/>
  </si>
  <si>
    <t>D5. 불확도 기여도 :</t>
    <phoneticPr fontId="4" type="noConversion"/>
  </si>
  <si>
    <r>
      <rPr>
        <i/>
        <sz val="10"/>
        <rFont val="Times New Roman"/>
        <family val="1"/>
      </rPr>
      <t>ν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 xml:space="preserve">) = 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</si>
  <si>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 × 0.41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</si>
  <si>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r>
      <t>※ 각 열팽창계수에 대한 상대불확도(</t>
    </r>
    <r>
      <rPr>
        <i/>
        <sz val="10"/>
        <rFont val="맑은 고딕"/>
        <family val="3"/>
        <charset val="129"/>
        <scheme val="major"/>
      </rPr>
      <t>R</t>
    </r>
    <r>
      <rPr>
        <sz val="10"/>
        <rFont val="맑은 고딕"/>
        <family val="3"/>
        <charset val="129"/>
        <scheme val="major"/>
      </rPr>
      <t>)를 10 %로 추정하여 자유도를 계산하면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</si>
  <si>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μm/℃×</t>
    </r>
    <phoneticPr fontId="4" type="noConversion"/>
  </si>
  <si>
    <t>일치 한다고 추정하여 직사각형 확률분포를 적용하여 계산하면,</t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</si>
  <si>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μm℃ × 0.82 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</t>
    </r>
    <phoneticPr fontId="4" type="noConversion"/>
  </si>
  <si>
    <t>I1. 추정값 :</t>
    <phoneticPr fontId="4" type="noConversion"/>
  </si>
  <si>
    <t>I2. 표준불확도 :</t>
    <phoneticPr fontId="4" type="noConversion"/>
  </si>
  <si>
    <t>I3. 확률분포 :</t>
    <phoneticPr fontId="4" type="noConversion"/>
  </si>
  <si>
    <t>I4. 감도계수 :</t>
    <phoneticPr fontId="4" type="noConversion"/>
  </si>
  <si>
    <t>I5. 불확도 기여량 :</t>
    <phoneticPr fontId="4" type="noConversion"/>
  </si>
  <si>
    <t>I6. 자유도 :</t>
    <phoneticPr fontId="4" type="noConversion"/>
  </si>
  <si>
    <t>J1. 추정값 :</t>
    <phoneticPr fontId="4" type="noConversion"/>
  </si>
  <si>
    <t>J2. 표준불확도 :</t>
    <phoneticPr fontId="4" type="noConversion"/>
  </si>
  <si>
    <t>※ 외측 마이크로미터 측정면의 평행도에 의해 오차가 발생할 수 있고 측정면의 평행도가 다음과 같을 때,</t>
    <phoneticPr fontId="4" type="noConversion"/>
  </si>
  <si>
    <t>평행도에 직사각형 확률분포를 적용하여 계산하면</t>
    <phoneticPr fontId="4" type="noConversion"/>
  </si>
  <si>
    <t>※ 평행도 :</t>
    <phoneticPr fontId="4" type="noConversion"/>
  </si>
  <si>
    <t>J3. 확률분포 :</t>
    <phoneticPr fontId="4" type="noConversion"/>
  </si>
  <si>
    <t>J4. 감도계수 :</t>
    <phoneticPr fontId="4" type="noConversion"/>
  </si>
  <si>
    <t>J5. 불확도 기여량 :</t>
    <phoneticPr fontId="4" type="noConversion"/>
  </si>
  <si>
    <t>J6. 자유도 :</t>
    <phoneticPr fontId="4" type="noConversion"/>
  </si>
  <si>
    <r>
      <t xml:space="preserve">9.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Δα</t>
    </r>
    <r>
      <rPr>
        <b/>
        <sz val="10"/>
        <rFont val="Times New Roman"/>
        <family val="1"/>
      </rPr>
      <t>)</t>
    </r>
    <r>
      <rPr>
        <b/>
        <sz val="10"/>
        <rFont val="맑은 고딕"/>
        <family val="3"/>
        <charset val="129"/>
        <scheme val="major"/>
      </rPr>
      <t xml:space="preserve"> 와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Times New Roman"/>
        <family val="1"/>
      </rPr>
      <t>)</t>
    </r>
    <r>
      <rPr>
        <b/>
        <sz val="10"/>
        <rFont val="맑은 고딕"/>
        <family val="3"/>
        <charset val="129"/>
        <scheme val="major"/>
      </rPr>
      <t xml:space="preserve"> 에 의한 표준 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(2차항)</t>
    </r>
    <phoneticPr fontId="4" type="noConversion"/>
  </si>
  <si>
    <t>K1. 추정값 :</t>
    <phoneticPr fontId="4" type="noConversion"/>
  </si>
  <si>
    <t>K2. 표준불확도 :</t>
    <phoneticPr fontId="4" type="noConversion"/>
  </si>
  <si>
    <r>
      <t xml:space="preserve">※ 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=0</t>
    </r>
    <r>
      <rPr>
        <sz val="10"/>
        <rFont val="맑은 고딕"/>
        <family val="3"/>
        <charset val="129"/>
        <scheme val="major"/>
      </rPr>
      <t xml:space="preserve"> 인 경우에는 위의 식들에서 각각 u(δt) 의 감도계수를 0으로 만드므로 2차항을 고려하여야 한다.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</si>
  <si>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sz val="10"/>
        <rFont val="맑은 고딕"/>
        <family val="3"/>
        <charset val="129"/>
        <scheme val="minor"/>
      </rPr>
      <t>2차항</t>
    </r>
    <r>
      <rPr>
        <sz val="10"/>
        <rFont val="Times New Roman"/>
        <family val="1"/>
      </rPr>
      <t>)</t>
    </r>
    <phoneticPr fontId="4" type="noConversion"/>
  </si>
  <si>
    <r>
      <t>0.82×10</t>
    </r>
    <r>
      <rPr>
        <vertAlign val="superscript"/>
        <sz val="10"/>
        <rFont val="맑은 고딕"/>
        <family val="3"/>
        <charset val="129"/>
        <scheme val="minor"/>
      </rPr>
      <t>-6</t>
    </r>
    <r>
      <rPr>
        <sz val="10"/>
        <rFont val="맑은 고딕"/>
        <family val="3"/>
        <charset val="129"/>
        <scheme val="minor"/>
      </rPr>
      <t>/℃</t>
    </r>
    <phoneticPr fontId="4" type="noConversion"/>
  </si>
  <si>
    <t>×</t>
    <phoneticPr fontId="4" type="noConversion"/>
  </si>
  <si>
    <t>μm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</si>
  <si>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phoneticPr fontId="4" type="noConversion"/>
  </si>
  <si>
    <t>K3. 확률분포 :</t>
    <phoneticPr fontId="4" type="noConversion"/>
  </si>
  <si>
    <t>K4. 감도계수 :</t>
    <phoneticPr fontId="4" type="noConversion"/>
  </si>
  <si>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 =</t>
    </r>
    <phoneticPr fontId="4" type="noConversion"/>
  </si>
  <si>
    <t>K5. 불확도 기여량 :</t>
    <phoneticPr fontId="4" type="noConversion"/>
  </si>
  <si>
    <r>
      <t xml:space="preserve">※ </t>
    </r>
    <r>
      <rPr>
        <i/>
        <sz val="10"/>
        <rFont val="Times New Roman"/>
        <family val="1"/>
      </rPr>
      <t>Δα</t>
    </r>
    <r>
      <rPr>
        <sz val="10"/>
        <rFont val="Times New Roman"/>
        <family val="1"/>
      </rPr>
      <t>=0</t>
    </r>
    <r>
      <rPr>
        <sz val="10"/>
        <rFont val="맑은 고딕"/>
        <family val="3"/>
        <charset val="129"/>
        <scheme val="major"/>
      </rPr>
      <t xml:space="preserve"> 이 아닌 경우는 고려 할 필요가 없음.</t>
    </r>
    <phoneticPr fontId="4" type="noConversion"/>
  </si>
  <si>
    <r>
      <t>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 xml:space="preserve"> μm ×</t>
    </r>
    <phoneticPr fontId="4" type="noConversion"/>
  </si>
  <si>
    <t>K6. 자유도 :</t>
    <phoneticPr fontId="4" type="noConversion"/>
  </si>
  <si>
    <t>μm</t>
  </si>
  <si>
    <t>비율이 0.3보다 작으면 직사각형 확률분포를 적용하여 반너비의 비율을 구하고 사다리꼴 분포에 해당하는</t>
    <phoneticPr fontId="4" type="noConversion"/>
  </si>
  <si>
    <t>추가 50 mm 마다 20 % 추가</t>
    <phoneticPr fontId="4" type="noConversion"/>
  </si>
  <si>
    <t>교정점 10 Point 를 1 Range로 간주하였음.</t>
    <phoneticPr fontId="4" type="noConversion"/>
  </si>
  <si>
    <t>1 Point 추가시 10% 추가함.</t>
    <phoneticPr fontId="4" type="noConversion"/>
  </si>
  <si>
    <r>
      <t>u</t>
    </r>
    <r>
      <rPr>
        <b/>
        <vertAlign val="superscript"/>
        <sz val="9"/>
        <color indexed="9"/>
        <rFont val="맑은 고딕"/>
        <family val="3"/>
        <charset val="129"/>
        <scheme val="major"/>
      </rPr>
      <t>4</t>
    </r>
    <r>
      <rPr>
        <b/>
        <sz val="9"/>
        <color indexed="9"/>
        <rFont val="맑은 고딕"/>
        <family val="3"/>
        <charset val="129"/>
        <scheme val="major"/>
      </rPr>
      <t>/ν</t>
    </r>
    <phoneticPr fontId="4" type="noConversion"/>
  </si>
  <si>
    <t>사용블록</t>
    <phoneticPr fontId="4" type="noConversion"/>
  </si>
  <si>
    <t>평면도 사용?</t>
    <phoneticPr fontId="4" type="noConversion"/>
  </si>
  <si>
    <t>평행도 사용?</t>
    <phoneticPr fontId="4" type="noConversion"/>
  </si>
  <si>
    <t>● 평면도 교정결과</t>
    <phoneticPr fontId="4" type="noConversion"/>
  </si>
  <si>
    <t>● 평행도 교정결과</t>
    <phoneticPr fontId="4" type="noConversion"/>
  </si>
  <si>
    <t>평행도</t>
    <phoneticPr fontId="4" type="noConversion"/>
  </si>
  <si>
    <t>※ 평행도가 0 일 때, 최소한 분해능 1눈금의 차이는 있을 수 있다고 추정하여 다음과 같이 계산한다. (이 내용은 KOLAS 평가시 제외)</t>
    <phoneticPr fontId="4" type="noConversion"/>
  </si>
  <si>
    <t>● 눈금교정결과</t>
    <phoneticPr fontId="4" type="noConversion"/>
  </si>
  <si>
    <t>● Flatness Calibration Result</t>
    <phoneticPr fontId="4" type="noConversion"/>
  </si>
  <si>
    <t>● Parallelism Calibration Result</t>
    <phoneticPr fontId="4" type="noConversion"/>
  </si>
  <si>
    <t>Spindle</t>
    <phoneticPr fontId="4" type="noConversion"/>
  </si>
  <si>
    <t>Anvil</t>
    <phoneticPr fontId="4" type="noConversion"/>
  </si>
  <si>
    <t>Parallelism</t>
    <phoneticPr fontId="4" type="noConversion"/>
  </si>
  <si>
    <t>● Accuracy Calibration Result</t>
    <phoneticPr fontId="4" type="noConversion"/>
  </si>
  <si>
    <r>
      <rPr>
        <b/>
        <sz val="10"/>
        <rFont val="맑은 고딕"/>
        <family val="1"/>
        <scheme val="major"/>
      </rPr>
      <t>2</t>
    </r>
    <r>
      <rPr>
        <b/>
        <sz val="10"/>
        <rFont val="맑은 고딕"/>
        <family val="3"/>
        <charset val="129"/>
        <scheme val="major"/>
      </rPr>
      <t xml:space="preserve">. 마이크로미터 눈금 읽음값의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x</t>
    </r>
    <r>
      <rPr>
        <b/>
        <sz val="10"/>
        <rFont val="Times New Roman"/>
        <family val="1"/>
      </rPr>
      <t>)</t>
    </r>
    <phoneticPr fontId="4" type="noConversion"/>
  </si>
  <si>
    <t>※ 마이크로미터와 게이지 블록의 평균 열팽창계수 :</t>
    <phoneticPr fontId="4" type="noConversion"/>
  </si>
  <si>
    <t>※ 열평형 상태에서 교정실의 온도가 변화할 경우 교정대상기기와 기준기의 온도에 변화가 발생하고, 이 때 교정대상기기와</t>
    <phoneticPr fontId="4" type="noConversion"/>
  </si>
  <si>
    <r>
      <t xml:space="preserve">※ 마이크로미터와 게이지 블록의 열팽창계수 차이 : </t>
    </r>
    <r>
      <rPr>
        <i/>
        <sz val="10"/>
        <rFont val="Times New Roman"/>
        <family val="1"/>
      </rPr>
      <t>Δα</t>
    </r>
    <r>
      <rPr>
        <sz val="10"/>
        <rFont val="맑은 고딕"/>
        <family val="3"/>
        <charset val="129"/>
        <scheme val="major"/>
      </rPr>
      <t xml:space="preserve"> = (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 xml:space="preserve"> - </t>
    </r>
    <r>
      <rPr>
        <i/>
        <sz val="10"/>
        <rFont val="Times New Roman"/>
        <family val="1"/>
      </rPr>
      <t>α</t>
    </r>
    <r>
      <rPr>
        <i/>
        <vertAlign val="subscript"/>
        <sz val="10"/>
        <rFont val="Times New Roman"/>
        <family val="1"/>
      </rPr>
      <t>s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</si>
  <si>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t>P</t>
    <phoneticPr fontId="4" type="noConversion"/>
  </si>
  <si>
    <t>명목값</t>
    <phoneticPr fontId="4" type="noConversion"/>
  </si>
  <si>
    <r>
      <t xml:space="preserve">※ 상대불확도 </t>
    </r>
    <r>
      <rPr>
        <i/>
        <sz val="10"/>
        <rFont val="Times New Roman"/>
        <family val="1"/>
      </rPr>
      <t>R</t>
    </r>
    <r>
      <rPr>
        <sz val="10"/>
        <rFont val="맑은 고딕"/>
        <family val="3"/>
        <charset val="129"/>
        <scheme val="major"/>
      </rPr>
      <t xml:space="preserve"> : 20%로 추정</t>
    </r>
    <phoneticPr fontId="4" type="noConversion"/>
  </si>
  <si>
    <t>■ 측정불확도</t>
    <phoneticPr fontId="4" type="noConversion"/>
  </si>
  <si>
    <r>
      <rPr>
        <b/>
        <sz val="20"/>
        <rFont val="돋움"/>
        <family val="3"/>
        <charset val="129"/>
      </rPr>
      <t>◆</t>
    </r>
    <r>
      <rPr>
        <b/>
        <sz val="20"/>
        <rFont val="Tahoma"/>
        <family val="2"/>
      </rPr>
      <t xml:space="preserve"> RAWDATA </t>
    </r>
    <r>
      <rPr>
        <b/>
        <sz val="20"/>
        <rFont val="돋움"/>
        <family val="3"/>
        <charset val="129"/>
      </rPr>
      <t>◆</t>
    </r>
    <phoneticPr fontId="4" type="noConversion"/>
  </si>
  <si>
    <r>
      <rPr>
        <b/>
        <sz val="9"/>
        <color indexed="9"/>
        <rFont val="돋움"/>
        <family val="3"/>
        <charset val="129"/>
      </rPr>
      <t>등록번호</t>
    </r>
    <phoneticPr fontId="4" type="noConversion"/>
  </si>
  <si>
    <r>
      <rPr>
        <b/>
        <sz val="9"/>
        <color indexed="9"/>
        <rFont val="돋움"/>
        <family val="3"/>
        <charset val="129"/>
      </rPr>
      <t>교정번호</t>
    </r>
    <phoneticPr fontId="4" type="noConversion"/>
  </si>
  <si>
    <r>
      <rPr>
        <b/>
        <sz val="9"/>
        <color indexed="9"/>
        <rFont val="돋움"/>
        <family val="3"/>
        <charset val="129"/>
      </rPr>
      <t>교정자</t>
    </r>
    <phoneticPr fontId="4" type="noConversion"/>
  </si>
  <si>
    <r>
      <rPr>
        <b/>
        <sz val="9"/>
        <color indexed="9"/>
        <rFont val="돋움"/>
        <family val="3"/>
        <charset val="129"/>
      </rPr>
      <t>기기번호</t>
    </r>
    <phoneticPr fontId="4" type="noConversion"/>
  </si>
  <si>
    <r>
      <rPr>
        <b/>
        <sz val="9"/>
        <color indexed="9"/>
        <rFont val="돋움"/>
        <family val="3"/>
        <charset val="129"/>
      </rPr>
      <t>교정일자</t>
    </r>
    <phoneticPr fontId="4" type="noConversion"/>
  </si>
  <si>
    <r>
      <rPr>
        <b/>
        <sz val="9"/>
        <color indexed="9"/>
        <rFont val="돋움"/>
        <family val="3"/>
        <charset val="129"/>
      </rPr>
      <t>기술책임자</t>
    </r>
    <phoneticPr fontId="4" type="noConversion"/>
  </si>
  <si>
    <r>
      <rPr>
        <b/>
        <sz val="9"/>
        <color indexed="9"/>
        <rFont val="돋움"/>
        <family val="3"/>
        <charset val="129"/>
      </rPr>
      <t>최대범위</t>
    </r>
    <phoneticPr fontId="4" type="noConversion"/>
  </si>
  <si>
    <r>
      <rPr>
        <b/>
        <sz val="9"/>
        <color indexed="9"/>
        <rFont val="돋움"/>
        <family val="3"/>
        <charset val="129"/>
      </rPr>
      <t>최소눈금</t>
    </r>
    <phoneticPr fontId="4" type="noConversion"/>
  </si>
  <si>
    <r>
      <rPr>
        <b/>
        <sz val="9"/>
        <color indexed="9"/>
        <rFont val="돋움"/>
        <family val="3"/>
        <charset val="129"/>
      </rPr>
      <t>단위</t>
    </r>
    <phoneticPr fontId="4" type="noConversion"/>
  </si>
  <si>
    <r>
      <rPr>
        <b/>
        <sz val="9"/>
        <rFont val="돋움"/>
        <family val="3"/>
        <charset val="129"/>
      </rPr>
      <t>○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측정데이터</t>
    </r>
    <phoneticPr fontId="4" type="noConversion"/>
  </si>
  <si>
    <r>
      <t xml:space="preserve">1. </t>
    </r>
    <r>
      <rPr>
        <b/>
        <sz val="9"/>
        <rFont val="돋움"/>
        <family val="3"/>
        <charset val="129"/>
      </rPr>
      <t>평면도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</si>
  <si>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r>
      <rPr>
        <b/>
        <sz val="9"/>
        <color indexed="9"/>
        <rFont val="돋움"/>
        <family val="3"/>
        <charset val="129"/>
      </rPr>
      <t>측정면</t>
    </r>
    <phoneticPr fontId="4" type="noConversion"/>
  </si>
  <si>
    <r>
      <rPr>
        <b/>
        <sz val="9"/>
        <color indexed="9"/>
        <rFont val="돋움"/>
        <family val="3"/>
        <charset val="129"/>
      </rPr>
      <t>간섭무늬</t>
    </r>
    <phoneticPr fontId="4" type="noConversion"/>
  </si>
  <si>
    <r>
      <rPr>
        <b/>
        <sz val="9"/>
        <color indexed="9"/>
        <rFont val="돋움"/>
        <family val="3"/>
        <charset val="129"/>
      </rPr>
      <t>간격</t>
    </r>
    <phoneticPr fontId="4" type="noConversion"/>
  </si>
  <si>
    <r>
      <rPr>
        <b/>
        <sz val="9"/>
        <color indexed="9"/>
        <rFont val="돋움"/>
        <family val="3"/>
        <charset val="129"/>
      </rPr>
      <t>휨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양</t>
    </r>
    <phoneticPr fontId="4" type="noConversion"/>
  </si>
  <si>
    <r>
      <rPr>
        <sz val="9"/>
        <rFont val="돋움"/>
        <family val="3"/>
        <charset val="129"/>
      </rPr>
      <t>앤빌</t>
    </r>
    <phoneticPr fontId="4" type="noConversion"/>
  </si>
  <si>
    <r>
      <rPr>
        <sz val="9"/>
        <rFont val="돋움"/>
        <family val="3"/>
        <charset val="129"/>
      </rPr>
      <t>스핀들</t>
    </r>
    <phoneticPr fontId="4" type="noConversion"/>
  </si>
  <si>
    <r>
      <rPr>
        <b/>
        <sz val="9"/>
        <color indexed="9"/>
        <rFont val="돋움"/>
        <family val="3"/>
        <charset val="129"/>
      </rPr>
      <t>간섭무늬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개수</t>
    </r>
    <phoneticPr fontId="4" type="noConversion"/>
  </si>
  <si>
    <r>
      <rPr>
        <b/>
        <sz val="9"/>
        <color indexed="9"/>
        <rFont val="돋움"/>
        <family val="3"/>
        <charset val="129"/>
      </rPr>
      <t>옵티컬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패러랠</t>
    </r>
    <r>
      <rPr>
        <b/>
        <sz val="9"/>
        <color indexed="9"/>
        <rFont val="Tahoma"/>
        <family val="2"/>
      </rPr>
      <t xml:space="preserve"> 1</t>
    </r>
    <phoneticPr fontId="4" type="noConversion"/>
  </si>
  <si>
    <r>
      <rPr>
        <b/>
        <sz val="9"/>
        <color indexed="9"/>
        <rFont val="돋움"/>
        <family val="3"/>
        <charset val="129"/>
      </rPr>
      <t>옵티컬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패러랠</t>
    </r>
    <r>
      <rPr>
        <b/>
        <sz val="9"/>
        <color indexed="9"/>
        <rFont val="Tahoma"/>
        <family val="2"/>
      </rPr>
      <t xml:space="preserve"> 2</t>
    </r>
  </si>
  <si>
    <r>
      <rPr>
        <b/>
        <sz val="9"/>
        <color indexed="9"/>
        <rFont val="돋움"/>
        <family val="3"/>
        <charset val="129"/>
      </rPr>
      <t>옵티컬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패러랠</t>
    </r>
    <r>
      <rPr>
        <b/>
        <sz val="9"/>
        <color indexed="9"/>
        <rFont val="Tahoma"/>
        <family val="2"/>
      </rPr>
      <t xml:space="preserve"> 3</t>
    </r>
  </si>
  <si>
    <r>
      <rPr>
        <b/>
        <sz val="9"/>
        <color indexed="9"/>
        <rFont val="돋움"/>
        <family val="3"/>
        <charset val="129"/>
      </rPr>
      <t>옵티컬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패러랠</t>
    </r>
    <r>
      <rPr>
        <b/>
        <sz val="9"/>
        <color indexed="9"/>
        <rFont val="Tahoma"/>
        <family val="2"/>
      </rPr>
      <t xml:space="preserve"> 4</t>
    </r>
  </si>
  <si>
    <r>
      <rPr>
        <sz val="9"/>
        <rFont val="돋움"/>
        <family val="3"/>
        <charset val="129"/>
      </rPr>
      <t>앤빌</t>
    </r>
    <phoneticPr fontId="4" type="noConversion"/>
  </si>
  <si>
    <r>
      <rPr>
        <sz val="9"/>
        <rFont val="돋움"/>
        <family val="3"/>
        <charset val="129"/>
      </rPr>
      <t>스핀들</t>
    </r>
    <phoneticPr fontId="4" type="noConversion"/>
  </si>
  <si>
    <r>
      <rPr>
        <b/>
        <sz val="9"/>
        <color indexed="9"/>
        <rFont val="돋움"/>
        <family val="3"/>
        <charset val="129"/>
      </rPr>
      <t>명목값</t>
    </r>
    <phoneticPr fontId="4" type="noConversion"/>
  </si>
  <si>
    <r>
      <rPr>
        <b/>
        <sz val="9"/>
        <color indexed="9"/>
        <rFont val="돋움"/>
        <family val="3"/>
        <charset val="129"/>
      </rPr>
      <t>외측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마이크로미터의</t>
    </r>
    <r>
      <rPr>
        <b/>
        <sz val="9"/>
        <color indexed="9"/>
        <rFont val="Tahoma"/>
        <family val="2"/>
      </rPr>
      <t xml:space="preserve"> </t>
    </r>
    <r>
      <rPr>
        <b/>
        <sz val="9"/>
        <color indexed="9"/>
        <rFont val="돋움"/>
        <family val="3"/>
        <charset val="129"/>
      </rPr>
      <t>지시값</t>
    </r>
    <phoneticPr fontId="4" type="noConversion"/>
  </si>
  <si>
    <r>
      <t>1</t>
    </r>
    <r>
      <rPr>
        <b/>
        <sz val="9"/>
        <color indexed="9"/>
        <rFont val="돋움"/>
        <family val="3"/>
        <charset val="129"/>
      </rPr>
      <t>회</t>
    </r>
    <phoneticPr fontId="4" type="noConversion"/>
  </si>
  <si>
    <r>
      <t>2</t>
    </r>
    <r>
      <rPr>
        <b/>
        <sz val="9"/>
        <color indexed="9"/>
        <rFont val="돋움"/>
        <family val="3"/>
        <charset val="129"/>
      </rPr>
      <t>회</t>
    </r>
  </si>
  <si>
    <r>
      <t>3</t>
    </r>
    <r>
      <rPr>
        <b/>
        <sz val="9"/>
        <color indexed="9"/>
        <rFont val="돋움"/>
        <family val="3"/>
        <charset val="129"/>
      </rPr>
      <t>회</t>
    </r>
  </si>
  <si>
    <r>
      <t>4</t>
    </r>
    <r>
      <rPr>
        <b/>
        <sz val="9"/>
        <color indexed="9"/>
        <rFont val="돋움"/>
        <family val="3"/>
        <charset val="129"/>
      </rPr>
      <t>회</t>
    </r>
  </si>
  <si>
    <r>
      <t>5</t>
    </r>
    <r>
      <rPr>
        <b/>
        <sz val="9"/>
        <color indexed="9"/>
        <rFont val="돋움"/>
        <family val="3"/>
        <charset val="129"/>
      </rPr>
      <t>회</t>
    </r>
  </si>
  <si>
    <r>
      <t xml:space="preserve">2. </t>
    </r>
    <r>
      <rPr>
        <b/>
        <sz val="9"/>
        <rFont val="돋움"/>
        <family val="3"/>
        <charset val="129"/>
      </rPr>
      <t>평행도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</si>
  <si>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r>
      <rPr>
        <b/>
        <sz val="9"/>
        <rFont val="돋움"/>
        <family val="3"/>
        <charset val="129"/>
      </rPr>
      <t>●</t>
    </r>
    <r>
      <rPr>
        <b/>
        <sz val="9"/>
        <rFont val="Tahoma"/>
        <family val="2"/>
      </rPr>
      <t xml:space="preserve"> Range</t>
    </r>
    <phoneticPr fontId="4" type="noConversion"/>
  </si>
  <si>
    <r>
      <t xml:space="preserve">3. </t>
    </r>
    <r>
      <rPr>
        <b/>
        <sz val="9"/>
        <rFont val="돋움"/>
        <family val="3"/>
        <charset val="129"/>
      </rPr>
      <t>반복측정</t>
    </r>
    <r>
      <rPr>
        <b/>
        <sz val="9"/>
        <rFont val="Tahoma"/>
        <family val="2"/>
      </rPr>
      <t xml:space="preserve"> </t>
    </r>
    <r>
      <rPr>
        <b/>
        <sz val="9"/>
        <rFont val="돋움"/>
        <family val="3"/>
        <charset val="129"/>
      </rPr>
      <t>결과</t>
    </r>
    <phoneticPr fontId="4" type="noConversion"/>
  </si>
  <si>
    <t>평균의 표준편차</t>
    <phoneticPr fontId="4" type="noConversion"/>
  </si>
  <si>
    <t>게이지 블록의 편차</t>
    <phoneticPr fontId="4" type="noConversion"/>
  </si>
  <si>
    <t>μm</t>
    <phoneticPr fontId="4" type="noConversion"/>
  </si>
  <si>
    <t>Δl</t>
    <phoneticPr fontId="4" type="noConversion"/>
  </si>
  <si>
    <t>=</t>
    <phoneticPr fontId="4" type="noConversion"/>
  </si>
  <si>
    <t xml:space="preserve">※ 게이지 블록의 측정불확도가 </t>
    <phoneticPr fontId="4" type="noConversion"/>
  </si>
  <si>
    <t>사용중지?</t>
  </si>
  <si>
    <r>
      <t>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</si>
  <si>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=</t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</si>
  <si>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</si>
  <si>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</si>
  <si>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r>
      <t>×10</t>
    </r>
    <r>
      <rPr>
        <vertAlign val="superscript"/>
        <sz val="10"/>
        <rFont val="맑은 고딕"/>
        <family val="3"/>
        <charset val="129"/>
        <scheme val="major"/>
      </rPr>
      <t>-6</t>
    </r>
    <r>
      <rPr>
        <sz val="10"/>
        <rFont val="맑은 고딕"/>
        <family val="3"/>
        <charset val="129"/>
        <scheme val="major"/>
      </rPr>
      <t>/℃×</t>
    </r>
    <r>
      <rPr>
        <i/>
        <sz val="10"/>
        <rFont val="Times New Roman"/>
        <family val="1"/>
      </rPr>
      <t>l</t>
    </r>
    <r>
      <rPr>
        <vertAlign val="subscript"/>
        <sz val="10"/>
        <rFont val="Times New Roman"/>
        <family val="1"/>
      </rPr>
      <t>0</t>
    </r>
    <r>
      <rPr>
        <sz val="10"/>
        <rFont val="맑은 고딕"/>
        <family val="3"/>
        <charset val="129"/>
        <scheme val="major"/>
      </rPr>
      <t>×10</t>
    </r>
    <r>
      <rPr>
        <vertAlign val="superscript"/>
        <sz val="10"/>
        <rFont val="맑은 고딕"/>
        <family val="3"/>
        <charset val="129"/>
        <scheme val="major"/>
      </rPr>
      <t>3</t>
    </r>
    <r>
      <rPr>
        <sz val="10"/>
        <rFont val="맑은 고딕"/>
        <family val="3"/>
        <charset val="129"/>
        <scheme val="major"/>
      </rPr>
      <t xml:space="preserve"> μm</t>
    </r>
    <phoneticPr fontId="4" type="noConversion"/>
  </si>
  <si>
    <t>β</t>
    <phoneticPr fontId="4" type="noConversion"/>
  </si>
  <si>
    <t>COID</t>
    <phoneticPr fontId="4" type="noConversion"/>
  </si>
  <si>
    <r>
      <t>U+</t>
    </r>
    <r>
      <rPr>
        <sz val="9"/>
        <rFont val="돋움"/>
        <family val="3"/>
        <charset val="129"/>
      </rPr>
      <t>α</t>
    </r>
    <phoneticPr fontId="4" type="noConversion"/>
  </si>
  <si>
    <r>
      <t xml:space="preserve">포함인자 </t>
    </r>
    <r>
      <rPr>
        <i/>
        <sz val="10"/>
        <rFont val="맑은 고딕"/>
        <family val="3"/>
        <charset val="129"/>
        <scheme val="major"/>
      </rPr>
      <t>k</t>
    </r>
    <r>
      <rPr>
        <sz val="10"/>
        <rFont val="맑은 고딕"/>
        <family val="3"/>
        <charset val="129"/>
        <scheme val="major"/>
      </rPr>
      <t>를 구하여 계산한다.</t>
    </r>
    <phoneticPr fontId="4" type="noConversion"/>
  </si>
  <si>
    <t>fees</t>
    <phoneticPr fontId="4" type="noConversion"/>
  </si>
  <si>
    <t>P/F</t>
    <phoneticPr fontId="4" type="noConversion"/>
  </si>
  <si>
    <t>삼각형</t>
    <phoneticPr fontId="4" type="noConversion"/>
  </si>
  <si>
    <r>
      <t xml:space="preserve">3. 마이크로미터와 게이지 블록의 평균 열팽창계수에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    )</t>
    </r>
    <phoneticPr fontId="4" type="noConversion"/>
  </si>
  <si>
    <r>
      <rPr>
        <b/>
        <sz val="10"/>
        <rFont val="맑은 고딕"/>
        <family val="1"/>
        <scheme val="major"/>
      </rPr>
      <t>4</t>
    </r>
    <r>
      <rPr>
        <b/>
        <sz val="10"/>
        <rFont val="맑은 고딕"/>
        <family val="3"/>
        <charset val="129"/>
        <scheme val="major"/>
      </rPr>
      <t xml:space="preserve">. 마이크로미터와 게이지 블록의 온도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맑은 고딕"/>
        <family val="3"/>
        <charset val="129"/>
        <scheme val="major"/>
      </rPr>
      <t>(</t>
    </r>
    <r>
      <rPr>
        <b/>
        <i/>
        <sz val="10"/>
        <rFont val="Times New Roman"/>
        <family val="1"/>
      </rPr>
      <t>Δt</t>
    </r>
    <r>
      <rPr>
        <b/>
        <sz val="10"/>
        <rFont val="맑은 고딕"/>
        <family val="3"/>
        <charset val="129"/>
        <scheme val="major"/>
      </rPr>
      <t>)</t>
    </r>
    <phoneticPr fontId="4" type="noConversion"/>
  </si>
  <si>
    <r>
      <t xml:space="preserve">5. 마이크로미터와 게이지 블록의 열팽창계수 차에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Δα</t>
    </r>
    <r>
      <rPr>
        <b/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</si>
  <si>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6</t>
    </r>
    <r>
      <rPr>
        <b/>
        <sz val="10"/>
        <rFont val="맑은 고딕"/>
        <family val="3"/>
        <charset val="129"/>
        <scheme val="major"/>
      </rPr>
      <t xml:space="preserve">. 마이크로미터와 게이지 블록의 평균온도와 기준 온도와의 차이에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t</t>
    </r>
    <r>
      <rPr>
        <b/>
        <sz val="10"/>
        <rFont val="Times New Roman"/>
        <family val="1"/>
      </rPr>
      <t>)</t>
    </r>
    <phoneticPr fontId="4" type="noConversion"/>
  </si>
  <si>
    <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l</t>
    </r>
    <r>
      <rPr>
        <i/>
        <vertAlign val="subscript"/>
        <sz val="10"/>
        <rFont val="Times New Roman"/>
        <family val="1"/>
      </rPr>
      <t>x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</si>
  <si>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>)</t>
    </r>
    <phoneticPr fontId="4" type="noConversion"/>
  </si>
  <si>
    <t>℃</t>
    <phoneticPr fontId="4" type="noConversion"/>
  </si>
  <si>
    <t>여기에 직사각형 확률분포를 적용하여 계산하면</t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</si>
  <si>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δt</t>
    </r>
    <r>
      <rPr>
        <sz val="10"/>
        <rFont val="Times New Roman"/>
        <family val="1"/>
      </rPr>
      <t>)</t>
    </r>
    <phoneticPr fontId="4" type="noConversion"/>
  </si>
  <si>
    <t>℃</t>
    <phoneticPr fontId="4" type="noConversion"/>
  </si>
  <si>
    <t>※ 마이크로미터 분해능의 반범위에 직사각형 확률분포를 적용하여 계산한다.</t>
    <phoneticPr fontId="4" type="noConversion"/>
  </si>
  <si>
    <r>
      <t>※ 분해능 (</t>
    </r>
    <r>
      <rPr>
        <i/>
        <sz val="10"/>
        <rFont val="Times New Roman"/>
        <family val="1"/>
      </rPr>
      <t>d</t>
    </r>
    <r>
      <rPr>
        <sz val="10"/>
        <rFont val="맑은 고딕"/>
        <family val="3"/>
        <charset val="129"/>
        <scheme val="major"/>
      </rPr>
      <t>)=</t>
    </r>
    <phoneticPr fontId="4" type="noConversion"/>
  </si>
  <si>
    <t>mm</t>
    <phoneticPr fontId="4" type="noConversion"/>
  </si>
  <si>
    <t>μm</t>
    <phoneticPr fontId="4" type="noConversion"/>
  </si>
  <si>
    <t>|</t>
    <phoneticPr fontId="4" type="noConversion"/>
  </si>
  <si>
    <t>=</t>
    <phoneticPr fontId="4" type="noConversion"/>
  </si>
  <si>
    <t>μm</t>
    <phoneticPr fontId="4" type="noConversion"/>
  </si>
  <si>
    <t>사용?</t>
    <phoneticPr fontId="4" type="noConversion"/>
  </si>
  <si>
    <t>마이크로미터 지시값</t>
    <phoneticPr fontId="4" type="noConversion"/>
  </si>
  <si>
    <t>지시값</t>
    <phoneticPr fontId="4" type="noConversion"/>
  </si>
  <si>
    <t>온도차</t>
    <phoneticPr fontId="4" type="noConversion"/>
  </si>
  <si>
    <t>열팽창계수차</t>
    <phoneticPr fontId="4" type="noConversion"/>
  </si>
  <si>
    <t>t_avr-20</t>
    <phoneticPr fontId="4" type="noConversion"/>
  </si>
  <si>
    <t>열팽창보정</t>
    <phoneticPr fontId="4" type="noConversion"/>
  </si>
  <si>
    <t>Spec</t>
    <phoneticPr fontId="4" type="noConversion"/>
  </si>
  <si>
    <t>1회</t>
    <phoneticPr fontId="4" type="noConversion"/>
  </si>
  <si>
    <t>2회</t>
    <phoneticPr fontId="4" type="noConversion"/>
  </si>
  <si>
    <r>
      <t>l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</si>
  <si>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</si>
  <si>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r>
      <t>α</t>
    </r>
    <r>
      <rPr>
        <b/>
        <vertAlign val="subscript"/>
        <sz val="9"/>
        <color indexed="9"/>
        <rFont val="맑은 고딕"/>
        <family val="3"/>
        <charset val="129"/>
        <scheme val="major"/>
      </rPr>
      <t>s</t>
    </r>
    <phoneticPr fontId="4" type="noConversion"/>
  </si>
  <si>
    <t>α_avr</t>
    <phoneticPr fontId="4" type="noConversion"/>
  </si>
  <si>
    <t>Δt</t>
    <phoneticPr fontId="4" type="noConversion"/>
  </si>
  <si>
    <t>Δα</t>
    <phoneticPr fontId="4" type="noConversion"/>
  </si>
  <si>
    <r>
      <t>E</t>
    </r>
    <r>
      <rPr>
        <b/>
        <vertAlign val="subscript"/>
        <sz val="9"/>
        <color indexed="9"/>
        <rFont val="맑은 고딕"/>
        <family val="3"/>
        <charset val="129"/>
        <scheme val="major"/>
      </rPr>
      <t>x</t>
    </r>
    <phoneticPr fontId="4" type="noConversion"/>
  </si>
  <si>
    <t>mm</t>
    <phoneticPr fontId="4" type="noConversion"/>
  </si>
  <si>
    <t>/℃</t>
    <phoneticPr fontId="4" type="noConversion"/>
  </si>
  <si>
    <t>/℃</t>
    <phoneticPr fontId="4" type="noConversion"/>
  </si>
  <si>
    <t>℃</t>
    <phoneticPr fontId="4" type="noConversion"/>
  </si>
  <si>
    <t>℃</t>
    <phoneticPr fontId="4" type="noConversion"/>
  </si>
  <si>
    <t>mm</t>
    <phoneticPr fontId="4" type="noConversion"/>
  </si>
  <si>
    <t>mm</t>
    <phoneticPr fontId="4" type="noConversion"/>
  </si>
  <si>
    <r>
      <rPr>
        <i/>
        <sz val="10"/>
        <rFont val="Times New Roman"/>
        <family val="1"/>
      </rPr>
      <t>u</t>
    </r>
    <r>
      <rPr>
        <i/>
        <vertAlign val="subscript"/>
        <sz val="10"/>
        <rFont val="Times New Roman"/>
        <family val="1"/>
      </rPr>
      <t>c</t>
    </r>
    <r>
      <rPr>
        <sz val="10"/>
        <rFont val="맑은 고딕"/>
        <family val="3"/>
        <charset val="129"/>
        <scheme val="major"/>
      </rPr>
      <t>(</t>
    </r>
    <r>
      <rPr>
        <i/>
        <sz val="10"/>
        <rFont val="Times New Roman"/>
        <family val="1"/>
      </rPr>
      <t>B</t>
    </r>
    <r>
      <rPr>
        <i/>
        <vertAlign val="subscript"/>
        <sz val="10"/>
        <rFont val="Times New Roman"/>
        <family val="1"/>
      </rPr>
      <t>x</t>
    </r>
    <r>
      <rPr>
        <sz val="10"/>
        <rFont val="맑은 고딕"/>
        <family val="3"/>
        <charset val="129"/>
        <scheme val="major"/>
      </rPr>
      <t>)</t>
    </r>
    <phoneticPr fontId="4" type="noConversion"/>
  </si>
  <si>
    <r>
      <t>l</t>
    </r>
    <r>
      <rPr>
        <vertAlign val="subscript"/>
        <sz val="9"/>
        <rFont val="맑은 고딕"/>
        <family val="3"/>
        <charset val="129"/>
        <scheme val="major"/>
      </rPr>
      <t>0</t>
    </r>
    <phoneticPr fontId="4" type="noConversion"/>
  </si>
  <si>
    <t>직사각형</t>
    <phoneticPr fontId="4" type="noConversion"/>
  </si>
  <si>
    <t>확률분포</t>
    <phoneticPr fontId="4" type="noConversion"/>
  </si>
  <si>
    <t>요인(값)</t>
    <phoneticPr fontId="4" type="noConversion"/>
  </si>
  <si>
    <t>분모</t>
    <phoneticPr fontId="4" type="noConversion"/>
  </si>
  <si>
    <t>최대범위 (표기용)</t>
    <phoneticPr fontId="4" type="noConversion"/>
  </si>
  <si>
    <t>기타</t>
    <phoneticPr fontId="4" type="noConversion"/>
  </si>
  <si>
    <t>확률분포</t>
    <phoneticPr fontId="4" type="noConversion"/>
  </si>
  <si>
    <t>불확도</t>
    <phoneticPr fontId="4" type="noConversion"/>
  </si>
  <si>
    <t>불확도</t>
    <phoneticPr fontId="4" type="noConversion"/>
  </si>
  <si>
    <t>mm</t>
    <phoneticPr fontId="4" type="noConversion"/>
  </si>
  <si>
    <r>
      <t>교 정 결 과</t>
    </r>
    <r>
      <rPr>
        <sz val="9"/>
        <rFont val="Arial Unicode MS"/>
        <family val="3"/>
        <charset val="129"/>
      </rPr>
      <t xml:space="preserve">
</t>
    </r>
    <r>
      <rPr>
        <b/>
        <sz val="12"/>
        <rFont val="Arial Unicode MS"/>
        <family val="3"/>
        <charset val="129"/>
      </rPr>
      <t>CALIBRATION RESULT</t>
    </r>
    <phoneticPr fontId="4" type="noConversion"/>
  </si>
  <si>
    <t xml:space="preserve"> 성적서발급번호(Certificate No) :</t>
    <phoneticPr fontId="4" type="noConversion"/>
  </si>
  <si>
    <t>● 교정결과</t>
    <phoneticPr fontId="4" type="noConversion"/>
  </si>
  <si>
    <t>Unit</t>
    <phoneticPr fontId="4" type="noConversion"/>
  </si>
  <si>
    <t>Spec</t>
    <phoneticPr fontId="4" type="noConversion"/>
  </si>
  <si>
    <t>조정 전</t>
    <phoneticPr fontId="4" type="noConversion"/>
  </si>
  <si>
    <t>조정 후</t>
    <phoneticPr fontId="4" type="noConversion"/>
  </si>
  <si>
    <t>Measurement Uncertainty</t>
    <phoneticPr fontId="4" type="noConversion"/>
  </si>
  <si>
    <t>mm</t>
    <phoneticPr fontId="4" type="noConversion"/>
  </si>
  <si>
    <t>-</t>
    <phoneticPr fontId="4" type="noConversion"/>
  </si>
  <si>
    <t>-</t>
    <phoneticPr fontId="4" type="noConversion"/>
  </si>
  <si>
    <t>Nominal Value</t>
    <phoneticPr fontId="4" type="noConversion"/>
  </si>
  <si>
    <t>Measured
Value</t>
    <phoneticPr fontId="4" type="noConversion"/>
  </si>
  <si>
    <t>Correction
Value</t>
    <phoneticPr fontId="4" type="noConversion"/>
  </si>
  <si>
    <t>Pass
/Fail</t>
    <phoneticPr fontId="4" type="noConversion"/>
  </si>
  <si>
    <t>U &amp; r</t>
  </si>
  <si>
    <t>U+α</t>
    <phoneticPr fontId="4" type="noConversion"/>
  </si>
  <si>
    <t>U&amp;r</t>
    <phoneticPr fontId="4" type="noConversion"/>
  </si>
  <si>
    <t>HCT</t>
    <phoneticPr fontId="4" type="noConversion"/>
  </si>
  <si>
    <t>직사각형분포</t>
    <phoneticPr fontId="4" type="noConversion"/>
  </si>
  <si>
    <t>번호</t>
    <phoneticPr fontId="4" type="noConversion"/>
  </si>
  <si>
    <t>크기순</t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</si>
  <si>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1</t>
    </r>
    <phoneticPr fontId="4" type="noConversion"/>
  </si>
  <si>
    <r>
      <t>a</t>
    </r>
    <r>
      <rPr>
        <b/>
        <vertAlign val="subscript"/>
        <sz val="9"/>
        <color indexed="9"/>
        <rFont val="Times New Roman"/>
        <family val="1"/>
      </rPr>
      <t>2</t>
    </r>
    <phoneticPr fontId="4" type="noConversion"/>
  </si>
  <si>
    <t>소수점 자리수</t>
    <phoneticPr fontId="4" type="noConversion"/>
  </si>
  <si>
    <t>5% rule</t>
    <phoneticPr fontId="4" type="noConversion"/>
  </si>
  <si>
    <t>Number Format</t>
    <phoneticPr fontId="4" type="noConversion"/>
  </si>
  <si>
    <t>CMC초과?</t>
    <phoneticPr fontId="4" type="noConversion"/>
  </si>
  <si>
    <t>성적서</t>
    <phoneticPr fontId="4" type="noConversion"/>
  </si>
  <si>
    <t>분해능</t>
    <phoneticPr fontId="4" type="noConversion"/>
  </si>
  <si>
    <t>선택</t>
    <phoneticPr fontId="4" type="noConversion"/>
  </si>
  <si>
    <t>성적서</t>
    <phoneticPr fontId="4" type="noConversion"/>
  </si>
  <si>
    <t>Rawdata</t>
    <phoneticPr fontId="4" type="noConversion"/>
  </si>
  <si>
    <t>영향</t>
    <phoneticPr fontId="4" type="noConversion"/>
  </si>
  <si>
    <t>직사각형</t>
    <phoneticPr fontId="4" type="noConversion"/>
  </si>
  <si>
    <t>비율</t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</si>
  <si>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r</t>
    </r>
    <phoneticPr fontId="4" type="noConversion"/>
  </si>
  <si>
    <r>
      <t>δl</t>
    </r>
    <r>
      <rPr>
        <vertAlign val="subscript"/>
        <sz val="9"/>
        <rFont val="맑은 고딕"/>
        <family val="3"/>
        <charset val="129"/>
        <scheme val="major"/>
      </rPr>
      <t>P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</si>
  <si>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</si>
  <si>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P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</si>
  <si>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r</t>
    </r>
    <phoneticPr fontId="4" type="noConversion"/>
  </si>
  <si>
    <r>
      <t>δl</t>
    </r>
    <r>
      <rPr>
        <i/>
        <vertAlign val="subscript"/>
        <sz val="10"/>
        <rFont val="Times New Roman"/>
        <family val="1"/>
      </rPr>
      <t>P</t>
    </r>
    <phoneticPr fontId="4" type="noConversion"/>
  </si>
  <si>
    <r>
      <rPr>
        <b/>
        <sz val="10"/>
        <rFont val="맑은 고딕"/>
        <family val="1"/>
        <scheme val="major"/>
      </rPr>
      <t>7</t>
    </r>
    <r>
      <rPr>
        <b/>
        <sz val="10"/>
        <rFont val="맑은 고딕"/>
        <family val="3"/>
        <charset val="129"/>
        <scheme val="major"/>
      </rPr>
      <t xml:space="preserve">. 마이크로미터의 분해능 한계에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맑은 고딕"/>
        <family val="3"/>
        <charset val="129"/>
      </rPr>
      <t>δ</t>
    </r>
    <r>
      <rPr>
        <b/>
        <i/>
        <sz val="10"/>
        <rFont val="Times New Roman"/>
        <family val="1"/>
      </rPr>
      <t>l</t>
    </r>
    <r>
      <rPr>
        <b/>
        <i/>
        <vertAlign val="subscript"/>
        <sz val="10"/>
        <rFont val="Times New Roman"/>
        <family val="1"/>
      </rPr>
      <t>r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</si>
  <si>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r</t>
    </r>
    <r>
      <rPr>
        <sz val="10"/>
        <rFont val="Times New Roman"/>
        <family val="1"/>
      </rPr>
      <t>)</t>
    </r>
    <phoneticPr fontId="4" type="noConversion"/>
  </si>
  <si>
    <r>
      <rPr>
        <b/>
        <sz val="10"/>
        <rFont val="맑은 고딕"/>
        <family val="1"/>
        <scheme val="major"/>
      </rPr>
      <t>8</t>
    </r>
    <r>
      <rPr>
        <b/>
        <sz val="10"/>
        <rFont val="맑은 고딕"/>
        <family val="3"/>
        <charset val="129"/>
        <scheme val="major"/>
      </rPr>
      <t xml:space="preserve">. 기하학적 효과에 의한 표준불확도, </t>
    </r>
    <r>
      <rPr>
        <b/>
        <i/>
        <sz val="10"/>
        <rFont val="Times New Roman"/>
        <family val="1"/>
      </rPr>
      <t>u</t>
    </r>
    <r>
      <rPr>
        <b/>
        <sz val="10"/>
        <rFont val="Times New Roman"/>
        <family val="1"/>
      </rPr>
      <t>(</t>
    </r>
    <r>
      <rPr>
        <b/>
        <i/>
        <sz val="10"/>
        <rFont val="Times New Roman"/>
        <family val="1"/>
      </rPr>
      <t>δl</t>
    </r>
    <r>
      <rPr>
        <b/>
        <i/>
        <vertAlign val="subscript"/>
        <sz val="10"/>
        <rFont val="Times New Roman"/>
        <family val="1"/>
      </rPr>
      <t>P</t>
    </r>
    <r>
      <rPr>
        <b/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</si>
  <si>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P</t>
    </r>
    <r>
      <rPr>
        <sz val="10"/>
        <rFont val="Times New Roman"/>
        <family val="1"/>
      </rPr>
      <t>)</t>
    </r>
    <phoneticPr fontId="4" type="noConversion"/>
  </si>
  <si>
    <r>
      <rPr>
        <i/>
        <sz val="10"/>
        <rFont val="Times New Roman"/>
        <family val="1"/>
      </rPr>
      <t>u</t>
    </r>
    <r>
      <rPr>
        <sz val="10"/>
        <rFont val="Times New Roman"/>
        <family val="1"/>
      </rPr>
      <t>(</t>
    </r>
    <r>
      <rPr>
        <i/>
        <sz val="10"/>
        <rFont val="Times New Roman"/>
        <family val="1"/>
      </rPr>
      <t>δl</t>
    </r>
    <r>
      <rPr>
        <i/>
        <vertAlign val="subscript"/>
        <sz val="10"/>
        <rFont val="Times New Roman"/>
        <family val="1"/>
      </rPr>
      <t>P</t>
    </r>
    <r>
      <rPr>
        <sz val="10"/>
        <rFont val="Times New Roman"/>
        <family val="1"/>
      </rPr>
      <t>)</t>
    </r>
    <phoneticPr fontId="4" type="noConversion"/>
  </si>
  <si>
    <t>불확도표기</t>
    <phoneticPr fontId="4" type="noConversion"/>
  </si>
  <si>
    <t>값</t>
    <phoneticPr fontId="4" type="noConversion"/>
  </si>
  <si>
    <t>단위포함</t>
    <phoneticPr fontId="4" type="noConversion"/>
  </si>
  <si>
    <t>N.F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</si>
</sst>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5">
    <numFmt numFmtId="41" formatCode="_-* #,##0_-;\-* #,##0_-;_-* &quot;-&quot;_-;_-@_-"/>
    <numFmt numFmtId="43" formatCode="_-* #,##0.00_-;\-* #,##0.00_-;_-* &quot;-&quot;??_-;_-@_-"/>
    <numFmt numFmtId="176" formatCode="_ &quot;₩&quot;* #,##0.00_ ;_ &quot;₩&quot;* &quot;₩&quot;&quot;₩&quot;&quot;₩&quot;&quot;₩&quot;&quot;₩&quot;&quot;₩&quot;&quot;₩&quot;\-#,##0.00_ ;_ &quot;₩&quot;* &quot;-&quot;??_ ;_ @_ "/>
    <numFmt numFmtId="177" formatCode="&quot;₩&quot;#,##0;&quot;₩&quot;&quot;₩&quot;&quot;₩&quot;&quot;₩&quot;&quot;₩&quot;&quot;₩&quot;&quot;₩&quot;&quot;₩&quot;&quot;₩&quot;\-#,##0"/>
    <numFmt numFmtId="178" formatCode="_ * #,##0.00_ ;_ * &quot;₩&quot;&quot;₩&quot;&quot;₩&quot;&quot;₩&quot;&quot;₩&quot;&quot;₩&quot;&quot;₩&quot;\-#,##0.00_ ;_ * &quot;-&quot;??_ ;_ @_ "/>
    <numFmt numFmtId="179" formatCode="&quot;₩&quot;#,##0;[Red]&quot;₩&quot;&quot;₩&quot;&quot;₩&quot;&quot;₩&quot;&quot;₩&quot;&quot;₩&quot;&quot;₩&quot;&quot;₩&quot;&quot;₩&quot;\-#,##0"/>
    <numFmt numFmtId="180" formatCode="_ * #,##0_ ;_ * \-#,##0_ ;_ * &quot;-&quot;_ ;_ @_ "/>
    <numFmt numFmtId="181" formatCode="_ * #,##0.00_ ;_ * \-#,##0.00_ ;_ * &quot;-&quot;??_ ;_ @_ "/>
    <numFmt numFmtId="182" formatCode="&quot;₩&quot;#,##0;&quot;₩&quot;&quot;₩&quot;&quot;₩&quot;&quot;₩&quot;&quot;₩&quot;&quot;₩&quot;&quot;₩&quot;&quot;₩&quot;\-#,##0"/>
    <numFmt numFmtId="183" formatCode="&quot;₩&quot;#,##0.00;&quot;₩&quot;&quot;₩&quot;&quot;₩&quot;&quot;₩&quot;&quot;₩&quot;&quot;₩&quot;&quot;₩&quot;&quot;₩&quot;\-#,##0.00"/>
    <numFmt numFmtId="184" formatCode="################################"/>
    <numFmt numFmtId="185" formatCode="0.0\ &quot;℃&quot;"/>
    <numFmt numFmtId="186" formatCode="0\ &quot;％ R.H.&quot;"/>
    <numFmt numFmtId="187" formatCode="0.0\ &quot;hPa&quot;"/>
    <numFmt numFmtId="188" formatCode="0.00_ "/>
    <numFmt numFmtId="189" formatCode="0.000_ "/>
    <numFmt numFmtId="190" formatCode="0_ "/>
    <numFmt numFmtId="191" formatCode="0.000000_ "/>
    <numFmt numFmtId="192" formatCode="0.00\ &quot;mg&quot;"/>
    <numFmt numFmtId="193" formatCode="0.000\ &quot;kg&quot;"/>
    <numFmt numFmtId="194" formatCode="0.0_ "/>
    <numFmt numFmtId="195" formatCode="0.0\ &quot;kg&quot;"/>
    <numFmt numFmtId="196" formatCode="0.000"/>
    <numFmt numFmtId="197" formatCode="0.00000"/>
    <numFmt numFmtId="198" formatCode="####\-##\-##"/>
    <numFmt numFmtId="199" formatCode="0.000_);[Red]\(0.000\)"/>
    <numFmt numFmtId="200" formatCode="0.0000_);[Red]\(0.0000\)"/>
    <numFmt numFmtId="201" formatCode="0.0000_ "/>
    <numFmt numFmtId="202" formatCode="\√\(0\)"/>
    <numFmt numFmtId="203" formatCode="0.0"/>
    <numFmt numFmtId="204" formatCode="#0.0\ E+00"/>
    <numFmt numFmtId="205" formatCode="&quot;0&quot;.0#\ E+00"/>
    <numFmt numFmtId="206" formatCode="\(0.00\ &quot;μm&quot;\)"/>
    <numFmt numFmtId="207" formatCode="0.00\ &quot;μm&quot;"/>
    <numFmt numFmtId="208" formatCode="0.0\ \℃"/>
    <numFmt numFmtId="209" formatCode="0.00\ \℃"/>
    <numFmt numFmtId="210" formatCode="0\ &quot;μm&quot;"/>
    <numFmt numFmtId="211" formatCode="0.000\ 00"/>
    <numFmt numFmtId="212" formatCode="#\ ###\ ###"/>
    <numFmt numFmtId="214" formatCode="0.000\ 0"/>
    <numFmt numFmtId="215" formatCode="0.000\ &quot;μm&quot;"/>
    <numFmt numFmtId="216" formatCode="_-* #,##0_-;\-* #,##0_-;_-* &quot;-&quot;??_-;_-@_-"/>
    <numFmt numFmtId="217" formatCode="0.00_);[Red]\(0.00\)"/>
    <numFmt numFmtId="218" formatCode="0.0000"/>
    <numFmt numFmtId="219" formatCode="0.00\ E+00"/>
    <numFmt numFmtId="220" formatCode="#\ ##0"/>
    <numFmt numFmtId="221" formatCode="#\ ##0.000"/>
    <numFmt numFmtId="222" formatCode="#\ ##0.000\ 0"/>
    <numFmt numFmtId="223" formatCode="0.000\ 000\ 00"/>
    <numFmt numFmtId="224" formatCode="0.0000\ 00"/>
    <numFmt numFmtId="225" formatCode="0\ &quot;mm&quot;"/>
    <numFmt numFmtId="226" formatCode="#\ ##0\ &quot;mm&quot;"/>
    <numFmt numFmtId="227" formatCode="0.00_ &quot;μm&quot;"/>
    <numFmt numFmtId="228" formatCode="0.000000"/>
    <numFmt numFmtId="229" formatCode="0.0E+00"/>
  </numFmts>
  <fonts count="111">
    <font>
      <sz val="11"/>
      <name val="돋움"/>
      <family val="3"/>
      <charset val="129"/>
    </font>
    <font>
      <sz val="9"/>
      <name val="Tahoma"/>
      <family val="2"/>
    </font>
    <font>
      <b/>
      <sz val="9"/>
      <name val="Tahoma"/>
      <family val="2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9"/>
      <color indexed="9"/>
      <name val="Tahoma"/>
      <family val="2"/>
    </font>
    <font>
      <sz val="10"/>
      <name val="Arial"/>
      <family val="2"/>
    </font>
    <font>
      <b/>
      <sz val="9"/>
      <color indexed="9"/>
      <name val="돋움"/>
      <family val="3"/>
      <charset val="129"/>
    </font>
    <font>
      <sz val="8"/>
      <name val="Tahoma"/>
      <family val="2"/>
    </font>
    <font>
      <sz val="11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color indexed="8"/>
      <name val="Tahoma"/>
      <family val="2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u/>
      <sz val="10"/>
      <color indexed="36"/>
      <name val="Arial"/>
      <family val="2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¹ÙÅÁÃ¼"/>
      <family val="1"/>
      <charset val="129"/>
    </font>
    <font>
      <sz val="14"/>
      <name val="¾©"/>
      <family val="3"/>
      <charset val="129"/>
    </font>
    <font>
      <sz val="10"/>
      <name val="±¼¸²Ã¼"/>
      <family val="3"/>
      <charset val="129"/>
    </font>
    <font>
      <sz val="8"/>
      <name val="Arial"/>
      <family val="2"/>
    </font>
    <font>
      <sz val="10"/>
      <name val="Helv"/>
      <family val="2"/>
    </font>
    <font>
      <sz val="12"/>
      <name val="¾©"/>
      <family val="3"/>
      <charset val="129"/>
    </font>
    <font>
      <b/>
      <sz val="20"/>
      <name val="Tahoma"/>
      <family val="2"/>
    </font>
    <font>
      <b/>
      <sz val="20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sz val="8"/>
      <color indexed="10"/>
      <name val="Tahoma"/>
      <family val="2"/>
    </font>
    <font>
      <sz val="8"/>
      <name val="맑은 고딕"/>
      <family val="3"/>
      <charset val="129"/>
    </font>
    <font>
      <sz val="8"/>
      <color indexed="8"/>
      <name val="Tahoma"/>
      <family val="2"/>
    </font>
    <font>
      <b/>
      <sz val="23"/>
      <name val="Arial Unicode MS"/>
      <family val="3"/>
      <charset val="129"/>
    </font>
    <font>
      <sz val="9"/>
      <name val="Arial Unicode MS"/>
      <family val="3"/>
      <charset val="129"/>
    </font>
    <font>
      <b/>
      <sz val="12"/>
      <name val="Arial Unicode MS"/>
      <family val="3"/>
      <charset val="129"/>
    </font>
    <font>
      <sz val="9"/>
      <color indexed="8"/>
      <name val="Arial Unicode MS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b/>
      <sz val="22"/>
      <name val="맑은 고딕"/>
      <family val="3"/>
      <charset val="129"/>
      <scheme val="minor"/>
    </font>
    <font>
      <sz val="9"/>
      <color indexed="8"/>
      <name val="맑은 고딕"/>
      <family val="3"/>
      <charset val="129"/>
    </font>
    <font>
      <sz val="12"/>
      <color indexed="8"/>
      <name val="굴림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name val="Arial Unicode MS"/>
      <family val="3"/>
      <charset val="129"/>
    </font>
    <font>
      <b/>
      <sz val="9"/>
      <name val="돋움"/>
      <family val="3"/>
      <charset val="129"/>
    </font>
    <font>
      <b/>
      <sz val="8"/>
      <name val="돋움"/>
      <family val="3"/>
      <charset val="129"/>
    </font>
    <font>
      <sz val="8"/>
      <name val="맑은 고딕"/>
      <family val="3"/>
      <charset val="129"/>
      <scheme val="major"/>
    </font>
    <font>
      <sz val="9"/>
      <color rgb="FFFF0000"/>
      <name val="Arial Unicode MS"/>
      <family val="3"/>
      <charset val="129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vertAlign val="subscript"/>
      <sz val="10"/>
      <name val="Times New Roman"/>
      <family val="1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1"/>
      <scheme val="major"/>
    </font>
    <font>
      <b/>
      <sz val="20"/>
      <name val="맑은 고딕"/>
      <family val="3"/>
      <charset val="129"/>
      <scheme val="minor"/>
    </font>
    <font>
      <b/>
      <sz val="20"/>
      <name val="Felix Titling"/>
      <family val="5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color indexed="9"/>
      <name val="맑은 고딕"/>
      <family val="3"/>
      <charset val="129"/>
      <scheme val="major"/>
    </font>
    <font>
      <b/>
      <vertAlign val="subscript"/>
      <sz val="9"/>
      <color indexed="9"/>
      <name val="맑은 고딕"/>
      <family val="3"/>
      <charset val="129"/>
      <scheme val="major"/>
    </font>
    <font>
      <b/>
      <sz val="9"/>
      <color indexed="9"/>
      <name val="굴림"/>
      <family val="3"/>
      <charset val="129"/>
    </font>
    <font>
      <vertAlign val="subscript"/>
      <sz val="9"/>
      <name val="맑은 고딕"/>
      <family val="3"/>
      <charset val="129"/>
      <scheme val="major"/>
    </font>
    <font>
      <b/>
      <sz val="9"/>
      <color rgb="FFFF0000"/>
      <name val="Tahoma"/>
      <family val="2"/>
    </font>
    <font>
      <vertAlign val="subscript"/>
      <sz val="10"/>
      <name val="Times New Roman"/>
      <family val="1"/>
    </font>
    <font>
      <b/>
      <sz val="10"/>
      <name val="Times New Roman"/>
      <family val="1"/>
    </font>
    <font>
      <sz val="10"/>
      <name val="맑은 고딕"/>
      <family val="1"/>
      <scheme val="major"/>
    </font>
    <font>
      <vertAlign val="superscript"/>
      <sz val="10"/>
      <name val="맑은 고딕"/>
      <family val="3"/>
      <charset val="129"/>
      <scheme val="major"/>
    </font>
    <font>
      <b/>
      <i/>
      <sz val="10"/>
      <name val="맑은 고딕"/>
      <family val="3"/>
      <charset val="129"/>
    </font>
    <font>
      <i/>
      <vertAlign val="superscript"/>
      <sz val="10"/>
      <name val="Times New Roman"/>
      <family val="1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vertAlign val="subscript"/>
      <sz val="10"/>
      <name val="바탕"/>
      <family val="1"/>
      <charset val="129"/>
    </font>
    <font>
      <vertAlign val="subscript"/>
      <sz val="10"/>
      <name val="맑은 고딕"/>
      <family val="3"/>
      <charset val="129"/>
      <scheme val="minor"/>
    </font>
    <font>
      <sz val="10"/>
      <name val="바탕"/>
      <family val="1"/>
      <charset val="129"/>
    </font>
    <font>
      <b/>
      <vertAlign val="subscript"/>
      <sz val="10"/>
      <name val="맑은 고딕"/>
      <family val="3"/>
      <charset val="129"/>
      <scheme val="major"/>
    </font>
    <font>
      <i/>
      <sz val="10"/>
      <name val="맑은 고딕"/>
      <family val="3"/>
      <charset val="129"/>
      <scheme val="minor"/>
    </font>
    <font>
      <vertAlign val="subscript"/>
      <sz val="10"/>
      <name val="맑은 고딕"/>
      <family val="3"/>
      <charset val="129"/>
      <scheme val="major"/>
    </font>
    <font>
      <sz val="9"/>
      <color theme="0" tint="-0.499984740745262"/>
      <name val="맑은 고딕"/>
      <family val="3"/>
      <charset val="129"/>
      <scheme val="major"/>
    </font>
    <font>
      <vertAlign val="subscript"/>
      <sz val="9"/>
      <color theme="0" tint="-0.499984740745262"/>
      <name val="맑은 고딕"/>
      <family val="3"/>
      <charset val="129"/>
      <scheme val="major"/>
    </font>
    <font>
      <vertAlign val="superscript"/>
      <sz val="10"/>
      <name val="맑은 고딕"/>
      <family val="3"/>
      <charset val="129"/>
      <scheme val="minor"/>
    </font>
    <font>
      <b/>
      <vertAlign val="superscript"/>
      <sz val="9"/>
      <color indexed="9"/>
      <name val="맑은 고딕"/>
      <family val="3"/>
      <charset val="129"/>
      <scheme val="major"/>
    </font>
    <font>
      <sz val="9"/>
      <name val="돋움"/>
      <family val="3"/>
      <charset val="129"/>
    </font>
    <font>
      <b/>
      <i/>
      <sz val="9"/>
      <color indexed="9"/>
      <name val="Times New Roman"/>
      <family val="1"/>
    </font>
    <font>
      <b/>
      <vertAlign val="subscript"/>
      <sz val="9"/>
      <color indexed="9"/>
      <name val="Times New Roman"/>
      <family val="1"/>
    </font>
    <font>
      <sz val="9"/>
      <color theme="0" tint="-0.249977111117893"/>
      <name val="맑은 고딕"/>
      <family val="3"/>
      <charset val="129"/>
      <scheme val="major"/>
    </font>
    <font>
      <b/>
      <sz val="9"/>
      <color indexed="8"/>
      <name val="Arial Unicode MS"/>
      <family val="3"/>
      <charset val="129"/>
    </font>
    <font>
      <sz val="9"/>
      <color indexed="9"/>
      <name val="맑은 고딕"/>
      <family val="3"/>
      <charset val="129"/>
      <scheme val="major"/>
    </font>
  </fonts>
  <fills count="4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theme="0" tint="-0.24994659260841701"/>
      </bottom>
      <diagonal/>
    </border>
    <border>
      <left/>
      <right style="thin">
        <color indexed="22"/>
      </right>
      <top/>
      <bottom style="thin">
        <color theme="0" tint="-0.24994659260841701"/>
      </bottom>
      <diagonal/>
    </border>
    <border>
      <left style="thin">
        <color indexed="22"/>
      </left>
      <right/>
      <top/>
      <bottom style="thin">
        <color theme="0" tint="-0.2499465926084170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theme="0" tint="-0.499984740745262"/>
      </left>
      <right style="thin">
        <color indexed="22"/>
      </right>
      <top style="thin">
        <color theme="0" tint="-0.49998474074526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theme="0" tint="-0.499984740745262"/>
      </top>
      <bottom style="thin">
        <color indexed="2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indexed="22"/>
      </left>
      <right style="thin">
        <color theme="0" tint="-0.499984740745262"/>
      </right>
      <top style="thin">
        <color theme="0" tint="-0.499984740745262"/>
      </top>
      <bottom style="thin">
        <color indexed="22"/>
      </bottom>
      <diagonal/>
    </border>
    <border>
      <left style="thin">
        <color theme="0" tint="-0.49998474074526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theme="0" tint="-0.499984740745262"/>
      </right>
      <top style="thin">
        <color indexed="22"/>
      </top>
      <bottom style="thin">
        <color indexed="22"/>
      </bottom>
      <diagonal/>
    </border>
    <border>
      <left style="thin">
        <color theme="0" tint="-0.499984740745262"/>
      </left>
      <right style="thin">
        <color indexed="22"/>
      </right>
      <top style="thin">
        <color indexed="22"/>
      </top>
      <bottom style="thin">
        <color theme="0" tint="-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theme="0" tint="-0.499984740745262"/>
      </bottom>
      <diagonal/>
    </border>
    <border>
      <left style="thin">
        <color indexed="22"/>
      </left>
      <right style="thin">
        <color theme="0" tint="-0.499984740745262"/>
      </right>
      <top style="thin">
        <color indexed="22"/>
      </top>
      <bottom style="thin">
        <color theme="0" tint="-0.499984740745262"/>
      </bottom>
      <diagonal/>
    </border>
    <border>
      <left style="thin">
        <color indexed="22"/>
      </left>
      <right style="thin">
        <color indexed="22"/>
      </right>
      <top/>
      <bottom style="thin">
        <color theme="0" tint="-0.499984740745262"/>
      </bottom>
      <diagonal/>
    </border>
    <border>
      <left style="thin">
        <color indexed="22"/>
      </left>
      <right style="thin">
        <color theme="0" tint="-0.49998474074526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theme="0" tint="-0.499984740745262"/>
      </right>
      <top style="thin">
        <color indexed="22"/>
      </top>
      <bottom style="thin">
        <color theme="0" tint="-0.49998474074526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4">
    <xf numFmtId="0" fontId="0" fillId="0" borderId="0">
      <alignment vertical="center"/>
    </xf>
    <xf numFmtId="0" fontId="13" fillId="0" borderId="0"/>
    <xf numFmtId="0" fontId="13" fillId="0" borderId="0"/>
    <xf numFmtId="40" fontId="33" fillId="0" borderId="0" applyFont="0" applyFill="0" applyBorder="0" applyAlignment="0" applyProtection="0"/>
    <xf numFmtId="38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7" fillId="0" borderId="0"/>
    <xf numFmtId="0" fontId="37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32" fillId="0" borderId="0" applyFont="0" applyFill="0" applyBorder="0" applyAlignment="0" applyProtection="0"/>
    <xf numFmtId="177" fontId="32" fillId="0" borderId="0" applyFont="0" applyFill="0" applyBorder="0" applyAlignment="0" applyProtection="0"/>
    <xf numFmtId="178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4" fillId="0" borderId="0"/>
    <xf numFmtId="180" fontId="6" fillId="0" borderId="0" applyFont="0" applyFill="0" applyBorder="0" applyAlignment="0" applyProtection="0"/>
    <xf numFmtId="181" fontId="6" fillId="0" borderId="0" applyFont="0" applyFill="0" applyBorder="0" applyAlignment="0" applyProtection="0"/>
    <xf numFmtId="182" fontId="6" fillId="0" borderId="0" applyFont="0" applyFill="0" applyBorder="0" applyAlignment="0" applyProtection="0"/>
    <xf numFmtId="183" fontId="6" fillId="0" borderId="0" applyFont="0" applyFill="0" applyBorder="0" applyAlignment="0" applyProtection="0"/>
    <xf numFmtId="38" fontId="35" fillId="16" borderId="0" applyNumberFormat="0" applyBorder="0" applyAlignment="0" applyProtection="0"/>
    <xf numFmtId="10" fontId="35" fillId="17" borderId="1" applyNumberFormat="0" applyBorder="0" applyAlignment="0" applyProtection="0"/>
    <xf numFmtId="0" fontId="36" fillId="0" borderId="0"/>
    <xf numFmtId="0" fontId="6" fillId="0" borderId="0"/>
    <xf numFmtId="10" fontId="6" fillId="0" borderId="0" applyFont="0" applyFill="0" applyBorder="0" applyAlignment="0" applyProtection="0"/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3" fillId="23" borderId="3" applyNumberFormat="0" applyFon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2" fillId="0" borderId="0"/>
    <xf numFmtId="0" fontId="21" fillId="0" borderId="0" applyNumberFormat="0" applyFill="0" applyBorder="0" applyAlignment="0" applyProtection="0">
      <alignment vertical="center"/>
    </xf>
    <xf numFmtId="0" fontId="22" fillId="25" borderId="4" applyNumberFormat="0" applyAlignment="0" applyProtection="0">
      <alignment vertical="center"/>
    </xf>
    <xf numFmtId="0" fontId="6" fillId="0" borderId="0"/>
    <xf numFmtId="0" fontId="23" fillId="0" borderId="5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2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22" borderId="10" applyNumberFormat="0" applyAlignment="0" applyProtection="0">
      <alignment vertical="center"/>
    </xf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43" fillId="0" borderId="0">
      <alignment vertical="center"/>
    </xf>
    <xf numFmtId="0" fontId="3" fillId="0" borderId="0">
      <alignment vertical="center"/>
    </xf>
    <xf numFmtId="0" fontId="3" fillId="0" borderId="0"/>
    <xf numFmtId="0" fontId="51" fillId="0" borderId="0">
      <alignment vertical="center"/>
    </xf>
    <xf numFmtId="0" fontId="14" fillId="0" borderId="0">
      <alignment vertical="center"/>
    </xf>
    <xf numFmtId="0" fontId="3" fillId="0" borderId="0"/>
    <xf numFmtId="0" fontId="4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58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65" applyNumberFormat="0" applyBorder="0" applyAlignment="0" applyProtection="0"/>
    <xf numFmtId="0" fontId="17" fillId="22" borderId="66" applyNumberFormat="0" applyAlignment="0" applyProtection="0">
      <alignment vertical="center"/>
    </xf>
    <xf numFmtId="0" fontId="3" fillId="23" borderId="63" applyNumberFormat="0" applyFont="0" applyAlignment="0" applyProtection="0">
      <alignment vertical="center"/>
    </xf>
    <xf numFmtId="0" fontId="24" fillId="0" borderId="67" applyNumberFormat="0" applyFill="0" applyAlignment="0" applyProtection="0">
      <alignment vertical="center"/>
    </xf>
    <xf numFmtId="0" fontId="25" fillId="7" borderId="66" applyNumberFormat="0" applyAlignment="0" applyProtection="0">
      <alignment vertical="center"/>
    </xf>
    <xf numFmtId="0" fontId="31" fillId="22" borderId="68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110" applyNumberFormat="0" applyBorder="0" applyAlignment="0" applyProtection="0"/>
    <xf numFmtId="0" fontId="17" fillId="22" borderId="111" applyNumberFormat="0" applyAlignment="0" applyProtection="0">
      <alignment vertical="center"/>
    </xf>
    <xf numFmtId="0" fontId="3" fillId="23" borderId="89" applyNumberFormat="0" applyFont="0" applyAlignment="0" applyProtection="0">
      <alignment vertical="center"/>
    </xf>
    <xf numFmtId="0" fontId="24" fillId="0" borderId="112" applyNumberFormat="0" applyFill="0" applyAlignment="0" applyProtection="0">
      <alignment vertical="center"/>
    </xf>
    <xf numFmtId="0" fontId="25" fillId="7" borderId="111" applyNumberFormat="0" applyAlignment="0" applyProtection="0">
      <alignment vertical="center"/>
    </xf>
    <xf numFmtId="0" fontId="31" fillId="22" borderId="113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10" fontId="35" fillId="17" borderId="110" applyNumberFormat="0" applyBorder="0" applyAlignment="0" applyProtection="0"/>
    <xf numFmtId="0" fontId="17" fillId="22" borderId="111" applyNumberFormat="0" applyAlignment="0" applyProtection="0">
      <alignment vertical="center"/>
    </xf>
    <xf numFmtId="0" fontId="3" fillId="23" borderId="89" applyNumberFormat="0" applyFont="0" applyAlignment="0" applyProtection="0">
      <alignment vertical="center"/>
    </xf>
    <xf numFmtId="0" fontId="24" fillId="0" borderId="112" applyNumberFormat="0" applyFill="0" applyAlignment="0" applyProtection="0">
      <alignment vertical="center"/>
    </xf>
    <xf numFmtId="0" fontId="25" fillId="7" borderId="111" applyNumberFormat="0" applyAlignment="0" applyProtection="0">
      <alignment vertical="center"/>
    </xf>
    <xf numFmtId="0" fontId="31" fillId="22" borderId="113" applyNumberFormat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</cellStyleXfs>
  <cellXfs count="784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44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41" fillId="0" borderId="1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vertical="center"/>
    </xf>
    <xf numFmtId="0" fontId="8" fillId="0" borderId="1" xfId="0" applyFont="1" applyFill="1" applyBorder="1" applyAlignment="1" applyProtection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14" fontId="1" fillId="0" borderId="0" xfId="0" applyNumberFormat="1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Font="1" applyAlignment="1">
      <alignment horizontal="center" vertical="center"/>
    </xf>
    <xf numFmtId="0" fontId="53" fillId="26" borderId="0" xfId="0" applyFont="1" applyFill="1" applyAlignment="1">
      <alignment horizontal="center" vertical="center"/>
    </xf>
    <xf numFmtId="0" fontId="53" fillId="26" borderId="0" xfId="0" applyFont="1" applyFill="1" applyAlignment="1">
      <alignment horizontal="center" vertical="center" wrapText="1"/>
    </xf>
    <xf numFmtId="0" fontId="56" fillId="0" borderId="0" xfId="0" applyFont="1" applyAlignment="1">
      <alignment horizontal="left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4" fillId="0" borderId="0" xfId="0" applyFont="1" applyAlignment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7" fillId="0" borderId="0" xfId="0" applyFont="1" applyBorder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/>
    <xf numFmtId="0" fontId="55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vertical="center"/>
    </xf>
    <xf numFmtId="0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2" fillId="0" borderId="0" xfId="0" applyNumberFormat="1" applyFont="1" applyBorder="1" applyAlignment="1">
      <alignment horizontal="center" vertical="center"/>
    </xf>
    <xf numFmtId="0" fontId="8" fillId="29" borderId="11" xfId="0" applyFont="1" applyFill="1" applyBorder="1" applyAlignment="1" applyProtection="1">
      <alignment horizontal="center" vertical="center"/>
      <protection locked="0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48" fillId="0" borderId="0" xfId="79" applyNumberFormat="1" applyFont="1" applyFill="1" applyBorder="1" applyAlignment="1">
      <alignment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11" fillId="0" borderId="0" xfId="0" applyFont="1" applyFill="1" applyBorder="1">
      <alignment vertical="center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53" fillId="26" borderId="33" xfId="0" applyFont="1" applyFill="1" applyBorder="1" applyAlignment="1">
      <alignment horizontal="center" vertical="center" wrapText="1"/>
    </xf>
    <xf numFmtId="0" fontId="55" fillId="0" borderId="33" xfId="0" applyFont="1" applyBorder="1" applyAlignment="1">
      <alignment horizontal="center" vertical="center"/>
    </xf>
    <xf numFmtId="0" fontId="64" fillId="0" borderId="0" xfId="79" applyNumberFormat="1" applyFont="1" applyFill="1" applyAlignment="1">
      <alignment horizontal="left" vertical="center"/>
    </xf>
    <xf numFmtId="0" fontId="64" fillId="0" borderId="0" xfId="79" applyNumberFormat="1" applyFont="1" applyFill="1" applyAlignment="1">
      <alignment vertical="center"/>
    </xf>
    <xf numFmtId="0" fontId="9" fillId="0" borderId="0" xfId="0" applyNumberFormat="1" applyFont="1" applyFill="1">
      <alignment vertical="center"/>
    </xf>
    <xf numFmtId="0" fontId="1" fillId="0" borderId="0" xfId="79" applyNumberFormat="1" applyFont="1" applyFill="1" applyAlignment="1">
      <alignment horizontal="left" vertical="center"/>
    </xf>
    <xf numFmtId="0" fontId="48" fillId="0" borderId="0" xfId="0" applyNumberFormat="1" applyFont="1">
      <alignment vertical="center"/>
    </xf>
    <xf numFmtId="0" fontId="1" fillId="0" borderId="0" xfId="79" applyNumberFormat="1" applyFont="1" applyFill="1" applyBorder="1" applyAlignment="1">
      <alignment horizontal="left" vertical="center"/>
    </xf>
    <xf numFmtId="0" fontId="48" fillId="0" borderId="0" xfId="79" applyNumberFormat="1" applyFont="1" applyFill="1" applyAlignment="1">
      <alignment horizontal="left" vertical="center"/>
    </xf>
    <xf numFmtId="0" fontId="48" fillId="0" borderId="0" xfId="79" applyNumberFormat="1" applyFont="1" applyFill="1" applyBorder="1" applyAlignment="1">
      <alignment horizontal="center" vertical="center"/>
    </xf>
    <xf numFmtId="3" fontId="48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/>
    </xf>
    <xf numFmtId="0" fontId="48" fillId="0" borderId="0" xfId="0" applyNumberFormat="1" applyFont="1" applyBorder="1" applyAlignment="1">
      <alignment vertical="center"/>
    </xf>
    <xf numFmtId="0" fontId="55" fillId="0" borderId="35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67" fillId="0" borderId="0" xfId="0" applyFont="1" applyBorder="1">
      <alignment vertical="center"/>
    </xf>
    <xf numFmtId="0" fontId="68" fillId="0" borderId="0" xfId="0" applyFont="1" applyBorder="1" applyAlignment="1">
      <alignment vertical="center"/>
    </xf>
    <xf numFmtId="0" fontId="67" fillId="0" borderId="0" xfId="0" applyFont="1" applyAlignment="1">
      <alignment vertical="center"/>
    </xf>
    <xf numFmtId="0" fontId="65" fillId="0" borderId="0" xfId="0" applyFont="1" applyBorder="1" applyAlignment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Border="1">
      <alignment vertical="center"/>
    </xf>
    <xf numFmtId="0" fontId="38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horizontal="center" vertical="center"/>
    </xf>
    <xf numFmtId="191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vertical="center"/>
    </xf>
    <xf numFmtId="0" fontId="74" fillId="0" borderId="0" xfId="0" applyNumberFormat="1" applyFont="1" applyAlignment="1">
      <alignment vertical="center"/>
    </xf>
    <xf numFmtId="0" fontId="52" fillId="0" borderId="0" xfId="0" applyNumberFormat="1" applyFont="1" applyAlignment="1">
      <alignment vertical="center"/>
    </xf>
    <xf numFmtId="0" fontId="54" fillId="0" borderId="0" xfId="0" applyNumberFormat="1" applyFont="1" applyBorder="1" applyAlignment="1">
      <alignment vertical="center"/>
    </xf>
    <xf numFmtId="0" fontId="68" fillId="0" borderId="0" xfId="0" applyFont="1" applyBorder="1" applyAlignment="1">
      <alignment horizontal="left" vertical="center" indent="1"/>
    </xf>
    <xf numFmtId="0" fontId="52" fillId="0" borderId="0" xfId="0" applyNumberFormat="1" applyFont="1" applyFill="1" applyBorder="1" applyAlignment="1">
      <alignment vertical="center"/>
    </xf>
    <xf numFmtId="192" fontId="67" fillId="0" borderId="0" xfId="0" applyNumberFormat="1" applyFont="1" applyBorder="1" applyAlignment="1">
      <alignment horizontal="center" vertical="center"/>
    </xf>
    <xf numFmtId="0" fontId="48" fillId="31" borderId="0" xfId="79" applyNumberFormat="1" applyFont="1" applyFill="1" applyAlignment="1">
      <alignment horizontal="center" vertical="center"/>
    </xf>
    <xf numFmtId="0" fontId="60" fillId="31" borderId="0" xfId="0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horizontal="center" vertical="center"/>
    </xf>
    <xf numFmtId="0" fontId="50" fillId="0" borderId="36" xfId="80" applyNumberFormat="1" applyFont="1" applyFill="1" applyBorder="1" applyAlignment="1">
      <alignment horizontal="right" vertical="center"/>
    </xf>
    <xf numFmtId="0" fontId="48" fillId="0" borderId="36" xfId="79" applyNumberFormat="1" applyFont="1" applyFill="1" applyBorder="1" applyAlignment="1">
      <alignment horizontal="left" vertical="center"/>
    </xf>
    <xf numFmtId="0" fontId="48" fillId="0" borderId="36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left" vertical="center"/>
    </xf>
    <xf numFmtId="0" fontId="48" fillId="0" borderId="0" xfId="0" applyFont="1">
      <alignment vertical="center"/>
    </xf>
    <xf numFmtId="49" fontId="1" fillId="0" borderId="0" xfId="79" applyNumberFormat="1" applyFont="1" applyFill="1" applyBorder="1" applyAlignment="1">
      <alignment horizontal="left" vertical="center"/>
    </xf>
    <xf numFmtId="49" fontId="48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Border="1" applyAlignment="1">
      <alignment vertical="center"/>
    </xf>
    <xf numFmtId="49" fontId="1" fillId="0" borderId="0" xfId="79" applyNumberFormat="1" applyFont="1" applyFill="1" applyAlignment="1">
      <alignment horizontal="center" vertical="center"/>
    </xf>
    <xf numFmtId="0" fontId="46" fillId="17" borderId="1" xfId="0" applyNumberFormat="1" applyFont="1" applyFill="1" applyBorder="1" applyAlignment="1" applyProtection="1">
      <alignment horizontal="center" vertical="center" shrinkToFit="1"/>
      <protection locked="0"/>
    </xf>
    <xf numFmtId="185" fontId="8" fillId="17" borderId="1" xfId="0" applyNumberFormat="1" applyFont="1" applyFill="1" applyBorder="1" applyAlignment="1" applyProtection="1">
      <alignment horizontal="center" vertical="center" shrinkToFit="1"/>
    </xf>
    <xf numFmtId="186" fontId="8" fillId="17" borderId="1" xfId="0" applyNumberFormat="1" applyFont="1" applyFill="1" applyBorder="1" applyAlignment="1" applyProtection="1">
      <alignment horizontal="center" vertical="center" shrinkToFit="1"/>
    </xf>
    <xf numFmtId="187" fontId="8" fillId="0" borderId="1" xfId="0" applyNumberFormat="1" applyFont="1" applyFill="1" applyBorder="1" applyAlignment="1" applyProtection="1">
      <alignment horizontal="center" vertical="center" shrinkToFit="1"/>
    </xf>
    <xf numFmtId="0" fontId="48" fillId="0" borderId="39" xfId="79" applyNumberFormat="1" applyFont="1" applyFill="1" applyBorder="1" applyAlignment="1">
      <alignment vertical="center"/>
    </xf>
    <xf numFmtId="0" fontId="48" fillId="0" borderId="39" xfId="79" applyNumberFormat="1" applyFont="1" applyFill="1" applyBorder="1" applyAlignment="1">
      <alignment horizontal="left" vertical="center"/>
    </xf>
    <xf numFmtId="0" fontId="48" fillId="0" borderId="39" xfId="79" applyNumberFormat="1" applyFont="1" applyFill="1" applyBorder="1" applyAlignment="1">
      <alignment horizontal="right" vertical="center"/>
    </xf>
    <xf numFmtId="49" fontId="48" fillId="0" borderId="0" xfId="79" applyNumberFormat="1" applyFont="1" applyFill="1" applyAlignment="1">
      <alignment horizontal="center" vertical="center"/>
    </xf>
    <xf numFmtId="0" fontId="64" fillId="0" borderId="0" xfId="79" applyNumberFormat="1" applyFont="1" applyFill="1" applyAlignment="1">
      <alignment horizontal="center" vertical="center"/>
    </xf>
    <xf numFmtId="0" fontId="78" fillId="0" borderId="0" xfId="0" applyFont="1">
      <alignment vertical="center"/>
    </xf>
    <xf numFmtId="0" fontId="54" fillId="0" borderId="0" xfId="0" applyFont="1" applyAlignment="1">
      <alignment horizontal="center" vertical="center"/>
    </xf>
    <xf numFmtId="0" fontId="55" fillId="0" borderId="38" xfId="0" applyFont="1" applyBorder="1" applyAlignment="1">
      <alignment horizontal="center" vertical="center"/>
    </xf>
    <xf numFmtId="0" fontId="79" fillId="0" borderId="0" xfId="0" applyFont="1" applyBorder="1">
      <alignment vertical="center"/>
    </xf>
    <xf numFmtId="0" fontId="48" fillId="0" borderId="39" xfId="79" applyNumberFormat="1" applyFont="1" applyFill="1" applyBorder="1" applyAlignment="1">
      <alignment horizontal="center" vertical="center"/>
    </xf>
    <xf numFmtId="0" fontId="50" fillId="0" borderId="39" xfId="80" applyNumberFormat="1" applyFont="1" applyFill="1" applyBorder="1" applyAlignment="1">
      <alignment horizontal="right" vertical="center"/>
    </xf>
    <xf numFmtId="0" fontId="48" fillId="0" borderId="40" xfId="79" applyNumberFormat="1" applyFont="1" applyFill="1" applyBorder="1" applyAlignment="1">
      <alignment horizontal="center" vertical="center"/>
    </xf>
    <xf numFmtId="0" fontId="1" fillId="0" borderId="41" xfId="78" applyNumberFormat="1" applyFont="1" applyFill="1" applyBorder="1" applyAlignment="1">
      <alignment horizontal="center" vertical="center"/>
    </xf>
    <xf numFmtId="49" fontId="1" fillId="0" borderId="41" xfId="78" applyNumberFormat="1" applyFont="1" applyFill="1" applyBorder="1" applyAlignment="1">
      <alignment horizontal="center" vertical="center"/>
    </xf>
    <xf numFmtId="198" fontId="1" fillId="0" borderId="41" xfId="78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vertical="center"/>
    </xf>
    <xf numFmtId="0" fontId="48" fillId="0" borderId="0" xfId="0" applyFont="1" applyBorder="1">
      <alignment vertical="center"/>
    </xf>
    <xf numFmtId="49" fontId="48" fillId="0" borderId="0" xfId="79" applyNumberFormat="1" applyFont="1" applyFill="1" applyBorder="1" applyAlignment="1">
      <alignment horizontal="center" vertical="center"/>
    </xf>
    <xf numFmtId="0" fontId="48" fillId="31" borderId="43" xfId="79" applyNumberFormat="1" applyFont="1" applyFill="1" applyBorder="1" applyAlignment="1">
      <alignment horizontal="center" vertical="center"/>
    </xf>
    <xf numFmtId="0" fontId="60" fillId="31" borderId="43" xfId="0" applyNumberFormat="1" applyFont="1" applyFill="1" applyBorder="1" applyAlignment="1">
      <alignment horizontal="left" vertical="center"/>
    </xf>
    <xf numFmtId="0" fontId="69" fillId="0" borderId="0" xfId="0" applyFont="1" applyBorder="1" applyAlignment="1">
      <alignment vertical="center"/>
    </xf>
    <xf numFmtId="0" fontId="67" fillId="0" borderId="0" xfId="0" quotePrefix="1" applyFont="1" applyBorder="1" applyAlignment="1">
      <alignment vertical="center"/>
    </xf>
    <xf numFmtId="0" fontId="1" fillId="35" borderId="0" xfId="0" applyFont="1" applyFill="1" applyBorder="1" applyProtection="1">
      <alignment vertical="center"/>
      <protection locked="0"/>
    </xf>
    <xf numFmtId="49" fontId="55" fillId="0" borderId="49" xfId="0" applyNumberFormat="1" applyFont="1" applyBorder="1" applyAlignment="1">
      <alignment horizontal="center" vertical="center"/>
    </xf>
    <xf numFmtId="0" fontId="53" fillId="26" borderId="49" xfId="0" applyFont="1" applyFill="1" applyBorder="1" applyAlignment="1">
      <alignment horizontal="center" vertical="center" wrapText="1"/>
    </xf>
    <xf numFmtId="0" fontId="55" fillId="0" borderId="49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9" fillId="27" borderId="51" xfId="81" applyFont="1" applyFill="1" applyBorder="1" applyAlignment="1">
      <alignment horizontal="center" vertical="center"/>
    </xf>
    <xf numFmtId="0" fontId="52" fillId="0" borderId="49" xfId="0" applyNumberFormat="1" applyFont="1" applyBorder="1" applyAlignment="1">
      <alignment horizontal="center" vertical="center"/>
    </xf>
    <xf numFmtId="0" fontId="76" fillId="33" borderId="49" xfId="0" applyFont="1" applyFill="1" applyBorder="1">
      <alignment vertical="center"/>
    </xf>
    <xf numFmtId="0" fontId="80" fillId="0" borderId="0" xfId="0" applyNumberFormat="1" applyFont="1" applyFill="1" applyAlignment="1">
      <alignment horizontal="left" vertical="center" indent="1"/>
    </xf>
    <xf numFmtId="0" fontId="81" fillId="0" borderId="0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Border="1" applyAlignment="1">
      <alignment horizontal="left" vertical="center"/>
    </xf>
    <xf numFmtId="0" fontId="81" fillId="0" borderId="0" xfId="0" applyNumberFormat="1" applyFont="1">
      <alignment vertical="center"/>
    </xf>
    <xf numFmtId="0" fontId="81" fillId="0" borderId="0" xfId="0" applyNumberFormat="1" applyFont="1" applyFill="1" applyBorder="1" applyAlignment="1">
      <alignment vertical="center"/>
    </xf>
    <xf numFmtId="0" fontId="81" fillId="0" borderId="48" xfId="0" applyNumberFormat="1" applyFont="1" applyFill="1" applyBorder="1" applyAlignment="1">
      <alignment horizontal="center" vertical="center"/>
    </xf>
    <xf numFmtId="0" fontId="81" fillId="0" borderId="0" xfId="0" applyNumberFormat="1" applyFont="1" applyFill="1" applyAlignment="1">
      <alignment vertical="center"/>
    </xf>
    <xf numFmtId="0" fontId="80" fillId="0" borderId="0" xfId="0" applyNumberFormat="1" applyFont="1" applyFill="1" applyBorder="1" applyAlignment="1">
      <alignment vertical="center"/>
    </xf>
    <xf numFmtId="49" fontId="82" fillId="28" borderId="48" xfId="0" applyNumberFormat="1" applyFont="1" applyFill="1" applyBorder="1" applyAlignment="1">
      <alignment horizontal="center" vertical="center"/>
    </xf>
    <xf numFmtId="0" fontId="81" fillId="0" borderId="48" xfId="78" applyNumberFormat="1" applyFont="1" applyFill="1" applyBorder="1" applyAlignment="1">
      <alignment horizontal="center" vertical="center"/>
    </xf>
    <xf numFmtId="188" fontId="81" fillId="0" borderId="48" xfId="78" applyNumberFormat="1" applyFont="1" applyFill="1" applyBorder="1" applyAlignment="1">
      <alignment horizontal="center" vertical="center"/>
    </xf>
    <xf numFmtId="188" fontId="81" fillId="0" borderId="48" xfId="0" applyNumberFormat="1" applyFont="1" applyFill="1" applyBorder="1" applyAlignment="1">
      <alignment horizontal="center" vertical="center"/>
    </xf>
    <xf numFmtId="0" fontId="81" fillId="32" borderId="48" xfId="0" applyNumberFormat="1" applyFont="1" applyFill="1" applyBorder="1" applyAlignment="1">
      <alignment horizontal="center" vertical="center"/>
    </xf>
    <xf numFmtId="0" fontId="81" fillId="29" borderId="48" xfId="0" applyNumberFormat="1" applyFont="1" applyFill="1" applyBorder="1" applyAlignment="1">
      <alignment horizontal="center" vertical="center"/>
    </xf>
    <xf numFmtId="0" fontId="81" fillId="34" borderId="48" xfId="0" applyNumberFormat="1" applyFont="1" applyFill="1" applyBorder="1" applyAlignment="1">
      <alignment horizontal="center" vertical="center"/>
    </xf>
    <xf numFmtId="189" fontId="81" fillId="36" borderId="48" xfId="0" applyNumberFormat="1" applyFont="1" applyFill="1" applyBorder="1" applyAlignment="1">
      <alignment horizontal="center" vertical="center"/>
    </xf>
    <xf numFmtId="0" fontId="81" fillId="0" borderId="48" xfId="0" applyNumberFormat="1" applyFont="1" applyFill="1" applyBorder="1" applyAlignment="1">
      <alignment horizontal="left" vertical="center"/>
    </xf>
    <xf numFmtId="49" fontId="81" fillId="0" borderId="48" xfId="0" applyNumberFormat="1" applyFont="1" applyFill="1" applyBorder="1" applyAlignment="1">
      <alignment horizontal="left" vertical="center"/>
    </xf>
    <xf numFmtId="0" fontId="81" fillId="0" borderId="54" xfId="0" applyNumberFormat="1" applyFont="1" applyFill="1" applyBorder="1" applyAlignment="1">
      <alignment horizontal="center" vertical="center"/>
    </xf>
    <xf numFmtId="199" fontId="81" fillId="29" borderId="55" xfId="0" applyNumberFormat="1" applyFont="1" applyFill="1" applyBorder="1" applyAlignment="1">
      <alignment horizontal="center" vertical="center"/>
    </xf>
    <xf numFmtId="199" fontId="81" fillId="0" borderId="57" xfId="0" applyNumberFormat="1" applyFont="1" applyFill="1" applyBorder="1" applyAlignment="1">
      <alignment horizontal="center" vertical="center"/>
    </xf>
    <xf numFmtId="200" fontId="81" fillId="0" borderId="54" xfId="0" applyNumberFormat="1" applyFont="1" applyFill="1" applyBorder="1" applyAlignment="1">
      <alignment horizontal="center" vertical="center"/>
    </xf>
    <xf numFmtId="0" fontId="81" fillId="35" borderId="54" xfId="0" applyNumberFormat="1" applyFont="1" applyFill="1" applyBorder="1" applyAlignment="1">
      <alignment horizontal="center" vertical="center"/>
    </xf>
    <xf numFmtId="201" fontId="81" fillId="0" borderId="48" xfId="0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vertical="center"/>
    </xf>
    <xf numFmtId="0" fontId="81" fillId="32" borderId="48" xfId="0" applyNumberFormat="1" applyFont="1" applyFill="1" applyBorder="1" applyAlignment="1">
      <alignment horizontal="center" vertical="center" wrapText="1"/>
    </xf>
    <xf numFmtId="0" fontId="78" fillId="0" borderId="49" xfId="0" applyFont="1" applyBorder="1" applyAlignment="1">
      <alignment horizontal="center" vertical="center"/>
    </xf>
    <xf numFmtId="204" fontId="81" fillId="0" borderId="48" xfId="0" applyNumberFormat="1" applyFont="1" applyFill="1" applyBorder="1" applyAlignment="1">
      <alignment horizontal="center" vertical="center"/>
    </xf>
    <xf numFmtId="0" fontId="82" fillId="28" borderId="47" xfId="0" applyNumberFormat="1" applyFont="1" applyFill="1" applyBorder="1" applyAlignment="1">
      <alignment horizontal="center" vertical="center" wrapText="1"/>
    </xf>
    <xf numFmtId="0" fontId="82" fillId="28" borderId="53" xfId="0" applyNumberFormat="1" applyFont="1" applyFill="1" applyBorder="1" applyAlignment="1">
      <alignment horizontal="center" vertical="center"/>
    </xf>
    <xf numFmtId="0" fontId="82" fillId="28" borderId="48" xfId="0" applyNumberFormat="1" applyFont="1" applyFill="1" applyBorder="1" applyAlignment="1">
      <alignment horizontal="center" vertical="center" wrapText="1"/>
    </xf>
    <xf numFmtId="0" fontId="82" fillId="28" borderId="48" xfId="0" applyNumberFormat="1" applyFont="1" applyFill="1" applyBorder="1" applyAlignment="1">
      <alignment horizontal="center" vertical="center"/>
    </xf>
    <xf numFmtId="0" fontId="5" fillId="28" borderId="47" xfId="0" applyNumberFormat="1" applyFont="1" applyFill="1" applyBorder="1" applyAlignment="1">
      <alignment horizontal="center" vertical="center"/>
    </xf>
    <xf numFmtId="0" fontId="86" fillId="35" borderId="53" xfId="78" applyNumberFormat="1" applyFont="1" applyFill="1" applyBorder="1" applyAlignment="1">
      <alignment horizontal="center" vertical="center"/>
    </xf>
    <xf numFmtId="0" fontId="80" fillId="0" borderId="0" xfId="0" applyNumberFormat="1" applyFont="1" applyFill="1" applyAlignment="1">
      <alignment horizontal="left" vertical="center"/>
    </xf>
    <xf numFmtId="201" fontId="81" fillId="0" borderId="56" xfId="0" applyNumberFormat="1" applyFont="1" applyFill="1" applyBorder="1" applyAlignment="1">
      <alignment horizontal="center" vertical="center"/>
    </xf>
    <xf numFmtId="201" fontId="81" fillId="0" borderId="54" xfId="0" applyNumberFormat="1" applyFont="1" applyFill="1" applyBorder="1" applyAlignment="1">
      <alignment horizontal="center" vertical="center"/>
    </xf>
    <xf numFmtId="0" fontId="81" fillId="35" borderId="56" xfId="0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61" xfId="79" applyNumberFormat="1" applyFont="1" applyFill="1" applyBorder="1" applyAlignment="1">
      <alignment horizontal="center" vertical="center"/>
    </xf>
    <xf numFmtId="0" fontId="48" fillId="0" borderId="31" xfId="79" applyNumberFormat="1" applyFont="1" applyFill="1" applyBorder="1" applyAlignment="1">
      <alignment horizontal="center" vertical="center"/>
    </xf>
    <xf numFmtId="0" fontId="48" fillId="0" borderId="50" xfId="79" applyNumberFormat="1" applyFont="1" applyFill="1" applyBorder="1" applyAlignment="1">
      <alignment horizontal="center" vertical="center"/>
    </xf>
    <xf numFmtId="0" fontId="48" fillId="0" borderId="49" xfId="79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196" fontId="67" fillId="0" borderId="0" xfId="0" applyNumberFormat="1" applyFont="1" applyBorder="1" applyAlignment="1">
      <alignment vertical="center"/>
    </xf>
    <xf numFmtId="196" fontId="67" fillId="0" borderId="0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5" fillId="0" borderId="0" xfId="0" quotePrefix="1" applyFont="1" applyBorder="1" applyAlignment="1">
      <alignment vertical="center"/>
    </xf>
    <xf numFmtId="206" fontId="67" fillId="0" borderId="0" xfId="0" applyNumberFormat="1" applyFont="1" applyBorder="1" applyAlignment="1">
      <alignment vertical="center"/>
    </xf>
    <xf numFmtId="207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right" vertical="center"/>
    </xf>
    <xf numFmtId="0" fontId="67" fillId="0" borderId="0" xfId="0" applyNumberFormat="1" applyFont="1" applyBorder="1" applyAlignment="1"/>
    <xf numFmtId="185" fontId="67" fillId="0" borderId="0" xfId="0" applyNumberFormat="1" applyFont="1" applyBorder="1" applyAlignment="1">
      <alignment vertical="center"/>
    </xf>
    <xf numFmtId="209" fontId="67" fillId="0" borderId="0" xfId="0" applyNumberFormat="1" applyFont="1" applyBorder="1" applyAlignment="1">
      <alignment vertical="center"/>
    </xf>
    <xf numFmtId="0" fontId="93" fillId="0" borderId="0" xfId="0" applyFont="1" applyBorder="1" applyAlignment="1">
      <alignment vertical="center"/>
    </xf>
    <xf numFmtId="203" fontId="93" fillId="0" borderId="0" xfId="0" applyNumberFormat="1" applyFont="1" applyBorder="1" applyAlignment="1">
      <alignment vertical="center"/>
    </xf>
    <xf numFmtId="203" fontId="93" fillId="0" borderId="0" xfId="0" applyNumberFormat="1" applyFont="1" applyBorder="1" applyAlignment="1">
      <alignment vertical="center" shrinkToFit="1"/>
    </xf>
    <xf numFmtId="0" fontId="67" fillId="0" borderId="0" xfId="0" applyFont="1" applyBorder="1" applyAlignment="1">
      <alignment horizontal="left" vertical="center" shrinkToFit="1"/>
    </xf>
    <xf numFmtId="211" fontId="67" fillId="0" borderId="0" xfId="0" applyNumberFormat="1" applyFont="1" applyBorder="1" applyAlignment="1">
      <alignment horizontal="center" vertical="center"/>
    </xf>
    <xf numFmtId="212" fontId="67" fillId="0" borderId="0" xfId="0" applyNumberFormat="1" applyFont="1" applyBorder="1" applyAlignment="1">
      <alignment vertical="center"/>
    </xf>
    <xf numFmtId="215" fontId="67" fillId="0" borderId="0" xfId="0" applyNumberFormat="1" applyFont="1" applyBorder="1" applyAlignment="1">
      <alignment vertical="center"/>
    </xf>
    <xf numFmtId="0" fontId="82" fillId="28" borderId="63" xfId="0" applyNumberFormat="1" applyFont="1" applyFill="1" applyBorder="1" applyAlignment="1">
      <alignment horizontal="center" vertical="center" wrapText="1"/>
    </xf>
    <xf numFmtId="0" fontId="54" fillId="0" borderId="0" xfId="0" applyNumberFormat="1" applyFont="1">
      <alignment vertical="center"/>
    </xf>
    <xf numFmtId="0" fontId="52" fillId="0" borderId="0" xfId="0" applyNumberFormat="1" applyFont="1">
      <alignment vertical="center"/>
    </xf>
    <xf numFmtId="0" fontId="52" fillId="0" borderId="58" xfId="0" applyNumberFormat="1" applyFont="1" applyBorder="1" applyAlignment="1">
      <alignment vertical="center"/>
    </xf>
    <xf numFmtId="0" fontId="52" fillId="0" borderId="59" xfId="0" applyNumberFormat="1" applyFont="1" applyBorder="1" applyAlignment="1">
      <alignment vertical="center"/>
    </xf>
    <xf numFmtId="0" fontId="52" fillId="0" borderId="0" xfId="78" applyNumberFormat="1" applyFont="1" applyFill="1" applyBorder="1" applyAlignment="1">
      <alignment horizontal="center" vertical="center"/>
    </xf>
    <xf numFmtId="0" fontId="94" fillId="0" borderId="0" xfId="0" applyNumberFormat="1" applyFont="1" applyAlignment="1">
      <alignment vertical="center"/>
    </xf>
    <xf numFmtId="0" fontId="94" fillId="0" borderId="0" xfId="0" applyNumberFormat="1" applyFont="1" applyAlignment="1">
      <alignment horizontal="left" vertical="center" indent="1"/>
    </xf>
    <xf numFmtId="0" fontId="52" fillId="0" borderId="59" xfId="0" applyNumberFormat="1" applyFont="1" applyBorder="1" applyAlignment="1">
      <alignment horizontal="left" vertical="center"/>
    </xf>
    <xf numFmtId="0" fontId="93" fillId="0" borderId="0" xfId="0" applyFont="1" applyBorder="1">
      <alignment vertical="center"/>
    </xf>
    <xf numFmtId="0" fontId="81" fillId="0" borderId="63" xfId="0" applyNumberFormat="1" applyFont="1" applyFill="1" applyBorder="1" applyAlignment="1">
      <alignment horizontal="center" vertical="center"/>
    </xf>
    <xf numFmtId="0" fontId="81" fillId="36" borderId="63" xfId="0" applyNumberFormat="1" applyFont="1" applyFill="1" applyBorder="1" applyAlignment="1">
      <alignment horizontal="center" vertical="center"/>
    </xf>
    <xf numFmtId="0" fontId="81" fillId="0" borderId="56" xfId="0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61" xfId="79" applyNumberFormat="1" applyFont="1" applyFill="1" applyBorder="1" applyAlignment="1">
      <alignment horizontal="center" vertical="center"/>
    </xf>
    <xf numFmtId="0" fontId="55" fillId="0" borderId="65" xfId="0" applyFont="1" applyBorder="1" applyAlignment="1">
      <alignment horizontal="center" vertical="center"/>
    </xf>
    <xf numFmtId="0" fontId="81" fillId="32" borderId="63" xfId="0" applyNumberFormat="1" applyFont="1" applyFill="1" applyBorder="1" applyAlignment="1">
      <alignment horizontal="center" vertical="center" wrapText="1"/>
    </xf>
    <xf numFmtId="0" fontId="81" fillId="0" borderId="63" xfId="0" applyNumberFormat="1" applyFont="1" applyFill="1" applyBorder="1" applyAlignment="1">
      <alignment horizontal="center" vertical="center" wrapText="1"/>
    </xf>
    <xf numFmtId="0" fontId="81" fillId="0" borderId="63" xfId="0" applyNumberFormat="1" applyFont="1" applyBorder="1" applyAlignment="1">
      <alignment horizontal="center" vertical="center"/>
    </xf>
    <xf numFmtId="194" fontId="81" fillId="0" borderId="63" xfId="0" applyNumberFormat="1" applyFont="1" applyFill="1" applyBorder="1" applyAlignment="1">
      <alignment horizontal="center" vertical="center"/>
    </xf>
    <xf numFmtId="203" fontId="81" fillId="0" borderId="63" xfId="0" applyNumberFormat="1" applyFont="1" applyFill="1" applyBorder="1" applyAlignment="1">
      <alignment horizontal="center" vertical="center"/>
    </xf>
    <xf numFmtId="0" fontId="81" fillId="29" borderId="63" xfId="0" applyNumberFormat="1" applyFont="1" applyFill="1" applyBorder="1" applyAlignment="1">
      <alignment horizontal="center" vertical="center"/>
    </xf>
    <xf numFmtId="2" fontId="81" fillId="0" borderId="63" xfId="0" applyNumberFormat="1" applyFont="1" applyFill="1" applyBorder="1" applyAlignment="1">
      <alignment horizontal="center" vertical="center"/>
    </xf>
    <xf numFmtId="203" fontId="81" fillId="29" borderId="63" xfId="0" applyNumberFormat="1" applyFont="1" applyFill="1" applyBorder="1" applyAlignment="1">
      <alignment horizontal="center" vertical="center"/>
    </xf>
    <xf numFmtId="189" fontId="81" fillId="0" borderId="63" xfId="0" applyNumberFormat="1" applyFont="1" applyFill="1" applyBorder="1" applyAlignment="1">
      <alignment horizontal="center" vertical="center"/>
    </xf>
    <xf numFmtId="0" fontId="82" fillId="28" borderId="63" xfId="0" applyNumberFormat="1" applyFont="1" applyFill="1" applyBorder="1" applyAlignment="1">
      <alignment horizontal="center" vertical="center"/>
    </xf>
    <xf numFmtId="217" fontId="81" fillId="0" borderId="54" xfId="0" applyNumberFormat="1" applyFont="1" applyFill="1" applyBorder="1" applyAlignment="1">
      <alignment horizontal="center" vertical="center"/>
    </xf>
    <xf numFmtId="196" fontId="81" fillId="29" borderId="63" xfId="0" applyNumberFormat="1" applyFont="1" applyFill="1" applyBorder="1" applyAlignment="1">
      <alignment horizontal="center" vertical="center"/>
    </xf>
    <xf numFmtId="202" fontId="81" fillId="0" borderId="63" xfId="0" applyNumberFormat="1" applyFont="1" applyFill="1" applyBorder="1" applyAlignment="1">
      <alignment horizontal="center" vertical="center"/>
    </xf>
    <xf numFmtId="204" fontId="81" fillId="0" borderId="63" xfId="0" applyNumberFormat="1" applyFont="1" applyFill="1" applyBorder="1" applyAlignment="1">
      <alignment horizontal="center" vertical="center"/>
    </xf>
    <xf numFmtId="205" fontId="81" fillId="0" borderId="63" xfId="0" applyNumberFormat="1" applyFont="1" applyFill="1" applyBorder="1" applyAlignment="1">
      <alignment horizontal="center" vertical="center"/>
    </xf>
    <xf numFmtId="0" fontId="81" fillId="34" borderId="63" xfId="0" applyNumberFormat="1" applyFont="1" applyFill="1" applyBorder="1" applyAlignment="1">
      <alignment horizontal="center" vertical="center"/>
    </xf>
    <xf numFmtId="197" fontId="81" fillId="0" borderId="63" xfId="0" applyNumberFormat="1" applyFont="1" applyFill="1" applyBorder="1" applyAlignment="1">
      <alignment horizontal="center" vertical="center"/>
    </xf>
    <xf numFmtId="196" fontId="81" fillId="32" borderId="63" xfId="0" applyNumberFormat="1" applyFont="1" applyFill="1" applyBorder="1" applyAlignment="1">
      <alignment horizontal="center" vertical="center"/>
    </xf>
    <xf numFmtId="197" fontId="81" fillId="32" borderId="63" xfId="0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207" fontId="67" fillId="0" borderId="0" xfId="0" applyNumberFormat="1" applyFont="1" applyBorder="1" applyAlignment="1">
      <alignment horizontal="center" vertical="center"/>
    </xf>
    <xf numFmtId="203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2" fontId="67" fillId="0" borderId="0" xfId="0" applyNumberFormat="1" applyFont="1" applyBorder="1" applyAlignment="1">
      <alignment vertical="center"/>
    </xf>
    <xf numFmtId="193" fontId="67" fillId="0" borderId="0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65" fillId="0" borderId="0" xfId="0" applyFont="1" applyBorder="1" applyAlignment="1">
      <alignment horizontal="right" vertical="center"/>
    </xf>
    <xf numFmtId="0" fontId="67" fillId="0" borderId="0" xfId="0" applyNumberFormat="1" applyFont="1" applyBorder="1" applyAlignment="1">
      <alignment horizontal="center" vertical="center"/>
    </xf>
    <xf numFmtId="220" fontId="67" fillId="0" borderId="0" xfId="0" applyNumberFormat="1" applyFont="1" applyBorder="1" applyAlignment="1">
      <alignment horizontal="center" vertical="center" wrapText="1"/>
    </xf>
    <xf numFmtId="221" fontId="67" fillId="0" borderId="0" xfId="0" applyNumberFormat="1" applyFont="1" applyBorder="1" applyAlignment="1">
      <alignment horizontal="center" vertical="center"/>
    </xf>
    <xf numFmtId="222" fontId="67" fillId="0" borderId="0" xfId="0" applyNumberFormat="1" applyFont="1" applyBorder="1" applyAlignment="1">
      <alignment horizontal="center" vertical="center"/>
    </xf>
    <xf numFmtId="2" fontId="67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222" fontId="67" fillId="0" borderId="0" xfId="0" applyNumberFormat="1" applyFont="1" applyBorder="1" applyAlignment="1">
      <alignment horizontal="center" vertical="center" shrinkToFit="1"/>
    </xf>
    <xf numFmtId="214" fontId="67" fillId="0" borderId="0" xfId="0" applyNumberFormat="1" applyFont="1" applyBorder="1" applyAlignment="1">
      <alignment horizontal="center" vertical="center"/>
    </xf>
    <xf numFmtId="214" fontId="0" fillId="0" borderId="0" xfId="0" applyNumberFormat="1" applyBorder="1">
      <alignment vertical="center"/>
    </xf>
    <xf numFmtId="0" fontId="67" fillId="0" borderId="31" xfId="0" applyFont="1" applyBorder="1" applyAlignment="1">
      <alignment vertical="center"/>
    </xf>
    <xf numFmtId="221" fontId="67" fillId="0" borderId="31" xfId="0" applyNumberFormat="1" applyFont="1" applyBorder="1" applyAlignment="1">
      <alignment vertical="center"/>
    </xf>
    <xf numFmtId="221" fontId="67" fillId="0" borderId="0" xfId="0" applyNumberFormat="1" applyFont="1" applyBorder="1" applyAlignment="1">
      <alignment vertical="center"/>
    </xf>
    <xf numFmtId="222" fontId="67" fillId="0" borderId="0" xfId="0" applyNumberFormat="1" applyFont="1" applyBorder="1" applyAlignment="1">
      <alignment vertical="center"/>
    </xf>
    <xf numFmtId="221" fontId="67" fillId="0" borderId="31" xfId="0" applyNumberFormat="1" applyFont="1" applyBorder="1" applyAlignment="1">
      <alignment horizontal="center" vertical="center"/>
    </xf>
    <xf numFmtId="0" fontId="54" fillId="0" borderId="74" xfId="0" applyNumberFormat="1" applyFont="1" applyBorder="1" applyAlignment="1">
      <alignment vertical="center"/>
    </xf>
    <xf numFmtId="0" fontId="52" fillId="0" borderId="74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 wrapText="1"/>
    </xf>
    <xf numFmtId="196" fontId="67" fillId="0" borderId="78" xfId="0" applyNumberFormat="1" applyFont="1" applyBorder="1" applyAlignment="1">
      <alignment vertical="center"/>
    </xf>
    <xf numFmtId="0" fontId="67" fillId="0" borderId="78" xfId="0" applyFont="1" applyBorder="1">
      <alignment vertical="center"/>
    </xf>
    <xf numFmtId="0" fontId="69" fillId="0" borderId="0" xfId="0" applyNumberFormat="1" applyFont="1" applyBorder="1" applyAlignment="1">
      <alignment horizontal="right" vertical="center"/>
    </xf>
    <xf numFmtId="211" fontId="52" fillId="0" borderId="0" xfId="0" applyNumberFormat="1" applyFont="1" applyBorder="1" applyAlignment="1">
      <alignment vertical="center"/>
    </xf>
    <xf numFmtId="189" fontId="52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0" fontId="52" fillId="0" borderId="0" xfId="0" quotePrefix="1" applyNumberFormat="1" applyFont="1" applyBorder="1" applyAlignment="1">
      <alignment horizontal="right" vertical="center"/>
    </xf>
    <xf numFmtId="0" fontId="69" fillId="0" borderId="0" xfId="0" applyNumberFormat="1" applyFont="1" applyBorder="1" applyAlignment="1">
      <alignment horizontal="left" vertical="center"/>
    </xf>
    <xf numFmtId="224" fontId="67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horizontal="center" vertical="center"/>
    </xf>
    <xf numFmtId="0" fontId="52" fillId="0" borderId="39" xfId="0" applyNumberFormat="1" applyFont="1" applyBorder="1" applyAlignment="1">
      <alignment vertical="center"/>
    </xf>
    <xf numFmtId="225" fontId="52" fillId="0" borderId="39" xfId="0" applyNumberFormat="1" applyFont="1" applyBorder="1" applyAlignment="1">
      <alignment vertical="center"/>
    </xf>
    <xf numFmtId="190" fontId="52" fillId="0" borderId="39" xfId="0" applyNumberFormat="1" applyFont="1" applyBorder="1" applyAlignment="1">
      <alignment vertical="center"/>
    </xf>
    <xf numFmtId="1" fontId="52" fillId="0" borderId="0" xfId="0" applyNumberFormat="1" applyFont="1" applyBorder="1" applyAlignment="1">
      <alignment vertical="center"/>
    </xf>
    <xf numFmtId="196" fontId="52" fillId="0" borderId="0" xfId="0" applyNumberFormat="1" applyFont="1" applyBorder="1" applyAlignment="1">
      <alignment vertical="center"/>
    </xf>
    <xf numFmtId="190" fontId="52" fillId="0" borderId="0" xfId="0" applyNumberFormat="1" applyFont="1" applyBorder="1" applyAlignment="1">
      <alignment vertical="center"/>
    </xf>
    <xf numFmtId="190" fontId="52" fillId="0" borderId="0" xfId="0" applyNumberFormat="1" applyFont="1" applyBorder="1" applyAlignment="1">
      <alignment horizontal="center" vertical="center"/>
    </xf>
    <xf numFmtId="1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right" vertical="center"/>
    </xf>
    <xf numFmtId="211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left" vertical="center"/>
    </xf>
    <xf numFmtId="207" fontId="52" fillId="0" borderId="39" xfId="0" applyNumberFormat="1" applyFont="1" applyBorder="1" applyAlignment="1">
      <alignment vertical="center"/>
    </xf>
    <xf numFmtId="207" fontId="52" fillId="0" borderId="0" xfId="0" applyNumberFormat="1" applyFont="1" applyBorder="1" applyAlignment="1">
      <alignment vertical="center"/>
    </xf>
    <xf numFmtId="0" fontId="82" fillId="28" borderId="90" xfId="0" applyNumberFormat="1" applyFont="1" applyFill="1" applyBorder="1" applyAlignment="1">
      <alignment horizontal="center" vertical="center" wrapText="1"/>
    </xf>
    <xf numFmtId="0" fontId="82" fillId="28" borderId="94" xfId="0" applyNumberFormat="1" applyFont="1" applyFill="1" applyBorder="1" applyAlignment="1">
      <alignment horizontal="center" vertical="center" wrapText="1"/>
    </xf>
    <xf numFmtId="0" fontId="81" fillId="32" borderId="53" xfId="0" applyNumberFormat="1" applyFont="1" applyFill="1" applyBorder="1" applyAlignment="1">
      <alignment horizontal="center" vertical="center" wrapText="1"/>
    </xf>
    <xf numFmtId="0" fontId="81" fillId="0" borderId="53" xfId="0" applyNumberFormat="1" applyFont="1" applyFill="1" applyBorder="1" applyAlignment="1">
      <alignment horizontal="center" vertical="center" wrapText="1"/>
    </xf>
    <xf numFmtId="189" fontId="81" fillId="0" borderId="53" xfId="0" applyNumberFormat="1" applyFont="1" applyFill="1" applyBorder="1" applyAlignment="1">
      <alignment horizontal="center" vertical="center"/>
    </xf>
    <xf numFmtId="0" fontId="81" fillId="0" borderId="53" xfId="0" applyNumberFormat="1" applyFont="1" applyBorder="1" applyAlignment="1">
      <alignment horizontal="center" vertical="center"/>
    </xf>
    <xf numFmtId="0" fontId="81" fillId="0" borderId="53" xfId="0" applyNumberFormat="1" applyFont="1" applyFill="1" applyBorder="1" applyAlignment="1">
      <alignment horizontal="center" vertical="center"/>
    </xf>
    <xf numFmtId="194" fontId="81" fillId="0" borderId="53" xfId="0" applyNumberFormat="1" applyFont="1" applyFill="1" applyBorder="1" applyAlignment="1">
      <alignment horizontal="center" vertical="center"/>
    </xf>
    <xf numFmtId="202" fontId="81" fillId="0" borderId="53" xfId="0" applyNumberFormat="1" applyFont="1" applyFill="1" applyBorder="1" applyAlignment="1">
      <alignment horizontal="center" vertical="center"/>
    </xf>
    <xf numFmtId="196" fontId="81" fillId="29" borderId="53" xfId="0" applyNumberFormat="1" applyFont="1" applyFill="1" applyBorder="1" applyAlignment="1">
      <alignment horizontal="center" vertical="center"/>
    </xf>
    <xf numFmtId="2" fontId="81" fillId="29" borderId="53" xfId="0" applyNumberFormat="1" applyFont="1" applyFill="1" applyBorder="1" applyAlignment="1">
      <alignment horizontal="center" vertical="center"/>
    </xf>
    <xf numFmtId="203" fontId="81" fillId="0" borderId="53" xfId="0" applyNumberFormat="1" applyFont="1" applyFill="1" applyBorder="1" applyAlignment="1">
      <alignment horizontal="center" vertical="center"/>
    </xf>
    <xf numFmtId="0" fontId="81" fillId="29" borderId="53" xfId="0" applyNumberFormat="1" applyFont="1" applyFill="1" applyBorder="1" applyAlignment="1">
      <alignment horizontal="center" vertical="center"/>
    </xf>
    <xf numFmtId="196" fontId="81" fillId="0" borderId="53" xfId="0" applyNumberFormat="1" applyFont="1" applyFill="1" applyBorder="1" applyAlignment="1">
      <alignment horizontal="center" vertical="center"/>
    </xf>
    <xf numFmtId="0" fontId="81" fillId="32" borderId="102" xfId="0" applyNumberFormat="1" applyFont="1" applyFill="1" applyBorder="1" applyAlignment="1">
      <alignment horizontal="center" vertical="center" wrapText="1"/>
    </xf>
    <xf numFmtId="0" fontId="81" fillId="0" borderId="103" xfId="0" applyNumberFormat="1" applyFont="1" applyFill="1" applyBorder="1" applyAlignment="1">
      <alignment horizontal="center" vertical="center" wrapText="1"/>
    </xf>
    <xf numFmtId="189" fontId="81" fillId="0" borderId="103" xfId="0" applyNumberFormat="1" applyFont="1" applyFill="1" applyBorder="1" applyAlignment="1">
      <alignment horizontal="center" vertical="center"/>
    </xf>
    <xf numFmtId="0" fontId="81" fillId="0" borderId="103" xfId="0" applyNumberFormat="1" applyFont="1" applyBorder="1" applyAlignment="1">
      <alignment horizontal="center" vertical="center"/>
    </xf>
    <xf numFmtId="0" fontId="81" fillId="0" borderId="103" xfId="0" applyNumberFormat="1" applyFont="1" applyFill="1" applyBorder="1" applyAlignment="1">
      <alignment horizontal="center" vertical="center"/>
    </xf>
    <xf numFmtId="202" fontId="81" fillId="0" borderId="103" xfId="0" applyNumberFormat="1" applyFont="1" applyFill="1" applyBorder="1" applyAlignment="1">
      <alignment horizontal="center" vertical="center"/>
    </xf>
    <xf numFmtId="196" fontId="81" fillId="29" borderId="103" xfId="0" applyNumberFormat="1" applyFont="1" applyFill="1" applyBorder="1" applyAlignment="1">
      <alignment horizontal="center" vertical="center"/>
    </xf>
    <xf numFmtId="194" fontId="81" fillId="0" borderId="103" xfId="0" applyNumberFormat="1" applyFont="1" applyFill="1" applyBorder="1" applyAlignment="1">
      <alignment horizontal="center" vertical="center"/>
    </xf>
    <xf numFmtId="203" fontId="81" fillId="0" borderId="103" xfId="0" applyNumberFormat="1" applyFont="1" applyFill="1" applyBorder="1" applyAlignment="1">
      <alignment horizontal="center" vertical="center"/>
    </xf>
    <xf numFmtId="0" fontId="81" fillId="29" borderId="103" xfId="0" applyNumberFormat="1" applyFont="1" applyFill="1" applyBorder="1" applyAlignment="1">
      <alignment horizontal="center" vertical="center"/>
    </xf>
    <xf numFmtId="196" fontId="81" fillId="0" borderId="103" xfId="0" applyNumberFormat="1" applyFont="1" applyFill="1" applyBorder="1" applyAlignment="1">
      <alignment horizontal="center" vertical="center"/>
    </xf>
    <xf numFmtId="218" fontId="81" fillId="0" borderId="103" xfId="0" applyNumberFormat="1" applyFont="1" applyFill="1" applyBorder="1" applyAlignment="1">
      <alignment horizontal="center" vertical="center"/>
    </xf>
    <xf numFmtId="0" fontId="81" fillId="0" borderId="104" xfId="0" applyNumberFormat="1" applyFont="1" applyFill="1" applyBorder="1" applyAlignment="1">
      <alignment horizontal="center" vertical="center"/>
    </xf>
    <xf numFmtId="0" fontId="101" fillId="32" borderId="96" xfId="0" applyNumberFormat="1" applyFont="1" applyFill="1" applyBorder="1" applyAlignment="1">
      <alignment horizontal="center" vertical="center" wrapText="1"/>
    </xf>
    <xf numFmtId="0" fontId="101" fillId="0" borderId="97" xfId="0" applyNumberFormat="1" applyFont="1" applyFill="1" applyBorder="1" applyAlignment="1">
      <alignment horizontal="center" vertical="center" wrapText="1"/>
    </xf>
    <xf numFmtId="189" fontId="101" fillId="0" borderId="97" xfId="0" applyNumberFormat="1" applyFont="1" applyFill="1" applyBorder="1" applyAlignment="1">
      <alignment horizontal="center" vertical="center"/>
    </xf>
    <xf numFmtId="0" fontId="101" fillId="0" borderId="97" xfId="0" applyNumberFormat="1" applyFont="1" applyBorder="1" applyAlignment="1">
      <alignment horizontal="center" vertical="center"/>
    </xf>
    <xf numFmtId="0" fontId="101" fillId="0" borderId="98" xfId="0" applyNumberFormat="1" applyFont="1" applyFill="1" applyBorder="1" applyAlignment="1">
      <alignment horizontal="center" vertical="center"/>
    </xf>
    <xf numFmtId="194" fontId="101" fillId="0" borderId="97" xfId="0" applyNumberFormat="1" applyFont="1" applyFill="1" applyBorder="1" applyAlignment="1">
      <alignment horizontal="center" vertical="center"/>
    </xf>
    <xf numFmtId="203" fontId="101" fillId="0" borderId="97" xfId="0" applyNumberFormat="1" applyFont="1" applyFill="1" applyBorder="1" applyAlignment="1">
      <alignment horizontal="center" vertical="center"/>
    </xf>
    <xf numFmtId="0" fontId="101" fillId="0" borderId="97" xfId="0" applyNumberFormat="1" applyFont="1" applyFill="1" applyBorder="1" applyAlignment="1">
      <alignment horizontal="center" vertical="center"/>
    </xf>
    <xf numFmtId="0" fontId="101" fillId="0" borderId="99" xfId="0" applyNumberFormat="1" applyFont="1" applyFill="1" applyBorder="1" applyAlignment="1">
      <alignment horizontal="center" vertical="center"/>
    </xf>
    <xf numFmtId="0" fontId="101" fillId="32" borderId="100" xfId="0" applyNumberFormat="1" applyFont="1" applyFill="1" applyBorder="1" applyAlignment="1">
      <alignment horizontal="center" vertical="center" wrapText="1"/>
    </xf>
    <xf numFmtId="0" fontId="101" fillId="0" borderId="89" xfId="0" applyNumberFormat="1" applyFont="1" applyFill="1" applyBorder="1" applyAlignment="1">
      <alignment horizontal="center" vertical="center" wrapText="1"/>
    </xf>
    <xf numFmtId="189" fontId="101" fillId="0" borderId="89" xfId="0" applyNumberFormat="1" applyFont="1" applyFill="1" applyBorder="1" applyAlignment="1">
      <alignment horizontal="center" vertical="center"/>
    </xf>
    <xf numFmtId="0" fontId="101" fillId="0" borderId="89" xfId="0" applyNumberFormat="1" applyFont="1" applyBorder="1" applyAlignment="1">
      <alignment horizontal="center" vertical="center"/>
    </xf>
    <xf numFmtId="0" fontId="101" fillId="0" borderId="89" xfId="0" applyNumberFormat="1" applyFont="1" applyFill="1" applyBorder="1" applyAlignment="1">
      <alignment horizontal="center" vertical="center"/>
    </xf>
    <xf numFmtId="202" fontId="101" fillId="0" borderId="89" xfId="0" applyNumberFormat="1" applyFont="1" applyFill="1" applyBorder="1" applyAlignment="1">
      <alignment horizontal="center" vertical="center"/>
    </xf>
    <xf numFmtId="194" fontId="101" fillId="0" borderId="89" xfId="0" applyNumberFormat="1" applyFont="1" applyFill="1" applyBorder="1" applyAlignment="1">
      <alignment horizontal="center" vertical="center"/>
    </xf>
    <xf numFmtId="203" fontId="101" fillId="0" borderId="89" xfId="0" applyNumberFormat="1" applyFont="1" applyFill="1" applyBorder="1" applyAlignment="1">
      <alignment horizontal="center" vertical="center"/>
    </xf>
    <xf numFmtId="0" fontId="101" fillId="0" borderId="101" xfId="0" applyNumberFormat="1" applyFont="1" applyFill="1" applyBorder="1" applyAlignment="1">
      <alignment horizontal="center" vertical="center"/>
    </xf>
    <xf numFmtId="0" fontId="101" fillId="37" borderId="97" xfId="0" applyNumberFormat="1" applyFont="1" applyFill="1" applyBorder="1" applyAlignment="1">
      <alignment horizontal="center" vertical="center"/>
    </xf>
    <xf numFmtId="196" fontId="101" fillId="37" borderId="97" xfId="0" applyNumberFormat="1" applyFont="1" applyFill="1" applyBorder="1" applyAlignment="1">
      <alignment horizontal="center" vertical="center"/>
    </xf>
    <xf numFmtId="197" fontId="101" fillId="37" borderId="97" xfId="0" applyNumberFormat="1" applyFont="1" applyFill="1" applyBorder="1" applyAlignment="1">
      <alignment horizontal="center" vertical="center"/>
    </xf>
    <xf numFmtId="0" fontId="101" fillId="37" borderId="89" xfId="0" applyNumberFormat="1" applyFont="1" applyFill="1" applyBorder="1" applyAlignment="1">
      <alignment horizontal="center" vertical="center"/>
    </xf>
    <xf numFmtId="196" fontId="101" fillId="37" borderId="89" xfId="0" applyNumberFormat="1" applyFont="1" applyFill="1" applyBorder="1" applyAlignment="1">
      <alignment horizontal="center" vertical="center"/>
    </xf>
    <xf numFmtId="2" fontId="101" fillId="37" borderId="89" xfId="0" applyNumberFormat="1" applyFont="1" applyFill="1" applyBorder="1" applyAlignment="1">
      <alignment horizontal="center" vertical="center"/>
    </xf>
    <xf numFmtId="196" fontId="81" fillId="31" borderId="89" xfId="0" applyNumberFormat="1" applyFont="1" applyFill="1" applyBorder="1" applyAlignment="1">
      <alignment horizontal="center" vertical="center"/>
    </xf>
    <xf numFmtId="196" fontId="67" fillId="0" borderId="62" xfId="0" applyNumberFormat="1" applyFont="1" applyBorder="1" applyAlignment="1">
      <alignment vertical="center"/>
    </xf>
    <xf numFmtId="0" fontId="67" fillId="0" borderId="62" xfId="0" applyFont="1" applyBorder="1">
      <alignment vertical="center"/>
    </xf>
    <xf numFmtId="0" fontId="52" fillId="0" borderId="43" xfId="0" applyNumberFormat="1" applyFont="1" applyBorder="1" applyAlignment="1">
      <alignment vertical="center"/>
    </xf>
    <xf numFmtId="0" fontId="69" fillId="0" borderId="0" xfId="0" applyFont="1" applyBorder="1" applyAlignment="1">
      <alignment horizontal="left" vertical="center"/>
    </xf>
    <xf numFmtId="0" fontId="67" fillId="0" borderId="0" xfId="0" applyFont="1" applyBorder="1" applyAlignment="1">
      <alignment vertical="center" wrapText="1"/>
    </xf>
    <xf numFmtId="210" fontId="52" fillId="0" borderId="0" xfId="0" applyNumberFormat="1" applyFont="1" applyBorder="1" applyAlignment="1">
      <alignment vertical="center"/>
    </xf>
    <xf numFmtId="210" fontId="65" fillId="0" borderId="0" xfId="0" applyNumberFormat="1" applyFont="1" applyBorder="1" applyAlignment="1">
      <alignment vertical="center"/>
    </xf>
    <xf numFmtId="203" fontId="67" fillId="0" borderId="0" xfId="0" applyNumberFormat="1" applyFont="1" applyBorder="1" applyAlignment="1">
      <alignment vertical="center"/>
    </xf>
    <xf numFmtId="215" fontId="67" fillId="0" borderId="0" xfId="0" applyNumberFormat="1" applyFont="1" applyBorder="1" applyAlignment="1">
      <alignment horizontal="center" vertical="center"/>
    </xf>
    <xf numFmtId="196" fontId="67" fillId="0" borderId="0" xfId="0" applyNumberFormat="1" applyFont="1" applyBorder="1" applyAlignment="1">
      <alignment vertical="center" shrinkToFit="1"/>
    </xf>
    <xf numFmtId="0" fontId="52" fillId="0" borderId="65" xfId="0" applyNumberFormat="1" applyFont="1" applyBorder="1" applyAlignment="1">
      <alignment horizontal="center" vertical="center"/>
    </xf>
    <xf numFmtId="0" fontId="52" fillId="0" borderId="65" xfId="0" applyNumberFormat="1" applyFont="1" applyBorder="1" applyAlignment="1">
      <alignment horizontal="center" vertical="center" shrinkToFit="1"/>
    </xf>
    <xf numFmtId="41" fontId="52" fillId="0" borderId="65" xfId="87" applyFont="1" applyBorder="1" applyAlignment="1">
      <alignment horizontal="center" vertical="center"/>
    </xf>
    <xf numFmtId="0" fontId="52" fillId="0" borderId="65" xfId="87" applyNumberFormat="1" applyFont="1" applyBorder="1" applyAlignment="1">
      <alignment horizontal="center" vertical="center"/>
    </xf>
    <xf numFmtId="41" fontId="52" fillId="0" borderId="65" xfId="0" applyNumberFormat="1" applyFont="1" applyBorder="1" applyAlignment="1">
      <alignment horizontal="center" vertical="center"/>
    </xf>
    <xf numFmtId="216" fontId="52" fillId="0" borderId="65" xfId="87" applyNumberFormat="1" applyFont="1" applyBorder="1" applyAlignment="1">
      <alignment horizontal="center" vertical="center"/>
    </xf>
    <xf numFmtId="41" fontId="52" fillId="0" borderId="65" xfId="87" applyNumberFormat="1" applyFont="1" applyBorder="1" applyAlignment="1">
      <alignment horizontal="center" vertical="center"/>
    </xf>
    <xf numFmtId="0" fontId="101" fillId="0" borderId="106" xfId="0" applyNumberFormat="1" applyFont="1" applyFill="1" applyBorder="1" applyAlignment="1">
      <alignment horizontal="center" vertical="center"/>
    </xf>
    <xf numFmtId="0" fontId="81" fillId="36" borderId="107" xfId="0" applyNumberFormat="1" applyFont="1" applyFill="1" applyBorder="1" applyAlignment="1">
      <alignment horizontal="center" vertical="center"/>
    </xf>
    <xf numFmtId="0" fontId="81" fillId="36" borderId="53" xfId="0" applyNumberFormat="1" applyFont="1" applyFill="1" applyBorder="1" applyAlignment="1">
      <alignment horizontal="center" vertical="center"/>
    </xf>
    <xf numFmtId="0" fontId="82" fillId="28" borderId="89" xfId="0" applyNumberFormat="1" applyFont="1" applyFill="1" applyBorder="1" applyAlignment="1">
      <alignment horizontal="center" vertical="center"/>
    </xf>
    <xf numFmtId="215" fontId="67" fillId="0" borderId="0" xfId="0" applyNumberFormat="1" applyFont="1" applyBorder="1" applyAlignment="1">
      <alignment horizontal="left" vertical="center"/>
    </xf>
    <xf numFmtId="0" fontId="48" fillId="0" borderId="11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center" vertical="center"/>
    </xf>
    <xf numFmtId="0" fontId="48" fillId="0" borderId="0" xfId="79" applyNumberFormat="1" applyFont="1" applyFill="1" applyAlignment="1">
      <alignment vertical="center"/>
    </xf>
    <xf numFmtId="0" fontId="67" fillId="0" borderId="0" xfId="0" applyFont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203" fontId="69" fillId="0" borderId="0" xfId="0" applyNumberFormat="1" applyFont="1" applyBorder="1" applyAlignment="1">
      <alignment horizontal="right" vertical="center"/>
    </xf>
    <xf numFmtId="203" fontId="67" fillId="0" borderId="0" xfId="0" applyNumberFormat="1" applyFont="1" applyBorder="1" applyAlignment="1">
      <alignment horizontal="center" vertical="center"/>
    </xf>
    <xf numFmtId="227" fontId="48" fillId="0" borderId="110" xfId="79" applyNumberFormat="1" applyFont="1" applyFill="1" applyBorder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NumberFormat="1" applyFont="1" applyBorder="1" applyAlignment="1">
      <alignment vertical="center"/>
    </xf>
    <xf numFmtId="0" fontId="52" fillId="0" borderId="0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left"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0" fontId="82" fillId="28" borderId="89" xfId="0" applyNumberFormat="1" applyFont="1" applyFill="1" applyBorder="1" applyAlignment="1">
      <alignment horizontal="center" vertical="center" wrapText="1"/>
    </xf>
    <xf numFmtId="0" fontId="9" fillId="0" borderId="0" xfId="0" applyFont="1" applyFill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5" fillId="28" borderId="42" xfId="0" applyNumberFormat="1" applyFont="1" applyFill="1" applyBorder="1" applyAlignment="1">
      <alignment horizontal="center" vertical="center"/>
    </xf>
    <xf numFmtId="0" fontId="5" fillId="28" borderId="42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vertical="center"/>
    </xf>
    <xf numFmtId="2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76" fillId="33" borderId="49" xfId="0" applyFont="1" applyFill="1" applyBorder="1">
      <alignment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115" xfId="79" applyNumberFormat="1" applyFont="1" applyFill="1" applyBorder="1" applyAlignment="1">
      <alignment horizontal="center" vertical="center"/>
    </xf>
    <xf numFmtId="189" fontId="81" fillId="0" borderId="89" xfId="0" applyNumberFormat="1" applyFont="1" applyFill="1" applyBorder="1" applyAlignment="1">
      <alignment horizontal="center" vertical="center"/>
    </xf>
    <xf numFmtId="0" fontId="106" fillId="28" borderId="89" xfId="0" applyNumberFormat="1" applyFont="1" applyFill="1" applyBorder="1" applyAlignment="1">
      <alignment horizontal="center" vertical="center"/>
    </xf>
    <xf numFmtId="0" fontId="81" fillId="0" borderId="89" xfId="0" applyNumberFormat="1" applyFont="1" applyFill="1" applyBorder="1" applyAlignment="1">
      <alignment horizontal="center" vertical="center"/>
    </xf>
    <xf numFmtId="0" fontId="108" fillId="0" borderId="89" xfId="0" applyNumberFormat="1" applyFont="1" applyFill="1" applyBorder="1" applyAlignment="1">
      <alignment horizontal="center" vertical="center"/>
    </xf>
    <xf numFmtId="0" fontId="48" fillId="0" borderId="61" xfId="79" applyNumberFormat="1" applyFont="1" applyFill="1" applyBorder="1" applyAlignment="1">
      <alignment horizontal="center" vertical="center"/>
    </xf>
    <xf numFmtId="0" fontId="48" fillId="0" borderId="12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right" vertical="center" indent="2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0" fontId="67" fillId="0" borderId="0" xfId="0" applyNumberFormat="1" applyFont="1" applyBorder="1" applyAlignment="1">
      <alignment vertical="center"/>
    </xf>
    <xf numFmtId="0" fontId="67" fillId="0" borderId="39" xfId="0" applyNumberFormat="1" applyFont="1" applyBorder="1" applyAlignment="1">
      <alignment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39" xfId="0" applyNumberFormat="1" applyFont="1" applyBorder="1" applyAlignment="1">
      <alignment horizontal="center" vertical="center"/>
    </xf>
    <xf numFmtId="193" fontId="67" fillId="0" borderId="0" xfId="0" applyNumberFormat="1" applyFont="1" applyBorder="1" applyAlignment="1">
      <alignment vertical="center"/>
    </xf>
    <xf numFmtId="208" fontId="67" fillId="0" borderId="39" xfId="0" applyNumberFormat="1" applyFont="1" applyBorder="1" applyAlignment="1">
      <alignment horizontal="center" vertical="center"/>
    </xf>
    <xf numFmtId="203" fontId="69" fillId="0" borderId="0" xfId="0" applyNumberFormat="1" applyFont="1" applyBorder="1" applyAlignment="1">
      <alignment vertical="center"/>
    </xf>
    <xf numFmtId="0" fontId="82" fillId="28" borderId="89" xfId="0" applyNumberFormat="1" applyFont="1" applyFill="1" applyBorder="1" applyAlignment="1">
      <alignment horizontal="center" vertical="center" wrapText="1"/>
    </xf>
    <xf numFmtId="0" fontId="82" fillId="28" borderId="89" xfId="0" applyNumberFormat="1" applyFont="1" applyFill="1" applyBorder="1" applyAlignment="1">
      <alignment horizontal="center" vertical="center" shrinkToFit="1"/>
    </xf>
    <xf numFmtId="191" fontId="82" fillId="28" borderId="89" xfId="0" applyNumberFormat="1" applyFont="1" applyFill="1" applyBorder="1" applyAlignment="1">
      <alignment horizontal="center" vertical="center" wrapText="1"/>
    </xf>
    <xf numFmtId="49" fontId="82" fillId="28" borderId="89" xfId="0" applyNumberFormat="1" applyFont="1" applyFill="1" applyBorder="1" applyAlignment="1">
      <alignment horizontal="center" vertical="center"/>
    </xf>
    <xf numFmtId="191" fontId="82" fillId="28" borderId="89" xfId="0" applyNumberFormat="1" applyFont="1" applyFill="1" applyBorder="1" applyAlignment="1">
      <alignment horizontal="center" vertical="center"/>
    </xf>
    <xf numFmtId="0" fontId="82" fillId="28" borderId="89" xfId="0" quotePrefix="1" applyNumberFormat="1" applyFont="1" applyFill="1" applyBorder="1" applyAlignment="1">
      <alignment horizontal="center" vertical="center" wrapText="1"/>
    </xf>
    <xf numFmtId="0" fontId="82" fillId="28" borderId="89" xfId="0" applyNumberFormat="1" applyFont="1" applyFill="1" applyBorder="1" applyAlignment="1">
      <alignment horizontal="center" vertical="center" wrapText="1"/>
    </xf>
    <xf numFmtId="0" fontId="82" fillId="28" borderId="64" xfId="0" applyNumberFormat="1" applyFont="1" applyFill="1" applyBorder="1" applyAlignment="1">
      <alignment horizontal="center" vertical="center" wrapText="1"/>
    </xf>
    <xf numFmtId="0" fontId="67" fillId="0" borderId="0" xfId="0" applyFont="1" applyBorder="1" applyAlignment="1">
      <alignment vertical="center"/>
    </xf>
    <xf numFmtId="0" fontId="67" fillId="0" borderId="0" xfId="0" applyFont="1" applyBorder="1" applyAlignment="1">
      <alignment horizontal="center" vertical="center"/>
    </xf>
    <xf numFmtId="0" fontId="82" fillId="28" borderId="89" xfId="0" applyNumberFormat="1" applyFont="1" applyFill="1" applyBorder="1" applyAlignment="1">
      <alignment horizontal="center" vertical="center" wrapText="1"/>
    </xf>
    <xf numFmtId="228" fontId="81" fillId="31" borderId="89" xfId="0" applyNumberFormat="1" applyFont="1" applyFill="1" applyBorder="1" applyAlignment="1">
      <alignment horizontal="center" vertical="center"/>
    </xf>
    <xf numFmtId="196" fontId="81" fillId="0" borderId="89" xfId="0" applyNumberFormat="1" applyFont="1" applyFill="1" applyBorder="1" applyAlignment="1">
      <alignment horizontal="center" vertical="center"/>
    </xf>
    <xf numFmtId="2" fontId="81" fillId="32" borderId="89" xfId="86" applyNumberFormat="1" applyFont="1" applyFill="1" applyBorder="1" applyAlignment="1">
      <alignment horizontal="center" vertical="center" wrapText="1"/>
    </xf>
    <xf numFmtId="0" fontId="82" fillId="28" borderId="89" xfId="0" applyNumberFormat="1" applyFont="1" applyFill="1" applyBorder="1" applyAlignment="1">
      <alignment horizontal="center" vertical="center" wrapText="1"/>
    </xf>
    <xf numFmtId="0" fontId="82" fillId="28" borderId="89" xfId="0" applyNumberFormat="1" applyFont="1" applyFill="1" applyBorder="1" applyAlignment="1">
      <alignment horizontal="center" vertical="center" wrapText="1"/>
    </xf>
    <xf numFmtId="0" fontId="81" fillId="32" borderId="94" xfId="0" applyNumberFormat="1" applyFont="1" applyFill="1" applyBorder="1" applyAlignment="1">
      <alignment horizontal="center" vertical="center" wrapText="1"/>
    </xf>
    <xf numFmtId="196" fontId="81" fillId="38" borderId="89" xfId="0" applyNumberFormat="1" applyFont="1" applyFill="1" applyBorder="1" applyAlignment="1">
      <alignment horizontal="center" vertical="center"/>
    </xf>
    <xf numFmtId="49" fontId="60" fillId="0" borderId="0" xfId="79" applyNumberFormat="1" applyFont="1" applyFill="1" applyBorder="1" applyAlignment="1">
      <alignment vertical="center"/>
    </xf>
    <xf numFmtId="49" fontId="60" fillId="0" borderId="0" xfId="79" applyNumberFormat="1" applyFont="1" applyFill="1" applyBorder="1" applyAlignment="1">
      <alignment horizontal="center" vertical="center"/>
    </xf>
    <xf numFmtId="0" fontId="48" fillId="0" borderId="0" xfId="79" applyNumberFormat="1" applyFont="1" applyFill="1" applyAlignment="1">
      <alignment horizontal="left" vertical="center" indent="2"/>
    </xf>
    <xf numFmtId="190" fontId="109" fillId="39" borderId="39" xfId="109" applyNumberFormat="1" applyFont="1" applyFill="1" applyBorder="1" applyAlignment="1">
      <alignment horizontal="center" vertical="center" wrapText="1"/>
    </xf>
    <xf numFmtId="49" fontId="60" fillId="39" borderId="39" xfId="79" applyNumberFormat="1" applyFont="1" applyFill="1" applyBorder="1" applyAlignment="1">
      <alignment horizontal="center" vertical="center" wrapText="1"/>
    </xf>
    <xf numFmtId="0" fontId="82" fillId="28" borderId="89" xfId="0" applyNumberFormat="1" applyFont="1" applyFill="1" applyBorder="1" applyAlignment="1">
      <alignment horizontal="center" vertical="center" wrapText="1"/>
    </xf>
    <xf numFmtId="0" fontId="81" fillId="36" borderId="89" xfId="0" applyNumberFormat="1" applyFont="1" applyFill="1" applyBorder="1" applyAlignment="1">
      <alignment horizontal="center" vertical="center"/>
    </xf>
    <xf numFmtId="0" fontId="82" fillId="28" borderId="89" xfId="0" applyNumberFormat="1" applyFont="1" applyFill="1" applyBorder="1" applyAlignment="1">
      <alignment horizontal="center" vertical="center" wrapText="1"/>
    </xf>
    <xf numFmtId="189" fontId="81" fillId="0" borderId="89" xfId="0" applyNumberFormat="1" applyFont="1" applyFill="1" applyBorder="1" applyAlignment="1">
      <alignment horizontal="center" vertical="center"/>
    </xf>
    <xf numFmtId="0" fontId="82" fillId="28" borderId="89" xfId="0" applyNumberFormat="1" applyFont="1" applyFill="1" applyBorder="1" applyAlignment="1">
      <alignment horizontal="center" vertical="center"/>
    </xf>
    <xf numFmtId="0" fontId="82" fillId="28" borderId="89" xfId="0" applyNumberFormat="1" applyFont="1" applyFill="1" applyBorder="1" applyAlignment="1">
      <alignment horizontal="center" vertical="center" wrapText="1"/>
    </xf>
    <xf numFmtId="189" fontId="81" fillId="0" borderId="89" xfId="0" applyNumberFormat="1" applyFont="1" applyFill="1" applyBorder="1" applyAlignment="1">
      <alignment horizontal="center" vertical="center"/>
    </xf>
    <xf numFmtId="0" fontId="110" fillId="28" borderId="89" xfId="0" applyNumberFormat="1" applyFont="1" applyFill="1" applyBorder="1" applyAlignment="1">
      <alignment horizontal="center" vertical="center"/>
    </xf>
    <xf numFmtId="196" fontId="81" fillId="32" borderId="89" xfId="0" applyNumberFormat="1" applyFont="1" applyFill="1" applyBorder="1" applyAlignment="1">
      <alignment horizontal="center" vertical="center"/>
    </xf>
    <xf numFmtId="196" fontId="81" fillId="29" borderId="89" xfId="0" applyNumberFormat="1" applyFont="1" applyFill="1" applyBorder="1" applyAlignment="1">
      <alignment horizontal="center" vertical="center"/>
    </xf>
    <xf numFmtId="229" fontId="81" fillId="31" borderId="89" xfId="0" applyNumberFormat="1" applyFont="1" applyFill="1" applyBorder="1" applyAlignment="1">
      <alignment horizontal="center" vertical="center"/>
    </xf>
    <xf numFmtId="219" fontId="81" fillId="36" borderId="108" xfId="0" applyNumberFormat="1" applyFont="1" applyFill="1" applyBorder="1" applyAlignment="1">
      <alignment horizontal="center" vertical="center"/>
    </xf>
    <xf numFmtId="0" fontId="81" fillId="40" borderId="89" xfId="0" applyNumberFormat="1" applyFont="1" applyFill="1" applyBorder="1" applyAlignment="1">
      <alignment horizontal="center" vertical="center"/>
    </xf>
    <xf numFmtId="196" fontId="101" fillId="38" borderId="97" xfId="0" applyNumberFormat="1" applyFont="1" applyFill="1" applyBorder="1" applyAlignment="1">
      <alignment horizontal="center" vertical="center"/>
    </xf>
    <xf numFmtId="218" fontId="101" fillId="38" borderId="97" xfId="0" applyNumberFormat="1" applyFont="1" applyFill="1" applyBorder="1" applyAlignment="1">
      <alignment horizontal="center" vertical="center"/>
    </xf>
    <xf numFmtId="196" fontId="101" fillId="38" borderId="89" xfId="0" applyNumberFormat="1" applyFont="1" applyFill="1" applyBorder="1" applyAlignment="1">
      <alignment horizontal="center" vertical="center"/>
    </xf>
    <xf numFmtId="218" fontId="101" fillId="38" borderId="89" xfId="0" applyNumberFormat="1" applyFont="1" applyFill="1" applyBorder="1" applyAlignment="1">
      <alignment horizontal="center" vertical="center"/>
    </xf>
    <xf numFmtId="196" fontId="101" fillId="38" borderId="99" xfId="0" applyNumberFormat="1" applyFont="1" applyFill="1" applyBorder="1" applyAlignment="1">
      <alignment horizontal="center" vertical="center"/>
    </xf>
    <xf numFmtId="196" fontId="101" fillId="38" borderId="101" xfId="0" applyNumberFormat="1" applyFont="1" applyFill="1" applyBorder="1" applyAlignment="1">
      <alignment horizontal="center" vertical="center"/>
    </xf>
    <xf numFmtId="0" fontId="82" fillId="28" borderId="89" xfId="0" applyNumberFormat="1" applyFont="1" applyFill="1" applyBorder="1" applyAlignment="1">
      <alignment horizontal="center" vertical="center" wrapText="1"/>
    </xf>
    <xf numFmtId="0" fontId="82" fillId="28" borderId="89" xfId="0" applyNumberFormat="1" applyFont="1" applyFill="1" applyBorder="1" applyAlignment="1">
      <alignment horizontal="center" vertical="center" wrapText="1"/>
    </xf>
    <xf numFmtId="0" fontId="63" fillId="0" borderId="35" xfId="0" applyFont="1" applyFill="1" applyBorder="1" applyAlignment="1">
      <alignment horizontal="center" vertical="center"/>
    </xf>
    <xf numFmtId="0" fontId="63" fillId="0" borderId="26" xfId="0" applyFont="1" applyFill="1" applyBorder="1" applyAlignment="1">
      <alignment horizontal="center" vertical="center"/>
    </xf>
    <xf numFmtId="0" fontId="63" fillId="0" borderId="27" xfId="0" applyFont="1" applyFill="1" applyBorder="1" applyAlignment="1">
      <alignment horizontal="center" vertical="center" wrapText="1"/>
    </xf>
    <xf numFmtId="0" fontId="63" fillId="0" borderId="17" xfId="0" applyFont="1" applyFill="1" applyBorder="1" applyAlignment="1">
      <alignment horizontal="center" vertical="center" wrapText="1"/>
    </xf>
    <xf numFmtId="0" fontId="63" fillId="0" borderId="13" xfId="0" applyFont="1" applyFill="1" applyBorder="1" applyAlignment="1">
      <alignment horizontal="center" vertical="center" wrapText="1"/>
    </xf>
    <xf numFmtId="0" fontId="63" fillId="0" borderId="28" xfId="0" applyFont="1" applyFill="1" applyBorder="1" applyAlignment="1" applyProtection="1">
      <alignment horizontal="left" vertical="center" wrapText="1"/>
      <protection locked="0"/>
    </xf>
    <xf numFmtId="0" fontId="63" fillId="0" borderId="29" xfId="0" applyFont="1" applyFill="1" applyBorder="1" applyAlignment="1" applyProtection="1">
      <alignment horizontal="left" vertical="center" wrapText="1"/>
      <protection locked="0"/>
    </xf>
    <xf numFmtId="0" fontId="63" fillId="0" borderId="30" xfId="0" applyFont="1" applyFill="1" applyBorder="1" applyAlignment="1" applyProtection="1">
      <alignment horizontal="left" vertical="center" wrapText="1"/>
      <protection locked="0"/>
    </xf>
    <xf numFmtId="0" fontId="63" fillId="0" borderId="31" xfId="0" applyFont="1" applyFill="1" applyBorder="1" applyAlignment="1" applyProtection="1">
      <alignment horizontal="left" vertical="center" wrapText="1"/>
      <protection locked="0"/>
    </xf>
    <xf numFmtId="0" fontId="63" fillId="0" borderId="0" xfId="0" applyFont="1" applyFill="1" applyBorder="1" applyAlignment="1" applyProtection="1">
      <alignment horizontal="left" vertical="center" wrapText="1"/>
      <protection locked="0"/>
    </xf>
    <xf numFmtId="0" fontId="63" fillId="0" borderId="32" xfId="0" applyFont="1" applyFill="1" applyBorder="1" applyAlignment="1" applyProtection="1">
      <alignment horizontal="left" vertical="center" wrapText="1"/>
      <protection locked="0"/>
    </xf>
    <xf numFmtId="0" fontId="63" fillId="0" borderId="18" xfId="0" applyFont="1" applyFill="1" applyBorder="1" applyAlignment="1" applyProtection="1">
      <alignment horizontal="left" vertical="center" wrapText="1"/>
      <protection locked="0"/>
    </xf>
    <xf numFmtId="0" fontId="63" fillId="0" borderId="19" xfId="0" applyFont="1" applyFill="1" applyBorder="1" applyAlignment="1" applyProtection="1">
      <alignment horizontal="left" vertical="center" wrapText="1"/>
      <protection locked="0"/>
    </xf>
    <xf numFmtId="0" fontId="63" fillId="0" borderId="20" xfId="0" applyFont="1" applyFill="1" applyBorder="1" applyAlignment="1" applyProtection="1">
      <alignment horizontal="left" vertical="center" wrapText="1"/>
      <protection locked="0"/>
    </xf>
    <xf numFmtId="0" fontId="63" fillId="30" borderId="34" xfId="0" applyFont="1" applyFill="1" applyBorder="1" applyAlignment="1" applyProtection="1">
      <alignment horizontal="center" vertical="center"/>
      <protection locked="0"/>
    </xf>
    <xf numFmtId="0" fontId="12" fillId="17" borderId="1" xfId="0" applyFont="1" applyFill="1" applyBorder="1" applyAlignment="1" applyProtection="1">
      <alignment horizontal="center" vertical="center" shrinkToFit="1"/>
      <protection locked="0"/>
    </xf>
    <xf numFmtId="0" fontId="8" fillId="17" borderId="1" xfId="0" applyFont="1" applyFill="1" applyBorder="1" applyAlignment="1" applyProtection="1">
      <alignment horizontal="center" vertical="center" shrinkToFit="1"/>
      <protection locked="0"/>
    </xf>
    <xf numFmtId="0" fontId="8" fillId="29" borderId="11" xfId="0" applyFont="1" applyFill="1" applyBorder="1" applyAlignment="1" applyProtection="1">
      <alignment horizontal="left" vertical="center" wrapText="1"/>
    </xf>
    <xf numFmtId="0" fontId="8" fillId="29" borderId="14" xfId="0" applyFont="1" applyFill="1" applyBorder="1" applyAlignment="1" applyProtection="1">
      <alignment horizontal="left" vertical="center" wrapText="1"/>
    </xf>
    <xf numFmtId="0" fontId="8" fillId="29" borderId="16" xfId="0" applyFont="1" applyFill="1" applyBorder="1" applyAlignment="1" applyProtection="1">
      <alignment horizontal="left" vertical="center" wrapText="1"/>
    </xf>
    <xf numFmtId="0" fontId="11" fillId="0" borderId="0" xfId="0" applyFont="1" applyFill="1" applyBorder="1" applyAlignment="1" applyProtection="1">
      <alignment horizontal="left" vertical="center" shrinkToFit="1"/>
    </xf>
    <xf numFmtId="0" fontId="41" fillId="0" borderId="1" xfId="0" applyFont="1" applyFill="1" applyBorder="1" applyAlignment="1" applyProtection="1">
      <alignment horizontal="center" vertical="center"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29" borderId="1" xfId="0" applyFont="1" applyFill="1" applyBorder="1" applyAlignment="1" applyProtection="1">
      <alignment horizontal="center" vertical="center" shrinkToFit="1"/>
      <protection locked="0"/>
    </xf>
    <xf numFmtId="0" fontId="8" fillId="29" borderId="1" xfId="0" applyFont="1" applyFill="1" applyBorder="1" applyAlignment="1" applyProtection="1">
      <alignment vertical="center" shrinkToFit="1"/>
      <protection locked="0"/>
    </xf>
    <xf numFmtId="0" fontId="8" fillId="0" borderId="21" xfId="0" applyNumberFormat="1" applyFont="1" applyFill="1" applyBorder="1" applyAlignment="1" applyProtection="1">
      <alignment horizontal="center" vertical="center" shrinkToFit="1"/>
    </xf>
    <xf numFmtId="0" fontId="8" fillId="0" borderId="18" xfId="0" applyNumberFormat="1" applyFont="1" applyFill="1" applyBorder="1" applyAlignment="1" applyProtection="1">
      <alignment horizontal="center" vertical="center" shrinkToFit="1"/>
    </xf>
    <xf numFmtId="0" fontId="41" fillId="29" borderId="22" xfId="0" applyFont="1" applyFill="1" applyBorder="1" applyAlignment="1" applyProtection="1">
      <alignment horizontal="left" vertical="center" wrapText="1"/>
    </xf>
    <xf numFmtId="0" fontId="41" fillId="29" borderId="16" xfId="0" applyFont="1" applyFill="1" applyBorder="1" applyAlignment="1" applyProtection="1">
      <alignment horizontal="left" vertical="center"/>
    </xf>
    <xf numFmtId="0" fontId="41" fillId="0" borderId="12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center" vertical="center"/>
    </xf>
    <xf numFmtId="0" fontId="41" fillId="0" borderId="23" xfId="0" applyFont="1" applyFill="1" applyBorder="1" applyAlignment="1" applyProtection="1">
      <alignment horizontal="left" vertical="center" wrapText="1"/>
    </xf>
    <xf numFmtId="0" fontId="41" fillId="0" borderId="15" xfId="0" applyFont="1" applyFill="1" applyBorder="1" applyAlignment="1" applyProtection="1">
      <alignment horizontal="left" vertical="center"/>
    </xf>
    <xf numFmtId="0" fontId="41" fillId="0" borderId="24" xfId="0" applyFont="1" applyFill="1" applyBorder="1" applyAlignment="1" applyProtection="1">
      <alignment horizontal="left" vertical="center"/>
    </xf>
    <xf numFmtId="0" fontId="41" fillId="0" borderId="20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vertical="center" shrinkToFit="1"/>
    </xf>
    <xf numFmtId="49" fontId="8" fillId="0" borderId="1" xfId="0" applyNumberFormat="1" applyFont="1" applyFill="1" applyBorder="1" applyAlignment="1" applyProtection="1">
      <alignment horizontal="center" vertical="center" shrinkToFit="1"/>
    </xf>
    <xf numFmtId="49" fontId="8" fillId="0" borderId="1" xfId="0" applyNumberFormat="1" applyFont="1" applyFill="1" applyBorder="1" applyAlignment="1" applyProtection="1">
      <alignment vertical="center" shrinkToFit="1"/>
    </xf>
    <xf numFmtId="184" fontId="8" fillId="0" borderId="1" xfId="0" applyNumberFormat="1" applyFont="1" applyFill="1" applyBorder="1" applyAlignment="1" applyProtection="1">
      <alignment horizontal="center" vertical="center" shrinkToFit="1"/>
    </xf>
    <xf numFmtId="0" fontId="45" fillId="0" borderId="1" xfId="0" applyFont="1" applyFill="1" applyBorder="1" applyAlignment="1" applyProtection="1">
      <alignment horizontal="center" vertical="center" shrinkToFit="1"/>
    </xf>
    <xf numFmtId="0" fontId="38" fillId="0" borderId="11" xfId="0" applyFont="1" applyFill="1" applyBorder="1" applyAlignment="1" applyProtection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</xf>
    <xf numFmtId="0" fontId="9" fillId="0" borderId="14" xfId="0" applyFont="1" applyFill="1" applyBorder="1" applyAlignment="1" applyProtection="1">
      <alignment vertical="center"/>
    </xf>
    <xf numFmtId="0" fontId="0" fillId="0" borderId="14" xfId="0" applyFill="1" applyBorder="1" applyAlignment="1" applyProtection="1">
      <alignment vertical="center"/>
    </xf>
    <xf numFmtId="0" fontId="0" fillId="0" borderId="16" xfId="0" applyFill="1" applyBorder="1" applyAlignment="1" applyProtection="1">
      <alignment vertical="center"/>
    </xf>
    <xf numFmtId="0" fontId="11" fillId="0" borderId="1" xfId="0" applyFont="1" applyFill="1" applyBorder="1" applyAlignment="1" applyProtection="1">
      <alignment horizontal="center" vertical="center" shrinkToFit="1"/>
    </xf>
    <xf numFmtId="0" fontId="4" fillId="0" borderId="1" xfId="0" applyFont="1" applyFill="1" applyBorder="1" applyAlignment="1" applyProtection="1">
      <alignment horizontal="center" vertical="center" shrinkToFit="1"/>
    </xf>
    <xf numFmtId="0" fontId="47" fillId="0" borderId="0" xfId="79" applyNumberFormat="1" applyFont="1" applyAlignment="1">
      <alignment horizontal="center" wrapText="1"/>
    </xf>
    <xf numFmtId="49" fontId="75" fillId="0" borderId="0" xfId="82" applyNumberFormat="1" applyFont="1" applyFill="1" applyBorder="1" applyAlignment="1">
      <alignment horizontal="center" vertical="center" wrapText="1"/>
    </xf>
    <xf numFmtId="0" fontId="60" fillId="39" borderId="0" xfId="0" applyNumberFormat="1" applyFont="1" applyFill="1" applyAlignment="1">
      <alignment horizontal="center" vertical="center"/>
    </xf>
    <xf numFmtId="49" fontId="60" fillId="39" borderId="0" xfId="79" applyNumberFormat="1" applyFont="1" applyFill="1" applyBorder="1" applyAlignment="1">
      <alignment horizontal="center" vertical="center"/>
    </xf>
    <xf numFmtId="49" fontId="60" fillId="39" borderId="39" xfId="79" applyNumberFormat="1" applyFont="1" applyFill="1" applyBorder="1" applyAlignment="1">
      <alignment horizontal="center" vertical="center"/>
    </xf>
    <xf numFmtId="190" fontId="60" fillId="39" borderId="0" xfId="0" applyNumberFormat="1" applyFont="1" applyFill="1" applyBorder="1" applyAlignment="1">
      <alignment horizontal="center" vertical="center" wrapText="1"/>
    </xf>
    <xf numFmtId="190" fontId="60" fillId="39" borderId="39" xfId="0" applyNumberFormat="1" applyFont="1" applyFill="1" applyBorder="1" applyAlignment="1">
      <alignment horizontal="center" vertical="center" wrapText="1"/>
    </xf>
    <xf numFmtId="49" fontId="60" fillId="39" borderId="0" xfId="0" applyNumberFormat="1" applyFont="1" applyFill="1" applyBorder="1" applyAlignment="1">
      <alignment horizontal="center" vertical="center"/>
    </xf>
    <xf numFmtId="49" fontId="60" fillId="39" borderId="39" xfId="0" applyNumberFormat="1" applyFont="1" applyFill="1" applyBorder="1" applyAlignment="1">
      <alignment horizontal="center" vertical="center"/>
    </xf>
    <xf numFmtId="190" fontId="48" fillId="39" borderId="0" xfId="0" applyNumberFormat="1" applyFont="1" applyFill="1" applyAlignment="1">
      <alignment horizontal="center" vertical="center"/>
    </xf>
    <xf numFmtId="190" fontId="48" fillId="39" borderId="39" xfId="0" applyNumberFormat="1" applyFont="1" applyFill="1" applyBorder="1" applyAlignment="1">
      <alignment horizontal="center" vertical="center"/>
    </xf>
    <xf numFmtId="190" fontId="109" fillId="39" borderId="0" xfId="109" applyNumberFormat="1" applyFont="1" applyFill="1" applyBorder="1" applyAlignment="1">
      <alignment horizontal="center" vertical="center" wrapText="1"/>
    </xf>
    <xf numFmtId="190" fontId="109" fillId="39" borderId="39" xfId="109" applyNumberFormat="1" applyFont="1" applyFill="1" applyBorder="1" applyAlignment="1">
      <alignment horizontal="center" vertical="center" wrapText="1"/>
    </xf>
    <xf numFmtId="190" fontId="109" fillId="39" borderId="0" xfId="109" applyNumberFormat="1" applyFont="1" applyFill="1" applyBorder="1" applyAlignment="1">
      <alignment horizontal="center" vertical="center"/>
    </xf>
    <xf numFmtId="190" fontId="109" fillId="39" borderId="39" xfId="109" applyNumberFormat="1" applyFont="1" applyFill="1" applyBorder="1" applyAlignment="1">
      <alignment horizontal="center" vertical="center"/>
    </xf>
    <xf numFmtId="0" fontId="60" fillId="39" borderId="0" xfId="0" applyNumberFormat="1" applyFont="1" applyFill="1" applyBorder="1" applyAlignment="1">
      <alignment horizontal="center" vertical="center"/>
    </xf>
    <xf numFmtId="0" fontId="60" fillId="39" borderId="39" xfId="0" applyNumberFormat="1" applyFont="1" applyFill="1" applyBorder="1" applyAlignment="1">
      <alignment horizontal="center" vertical="center"/>
    </xf>
    <xf numFmtId="190" fontId="48" fillId="39" borderId="0" xfId="0" applyNumberFormat="1" applyFont="1" applyFill="1" applyBorder="1" applyAlignment="1">
      <alignment horizontal="center" vertical="center"/>
    </xf>
    <xf numFmtId="190" fontId="60" fillId="39" borderId="0" xfId="0" applyNumberFormat="1" applyFont="1" applyFill="1" applyBorder="1" applyAlignment="1">
      <alignment horizontal="center" vertical="center"/>
    </xf>
    <xf numFmtId="0" fontId="48" fillId="0" borderId="60" xfId="79" applyNumberFormat="1" applyFont="1" applyFill="1" applyBorder="1" applyAlignment="1">
      <alignment horizontal="center" vertical="center"/>
    </xf>
    <xf numFmtId="0" fontId="48" fillId="0" borderId="61" xfId="79" applyNumberFormat="1" applyFont="1" applyFill="1" applyBorder="1" applyAlignment="1">
      <alignment horizontal="center" vertical="center"/>
    </xf>
    <xf numFmtId="0" fontId="47" fillId="0" borderId="0" xfId="79" applyFont="1" applyAlignment="1">
      <alignment horizontal="center" wrapText="1"/>
    </xf>
    <xf numFmtId="198" fontId="1" fillId="0" borderId="90" xfId="78" applyNumberFormat="1" applyFont="1" applyFill="1" applyBorder="1" applyAlignment="1">
      <alignment horizontal="center" vertical="center"/>
    </xf>
    <xf numFmtId="198" fontId="1" fillId="0" borderId="109" xfId="78" applyNumberFormat="1" applyFont="1" applyFill="1" applyBorder="1" applyAlignment="1">
      <alignment horizontal="center" vertical="center"/>
    </xf>
    <xf numFmtId="49" fontId="1" fillId="0" borderId="90" xfId="78" applyNumberFormat="1" applyFont="1" applyFill="1" applyBorder="1" applyAlignment="1">
      <alignment horizontal="center" vertical="center"/>
    </xf>
    <xf numFmtId="49" fontId="1" fillId="0" borderId="109" xfId="78" applyNumberFormat="1" applyFont="1" applyFill="1" applyBorder="1" applyAlignment="1">
      <alignment horizontal="center" vertical="center"/>
    </xf>
    <xf numFmtId="0" fontId="5" fillId="28" borderId="47" xfId="0" applyNumberFormat="1" applyFont="1" applyFill="1" applyBorder="1" applyAlignment="1">
      <alignment horizontal="center" vertical="center" wrapText="1"/>
    </xf>
    <xf numFmtId="0" fontId="5" fillId="28" borderId="53" xfId="0" applyNumberFormat="1" applyFont="1" applyFill="1" applyBorder="1" applyAlignment="1">
      <alignment horizontal="center" vertical="center" wrapText="1"/>
    </xf>
    <xf numFmtId="0" fontId="5" fillId="28" borderId="44" xfId="0" applyNumberFormat="1" applyFont="1" applyFill="1" applyBorder="1" applyAlignment="1">
      <alignment horizontal="center" vertical="center"/>
    </xf>
    <xf numFmtId="0" fontId="5" fillId="28" borderId="45" xfId="0" applyNumberFormat="1" applyFont="1" applyFill="1" applyBorder="1" applyAlignment="1">
      <alignment horizontal="center" vertical="center"/>
    </xf>
    <xf numFmtId="0" fontId="5" fillId="28" borderId="46" xfId="0" applyNumberFormat="1" applyFont="1" applyFill="1" applyBorder="1" applyAlignment="1">
      <alignment horizontal="center" vertical="center"/>
    </xf>
    <xf numFmtId="0" fontId="5" fillId="28" borderId="94" xfId="0" applyNumberFormat="1" applyFont="1" applyFill="1" applyBorder="1" applyAlignment="1">
      <alignment horizontal="center" vertical="center"/>
    </xf>
    <xf numFmtId="0" fontId="5" fillId="28" borderId="53" xfId="0" applyNumberFormat="1" applyFont="1" applyFill="1" applyBorder="1" applyAlignment="1">
      <alignment horizontal="center" vertical="center"/>
    </xf>
    <xf numFmtId="0" fontId="5" fillId="28" borderId="90" xfId="0" applyNumberFormat="1" applyFont="1" applyFill="1" applyBorder="1" applyAlignment="1">
      <alignment horizontal="center" vertical="center"/>
    </xf>
    <xf numFmtId="0" fontId="5" fillId="28" borderId="109" xfId="0" applyNumberFormat="1" applyFont="1" applyFill="1" applyBorder="1" applyAlignment="1">
      <alignment horizontal="center" vertical="center"/>
    </xf>
    <xf numFmtId="0" fontId="5" fillId="28" borderId="108" xfId="0" applyNumberFormat="1" applyFont="1" applyFill="1" applyBorder="1" applyAlignment="1">
      <alignment horizontal="center" vertical="center"/>
    </xf>
    <xf numFmtId="0" fontId="67" fillId="0" borderId="0" xfId="0" applyNumberFormat="1" applyFont="1" applyBorder="1" applyAlignment="1">
      <alignment vertical="center"/>
    </xf>
    <xf numFmtId="196" fontId="67" fillId="0" borderId="0" xfId="0" applyNumberFormat="1" applyFont="1" applyBorder="1" applyAlignment="1">
      <alignment vertical="center"/>
    </xf>
    <xf numFmtId="193" fontId="67" fillId="0" borderId="0" xfId="0" applyNumberFormat="1" applyFont="1" applyBorder="1" applyAlignment="1">
      <alignment vertical="center"/>
    </xf>
    <xf numFmtId="203" fontId="69" fillId="0" borderId="0" xfId="0" applyNumberFormat="1" applyFont="1" applyBorder="1" applyAlignment="1">
      <alignment horizontal="center" vertical="center"/>
    </xf>
    <xf numFmtId="0" fontId="67" fillId="0" borderId="39" xfId="0" applyNumberFormat="1" applyFont="1" applyBorder="1" applyAlignment="1">
      <alignment vertical="center"/>
    </xf>
    <xf numFmtId="2" fontId="67" fillId="0" borderId="0" xfId="0" applyNumberFormat="1" applyFont="1" applyBorder="1" applyAlignment="1">
      <alignment vertical="center" shrinkToFit="1"/>
    </xf>
    <xf numFmtId="0" fontId="67" fillId="0" borderId="39" xfId="0" applyFont="1" applyBorder="1" applyAlignment="1">
      <alignment horizontal="center"/>
    </xf>
    <xf numFmtId="0" fontId="67" fillId="0" borderId="0" xfId="0" applyFont="1" applyBorder="1" applyAlignment="1">
      <alignment horizontal="center" vertical="center"/>
    </xf>
    <xf numFmtId="0" fontId="67" fillId="0" borderId="0" xfId="0" applyFont="1" applyBorder="1" applyAlignment="1">
      <alignment horizontal="left" vertical="center"/>
    </xf>
    <xf numFmtId="211" fontId="67" fillId="0" borderId="0" xfId="0" applyNumberFormat="1" applyFont="1" applyBorder="1" applyAlignment="1">
      <alignment vertical="center"/>
    </xf>
    <xf numFmtId="0" fontId="67" fillId="0" borderId="0" xfId="0" applyFont="1" applyBorder="1" applyAlignment="1">
      <alignment vertical="center"/>
    </xf>
    <xf numFmtId="0" fontId="67" fillId="0" borderId="0" xfId="0" applyNumberFormat="1" applyFont="1" applyBorder="1" applyAlignment="1">
      <alignment vertical="center" shrinkToFit="1"/>
    </xf>
    <xf numFmtId="185" fontId="67" fillId="0" borderId="0" xfId="0" applyNumberFormat="1" applyFont="1" applyBorder="1" applyAlignment="1">
      <alignment horizontal="left" vertical="center"/>
    </xf>
    <xf numFmtId="0" fontId="67" fillId="0" borderId="0" xfId="0" applyNumberFormat="1" applyFont="1" applyBorder="1" applyAlignment="1">
      <alignment horizontal="right" vertical="center"/>
    </xf>
    <xf numFmtId="0" fontId="69" fillId="0" borderId="0" xfId="0" applyFont="1" applyBorder="1" applyAlignment="1">
      <alignment horizontal="center" vertical="center"/>
    </xf>
    <xf numFmtId="211" fontId="0" fillId="0" borderId="0" xfId="0" applyNumberFormat="1" applyBorder="1" applyAlignment="1">
      <alignment vertical="center"/>
    </xf>
    <xf numFmtId="196" fontId="67" fillId="0" borderId="0" xfId="0" applyNumberFormat="1" applyFont="1" applyBorder="1" applyAlignment="1">
      <alignment horizontal="right" vertical="center"/>
    </xf>
    <xf numFmtId="211" fontId="67" fillId="0" borderId="0" xfId="0" applyNumberFormat="1" applyFont="1" applyAlignment="1">
      <alignment horizontal="center" vertical="center"/>
    </xf>
    <xf numFmtId="0" fontId="67" fillId="0" borderId="0" xfId="0" applyFont="1" applyAlignment="1">
      <alignment horizontal="center" vertical="center"/>
    </xf>
    <xf numFmtId="211" fontId="67" fillId="0" borderId="0" xfId="0" applyNumberFormat="1" applyFont="1" applyBorder="1" applyAlignment="1">
      <alignment horizontal="center" vertical="center"/>
    </xf>
    <xf numFmtId="193" fontId="67" fillId="0" borderId="0" xfId="0" applyNumberFormat="1" applyFont="1" applyBorder="1" applyAlignment="1">
      <alignment horizontal="center" vertical="center"/>
    </xf>
    <xf numFmtId="189" fontId="67" fillId="0" borderId="39" xfId="0" applyNumberFormat="1" applyFont="1" applyBorder="1" applyAlignment="1">
      <alignment horizontal="center" vertical="center"/>
    </xf>
    <xf numFmtId="203" fontId="69" fillId="0" borderId="0" xfId="0" applyNumberFormat="1" applyFont="1" applyBorder="1" applyAlignment="1">
      <alignment horizontal="right" vertical="center"/>
    </xf>
    <xf numFmtId="225" fontId="67" fillId="0" borderId="0" xfId="0" applyNumberFormat="1" applyFont="1" applyBorder="1" applyAlignment="1">
      <alignment horizontal="left" vertical="center"/>
    </xf>
    <xf numFmtId="196" fontId="67" fillId="0" borderId="0" xfId="0" applyNumberFormat="1" applyFont="1" applyBorder="1" applyAlignment="1">
      <alignment vertical="center" shrinkToFit="1"/>
    </xf>
    <xf numFmtId="215" fontId="67" fillId="0" borderId="0" xfId="0" applyNumberFormat="1" applyFont="1" applyBorder="1" applyAlignment="1">
      <alignment horizontal="left" vertical="center"/>
    </xf>
    <xf numFmtId="207" fontId="65" fillId="0" borderId="39" xfId="0" applyNumberFormat="1" applyFont="1" applyBorder="1" applyAlignment="1">
      <alignment horizontal="center" vertical="center"/>
    </xf>
    <xf numFmtId="207" fontId="67" fillId="0" borderId="39" xfId="0" applyNumberFormat="1" applyFont="1" applyBorder="1" applyAlignment="1">
      <alignment horizontal="center" vertical="center"/>
    </xf>
    <xf numFmtId="203" fontId="67" fillId="0" borderId="0" xfId="0" applyNumberFormat="1" applyFont="1" applyBorder="1" applyAlignment="1">
      <alignment horizontal="center" vertical="center"/>
    </xf>
    <xf numFmtId="0" fontId="67" fillId="0" borderId="115" xfId="0" applyNumberFormat="1" applyFont="1" applyBorder="1" applyAlignment="1">
      <alignment horizontal="center" vertical="center"/>
    </xf>
    <xf numFmtId="210" fontId="65" fillId="0" borderId="39" xfId="0" applyNumberFormat="1" applyFont="1" applyBorder="1" applyAlignment="1">
      <alignment horizontal="center" vertical="center"/>
    </xf>
    <xf numFmtId="0" fontId="67" fillId="0" borderId="43" xfId="0" applyNumberFormat="1" applyFont="1" applyBorder="1" applyAlignment="1">
      <alignment horizontal="center" vertical="center"/>
    </xf>
    <xf numFmtId="209" fontId="67" fillId="0" borderId="0" xfId="0" applyNumberFormat="1" applyFont="1" applyBorder="1" applyAlignment="1">
      <alignment horizontal="center" vertical="center"/>
    </xf>
    <xf numFmtId="211" fontId="0" fillId="0" borderId="0" xfId="0" applyNumberFormat="1" applyAlignment="1">
      <alignment vertical="center"/>
    </xf>
    <xf numFmtId="2" fontId="67" fillId="0" borderId="0" xfId="0" applyNumberFormat="1" applyFont="1" applyBorder="1" applyAlignment="1">
      <alignment vertical="center"/>
    </xf>
    <xf numFmtId="222" fontId="52" fillId="0" borderId="0" xfId="0" applyNumberFormat="1" applyFont="1" applyBorder="1" applyAlignment="1">
      <alignment vertical="center"/>
    </xf>
    <xf numFmtId="1" fontId="52" fillId="0" borderId="39" xfId="0" applyNumberFormat="1" applyFont="1" applyBorder="1" applyAlignment="1">
      <alignment horizontal="right" vertical="center"/>
    </xf>
    <xf numFmtId="207" fontId="52" fillId="0" borderId="0" xfId="0" applyNumberFormat="1" applyFont="1" applyBorder="1" applyAlignment="1">
      <alignment horizontal="center" vertical="center"/>
    </xf>
    <xf numFmtId="195" fontId="67" fillId="0" borderId="39" xfId="0" applyNumberFormat="1" applyFont="1" applyBorder="1" applyAlignment="1">
      <alignment vertical="center"/>
    </xf>
    <xf numFmtId="0" fontId="65" fillId="0" borderId="0" xfId="0" applyFont="1" applyBorder="1" applyAlignment="1">
      <alignment horizontal="center" vertical="center"/>
    </xf>
    <xf numFmtId="0" fontId="67" fillId="0" borderId="0" xfId="0" applyNumberFormat="1" applyFont="1" applyBorder="1" applyAlignment="1">
      <alignment horizontal="center" vertical="center"/>
    </xf>
    <xf numFmtId="0" fontId="67" fillId="0" borderId="65" xfId="0" applyFont="1" applyBorder="1" applyAlignment="1">
      <alignment horizontal="center" vertical="center"/>
    </xf>
    <xf numFmtId="196" fontId="52" fillId="0" borderId="0" xfId="0" applyNumberFormat="1" applyFont="1" applyBorder="1" applyAlignment="1">
      <alignment horizontal="right" vertical="center"/>
    </xf>
    <xf numFmtId="211" fontId="52" fillId="0" borderId="0" xfId="0" applyNumberFormat="1" applyFont="1" applyBorder="1" applyAlignment="1">
      <alignment horizontal="right" vertical="center"/>
    </xf>
    <xf numFmtId="0" fontId="52" fillId="0" borderId="0" xfId="0" applyNumberFormat="1" applyFont="1" applyBorder="1" applyAlignment="1">
      <alignment vertical="center"/>
    </xf>
    <xf numFmtId="226" fontId="52" fillId="0" borderId="0" xfId="0" applyNumberFormat="1" applyFont="1" applyBorder="1" applyAlignment="1">
      <alignment horizontal="center" vertical="center"/>
    </xf>
    <xf numFmtId="0" fontId="52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196" fontId="52" fillId="0" borderId="0" xfId="0" applyNumberFormat="1" applyFont="1" applyBorder="1" applyAlignment="1">
      <alignment horizontal="center" vertical="center"/>
    </xf>
    <xf numFmtId="196" fontId="67" fillId="0" borderId="58" xfId="0" applyNumberFormat="1" applyFont="1" applyBorder="1" applyAlignment="1">
      <alignment vertical="center"/>
    </xf>
    <xf numFmtId="196" fontId="67" fillId="0" borderId="62" xfId="0" applyNumberFormat="1" applyFont="1" applyBorder="1" applyAlignment="1">
      <alignment vertical="center"/>
    </xf>
    <xf numFmtId="211" fontId="67" fillId="0" borderId="62" xfId="0" applyNumberFormat="1" applyFont="1" applyBorder="1" applyAlignment="1">
      <alignment horizontal="center" vertical="center"/>
    </xf>
    <xf numFmtId="196" fontId="52" fillId="0" borderId="0" xfId="0" applyNumberFormat="1" applyFont="1" applyBorder="1" applyAlignment="1">
      <alignment vertical="center"/>
    </xf>
    <xf numFmtId="193" fontId="67" fillId="0" borderId="62" xfId="0" applyNumberFormat="1" applyFont="1" applyBorder="1" applyAlignment="1">
      <alignment horizontal="center" vertical="center"/>
    </xf>
    <xf numFmtId="193" fontId="67" fillId="0" borderId="59" xfId="0" applyNumberFormat="1" applyFont="1" applyBorder="1" applyAlignment="1">
      <alignment horizontal="center" vertical="center"/>
    </xf>
    <xf numFmtId="0" fontId="67" fillId="0" borderId="58" xfId="0" applyFont="1" applyBorder="1" applyAlignment="1">
      <alignment horizontal="center" vertical="center"/>
    </xf>
    <xf numFmtId="0" fontId="67" fillId="0" borderId="62" xfId="0" applyFont="1" applyBorder="1" applyAlignment="1">
      <alignment horizontal="center" vertical="center"/>
    </xf>
    <xf numFmtId="0" fontId="67" fillId="0" borderId="59" xfId="0" applyFont="1" applyBorder="1" applyAlignment="1">
      <alignment horizontal="center" vertical="center"/>
    </xf>
    <xf numFmtId="0" fontId="65" fillId="0" borderId="58" xfId="0" applyFont="1" applyBorder="1" applyAlignment="1">
      <alignment horizontal="center" vertical="center"/>
    </xf>
    <xf numFmtId="0" fontId="65" fillId="0" borderId="62" xfId="0" applyFont="1" applyBorder="1" applyAlignment="1">
      <alignment horizontal="center" vertical="center"/>
    </xf>
    <xf numFmtId="0" fontId="65" fillId="0" borderId="59" xfId="0" applyFont="1" applyBorder="1" applyAlignment="1">
      <alignment horizontal="center" vertical="center"/>
    </xf>
    <xf numFmtId="196" fontId="67" fillId="0" borderId="58" xfId="0" applyNumberFormat="1" applyFont="1" applyBorder="1" applyAlignment="1">
      <alignment horizontal="right" vertical="center"/>
    </xf>
    <xf numFmtId="196" fontId="67" fillId="0" borderId="62" xfId="0" applyNumberFormat="1" applyFont="1" applyBorder="1" applyAlignment="1">
      <alignment horizontal="right" vertical="center"/>
    </xf>
    <xf numFmtId="0" fontId="67" fillId="0" borderId="62" xfId="0" applyNumberFormat="1" applyFont="1" applyBorder="1" applyAlignment="1">
      <alignment vertical="center"/>
    </xf>
    <xf numFmtId="0" fontId="67" fillId="0" borderId="59" xfId="0" applyNumberFormat="1" applyFont="1" applyBorder="1" applyAlignment="1">
      <alignment vertical="center"/>
    </xf>
    <xf numFmtId="196" fontId="52" fillId="0" borderId="43" xfId="0" applyNumberFormat="1" applyFont="1" applyBorder="1" applyAlignment="1">
      <alignment horizontal="center" vertical="center"/>
    </xf>
    <xf numFmtId="207" fontId="52" fillId="0" borderId="0" xfId="0" applyNumberFormat="1" applyFont="1" applyBorder="1" applyAlignment="1">
      <alignment vertical="center"/>
    </xf>
    <xf numFmtId="189" fontId="67" fillId="0" borderId="0" xfId="0" applyNumberFormat="1" applyFont="1" applyBorder="1" applyAlignment="1">
      <alignment vertical="center"/>
    </xf>
    <xf numFmtId="0" fontId="65" fillId="0" borderId="39" xfId="0" applyFont="1" applyBorder="1" applyAlignment="1">
      <alignment horizontal="center" vertical="center"/>
    </xf>
    <xf numFmtId="193" fontId="67" fillId="0" borderId="62" xfId="0" applyNumberFormat="1" applyFont="1" applyBorder="1" applyAlignment="1">
      <alignment vertical="center"/>
    </xf>
    <xf numFmtId="193" fontId="67" fillId="0" borderId="59" xfId="0" applyNumberFormat="1" applyFont="1" applyBorder="1" applyAlignment="1">
      <alignment vertical="center"/>
    </xf>
    <xf numFmtId="0" fontId="52" fillId="0" borderId="58" xfId="0" applyFont="1" applyBorder="1" applyAlignment="1">
      <alignment horizontal="center" vertical="center"/>
    </xf>
    <xf numFmtId="0" fontId="52" fillId="0" borderId="62" xfId="0" applyFont="1" applyBorder="1" applyAlignment="1">
      <alignment horizontal="center" vertical="center"/>
    </xf>
    <xf numFmtId="0" fontId="52" fillId="0" borderId="59" xfId="0" applyFont="1" applyBorder="1" applyAlignment="1">
      <alignment horizontal="center" vertical="center"/>
    </xf>
    <xf numFmtId="0" fontId="67" fillId="0" borderId="58" xfId="0" applyNumberFormat="1" applyFont="1" applyBorder="1" applyAlignment="1">
      <alignment horizontal="center" vertical="center"/>
    </xf>
    <xf numFmtId="0" fontId="67" fillId="0" borderId="62" xfId="0" applyNumberFormat="1" applyFont="1" applyBorder="1" applyAlignment="1">
      <alignment horizontal="center" vertical="center"/>
    </xf>
    <xf numFmtId="0" fontId="67" fillId="0" borderId="59" xfId="0" applyNumberFormat="1" applyFont="1" applyBorder="1" applyAlignment="1">
      <alignment horizontal="center" vertical="center"/>
    </xf>
    <xf numFmtId="2" fontId="67" fillId="0" borderId="58" xfId="0" applyNumberFormat="1" applyFont="1" applyBorder="1" applyAlignment="1">
      <alignment horizontal="center" vertical="center"/>
    </xf>
    <xf numFmtId="2" fontId="67" fillId="0" borderId="62" xfId="0" applyNumberFormat="1" applyFont="1" applyBorder="1" applyAlignment="1">
      <alignment horizontal="center" vertical="center"/>
    </xf>
    <xf numFmtId="2" fontId="67" fillId="0" borderId="59" xfId="0" applyNumberFormat="1" applyFont="1" applyBorder="1" applyAlignment="1">
      <alignment horizontal="center" vertical="center"/>
    </xf>
    <xf numFmtId="0" fontId="67" fillId="0" borderId="58" xfId="0" applyFont="1" applyBorder="1" applyAlignment="1">
      <alignment vertical="center"/>
    </xf>
    <xf numFmtId="0" fontId="67" fillId="0" borderId="62" xfId="0" applyFont="1" applyBorder="1" applyAlignment="1">
      <alignment vertical="center"/>
    </xf>
    <xf numFmtId="0" fontId="65" fillId="0" borderId="62" xfId="0" applyFont="1" applyBorder="1" applyAlignment="1">
      <alignment vertical="center"/>
    </xf>
    <xf numFmtId="0" fontId="65" fillId="0" borderId="59" xfId="0" applyFont="1" applyBorder="1" applyAlignment="1">
      <alignment vertical="center"/>
    </xf>
    <xf numFmtId="211" fontId="67" fillId="0" borderId="58" xfId="0" applyNumberFormat="1" applyFont="1" applyBorder="1" applyAlignment="1">
      <alignment vertical="center"/>
    </xf>
    <xf numFmtId="211" fontId="67" fillId="0" borderId="62" xfId="0" applyNumberFormat="1" applyFont="1" applyBorder="1" applyAlignment="1">
      <alignment vertical="center"/>
    </xf>
    <xf numFmtId="0" fontId="67" fillId="0" borderId="58" xfId="0" applyNumberFormat="1" applyFont="1" applyBorder="1" applyAlignment="1">
      <alignment horizontal="right" vertical="center"/>
    </xf>
    <xf numFmtId="0" fontId="67" fillId="0" borderId="62" xfId="0" applyNumberFormat="1" applyFont="1" applyBorder="1" applyAlignment="1">
      <alignment horizontal="right" vertical="center"/>
    </xf>
    <xf numFmtId="2" fontId="67" fillId="0" borderId="58" xfId="0" applyNumberFormat="1" applyFont="1" applyBorder="1" applyAlignment="1">
      <alignment vertical="center"/>
    </xf>
    <xf numFmtId="2" fontId="67" fillId="0" borderId="62" xfId="0" applyNumberFormat="1" applyFont="1" applyBorder="1" applyAlignment="1">
      <alignment vertical="center"/>
    </xf>
    <xf numFmtId="0" fontId="67" fillId="0" borderId="59" xfId="0" applyFont="1" applyBorder="1" applyAlignment="1">
      <alignment vertical="center"/>
    </xf>
    <xf numFmtId="223" fontId="67" fillId="0" borderId="58" xfId="0" applyNumberFormat="1" applyFont="1" applyBorder="1" applyAlignment="1">
      <alignment horizontal="right" vertical="center" shrinkToFit="1"/>
    </xf>
    <xf numFmtId="223" fontId="67" fillId="0" borderId="62" xfId="0" applyNumberFormat="1" applyFont="1" applyBorder="1" applyAlignment="1">
      <alignment horizontal="right" vertical="center" shrinkToFit="1"/>
    </xf>
    <xf numFmtId="223" fontId="67" fillId="0" borderId="58" xfId="0" applyNumberFormat="1" applyFont="1" applyBorder="1" applyAlignment="1">
      <alignment vertical="center"/>
    </xf>
    <xf numFmtId="223" fontId="67" fillId="0" borderId="62" xfId="0" applyNumberFormat="1" applyFont="1" applyBorder="1" applyAlignment="1">
      <alignment vertical="center"/>
    </xf>
    <xf numFmtId="193" fontId="67" fillId="0" borderId="39" xfId="0" applyNumberFormat="1" applyFont="1" applyBorder="1" applyAlignment="1">
      <alignment vertical="center"/>
    </xf>
    <xf numFmtId="193" fontId="67" fillId="0" borderId="52" xfId="0" applyNumberFormat="1" applyFont="1" applyBorder="1" applyAlignment="1">
      <alignment vertical="center"/>
    </xf>
    <xf numFmtId="0" fontId="67" fillId="0" borderId="61" xfId="0" applyFont="1" applyBorder="1" applyAlignment="1">
      <alignment horizontal="center" vertical="center"/>
    </xf>
    <xf numFmtId="0" fontId="67" fillId="0" borderId="37" xfId="0" applyFont="1" applyBorder="1" applyAlignment="1">
      <alignment horizontal="center" vertical="center"/>
    </xf>
    <xf numFmtId="0" fontId="67" fillId="0" borderId="52" xfId="0" applyFont="1" applyBorder="1" applyAlignment="1">
      <alignment horizontal="center" vertical="center"/>
    </xf>
    <xf numFmtId="0" fontId="65" fillId="0" borderId="37" xfId="0" applyFont="1" applyBorder="1" applyAlignment="1">
      <alignment horizontal="center" vertical="center"/>
    </xf>
    <xf numFmtId="0" fontId="65" fillId="0" borderId="52" xfId="0" applyFont="1" applyBorder="1" applyAlignment="1">
      <alignment horizontal="center" vertical="center"/>
    </xf>
    <xf numFmtId="0" fontId="67" fillId="0" borderId="37" xfId="0" applyNumberFormat="1" applyFont="1" applyBorder="1" applyAlignment="1">
      <alignment horizontal="right" vertical="center"/>
    </xf>
    <xf numFmtId="0" fontId="67" fillId="0" borderId="39" xfId="0" applyNumberFormat="1" applyFont="1" applyBorder="1" applyAlignment="1">
      <alignment horizontal="right" vertical="center"/>
    </xf>
    <xf numFmtId="0" fontId="67" fillId="0" borderId="52" xfId="0" applyNumberFormat="1" applyFont="1" applyBorder="1" applyAlignment="1">
      <alignment vertical="center"/>
    </xf>
    <xf numFmtId="196" fontId="67" fillId="0" borderId="37" xfId="0" applyNumberFormat="1" applyFont="1" applyBorder="1" applyAlignment="1">
      <alignment vertical="center"/>
    </xf>
    <xf numFmtId="196" fontId="67" fillId="0" borderId="39" xfId="0" applyNumberFormat="1" applyFont="1" applyBorder="1" applyAlignment="1">
      <alignment vertical="center"/>
    </xf>
    <xf numFmtId="0" fontId="67" fillId="0" borderId="39" xfId="0" applyFont="1" applyBorder="1" applyAlignment="1">
      <alignment horizontal="center" vertical="center"/>
    </xf>
    <xf numFmtId="0" fontId="67" fillId="0" borderId="87" xfId="0" applyFont="1" applyBorder="1" applyAlignment="1">
      <alignment horizontal="right" vertical="center"/>
    </xf>
    <xf numFmtId="0" fontId="67" fillId="0" borderId="88" xfId="0" applyFont="1" applyBorder="1" applyAlignment="1">
      <alignment horizontal="right" vertical="center"/>
    </xf>
    <xf numFmtId="0" fontId="67" fillId="0" borderId="81" xfId="0" applyFont="1" applyBorder="1" applyAlignment="1">
      <alignment horizontal="center" vertical="center"/>
    </xf>
    <xf numFmtId="0" fontId="65" fillId="0" borderId="58" xfId="0" applyFont="1" applyBorder="1" applyAlignment="1">
      <alignment horizontal="right" vertical="center"/>
    </xf>
    <xf numFmtId="0" fontId="65" fillId="0" borderId="62" xfId="0" applyFont="1" applyBorder="1" applyAlignment="1">
      <alignment horizontal="right" vertical="center"/>
    </xf>
    <xf numFmtId="0" fontId="65" fillId="0" borderId="59" xfId="0" applyFont="1" applyBorder="1" applyAlignment="1">
      <alignment horizontal="right" vertical="center"/>
    </xf>
    <xf numFmtId="0" fontId="67" fillId="0" borderId="65" xfId="0" applyFont="1" applyBorder="1" applyAlignment="1">
      <alignment horizontal="right" vertical="center"/>
    </xf>
    <xf numFmtId="0" fontId="67" fillId="0" borderId="58" xfId="0" applyFont="1" applyBorder="1" applyAlignment="1">
      <alignment horizontal="right" vertical="center"/>
    </xf>
    <xf numFmtId="0" fontId="67" fillId="0" borderId="62" xfId="0" applyFont="1" applyBorder="1" applyAlignment="1">
      <alignment horizontal="right" vertical="center"/>
    </xf>
    <xf numFmtId="0" fontId="67" fillId="0" borderId="59" xfId="0" applyFont="1" applyBorder="1" applyAlignment="1">
      <alignment horizontal="right" vertical="center"/>
    </xf>
    <xf numFmtId="0" fontId="67" fillId="0" borderId="83" xfId="0" applyFont="1" applyBorder="1" applyAlignment="1">
      <alignment horizontal="center" vertical="center"/>
    </xf>
    <xf numFmtId="0" fontId="67" fillId="0" borderId="84" xfId="0" applyFont="1" applyBorder="1" applyAlignment="1">
      <alignment horizontal="center" vertical="center"/>
    </xf>
    <xf numFmtId="0" fontId="65" fillId="0" borderId="85" xfId="0" applyFont="1" applyBorder="1" applyAlignment="1">
      <alignment horizontal="right" vertical="center"/>
    </xf>
    <xf numFmtId="0" fontId="65" fillId="0" borderId="86" xfId="0" applyFont="1" applyBorder="1" applyAlignment="1">
      <alignment horizontal="right" vertical="center"/>
    </xf>
    <xf numFmtId="0" fontId="65" fillId="0" borderId="84" xfId="0" applyFont="1" applyBorder="1" applyAlignment="1">
      <alignment horizontal="right" vertical="center"/>
    </xf>
    <xf numFmtId="0" fontId="67" fillId="0" borderId="85" xfId="0" applyNumberFormat="1" applyFont="1" applyBorder="1" applyAlignment="1">
      <alignment horizontal="center" vertical="center"/>
    </xf>
    <xf numFmtId="0" fontId="67" fillId="0" borderId="86" xfId="0" applyNumberFormat="1" applyFont="1" applyBorder="1" applyAlignment="1">
      <alignment horizontal="center" vertical="center"/>
    </xf>
    <xf numFmtId="0" fontId="67" fillId="0" borderId="84" xfId="0" applyNumberFormat="1" applyFont="1" applyBorder="1" applyAlignment="1">
      <alignment horizontal="center" vertical="center"/>
    </xf>
    <xf numFmtId="196" fontId="67" fillId="0" borderId="85" xfId="0" applyNumberFormat="1" applyFont="1" applyBorder="1" applyAlignment="1">
      <alignment vertical="center"/>
    </xf>
    <xf numFmtId="196" fontId="67" fillId="0" borderId="86" xfId="0" applyNumberFormat="1" applyFont="1" applyBorder="1" applyAlignment="1">
      <alignment vertical="center"/>
    </xf>
    <xf numFmtId="193" fontId="67" fillId="0" borderId="86" xfId="0" applyNumberFormat="1" applyFont="1" applyBorder="1" applyAlignment="1">
      <alignment vertical="center"/>
    </xf>
    <xf numFmtId="193" fontId="67" fillId="0" borderId="84" xfId="0" applyNumberFormat="1" applyFont="1" applyBorder="1" applyAlignment="1">
      <alignment vertical="center"/>
    </xf>
    <xf numFmtId="0" fontId="67" fillId="0" borderId="85" xfId="0" applyFont="1" applyBorder="1" applyAlignment="1">
      <alignment horizontal="right" vertical="center"/>
    </xf>
    <xf numFmtId="0" fontId="67" fillId="0" borderId="86" xfId="0" applyFont="1" applyBorder="1" applyAlignment="1">
      <alignment horizontal="right" vertical="center"/>
    </xf>
    <xf numFmtId="0" fontId="67" fillId="0" borderId="84" xfId="0" applyFont="1" applyBorder="1" applyAlignment="1">
      <alignment horizontal="right" vertical="center"/>
    </xf>
    <xf numFmtId="196" fontId="67" fillId="0" borderId="77" xfId="0" applyNumberFormat="1" applyFont="1" applyBorder="1" applyAlignment="1">
      <alignment vertical="center"/>
    </xf>
    <xf numFmtId="196" fontId="67" fillId="0" borderId="78" xfId="0" applyNumberFormat="1" applyFont="1" applyBorder="1" applyAlignment="1">
      <alignment vertical="center"/>
    </xf>
    <xf numFmtId="211" fontId="67" fillId="0" borderId="78" xfId="0" applyNumberFormat="1" applyFont="1" applyBorder="1" applyAlignment="1">
      <alignment horizontal="center" vertical="center"/>
    </xf>
    <xf numFmtId="193" fontId="67" fillId="0" borderId="78" xfId="0" applyNumberFormat="1" applyFont="1" applyBorder="1" applyAlignment="1">
      <alignment horizontal="center" vertical="center"/>
    </xf>
    <xf numFmtId="193" fontId="67" fillId="0" borderId="79" xfId="0" applyNumberFormat="1" applyFont="1" applyBorder="1" applyAlignment="1">
      <alignment horizontal="center" vertical="center"/>
    </xf>
    <xf numFmtId="0" fontId="67" fillId="0" borderId="76" xfId="0" applyFont="1" applyBorder="1" applyAlignment="1">
      <alignment horizontal="center" vertical="center"/>
    </xf>
    <xf numFmtId="0" fontId="67" fillId="0" borderId="80" xfId="0" applyFont="1" applyBorder="1" applyAlignment="1">
      <alignment horizontal="center" vertical="center"/>
    </xf>
    <xf numFmtId="0" fontId="65" fillId="0" borderId="31" xfId="0" applyFont="1" applyBorder="1" applyAlignment="1">
      <alignment horizontal="center" vertical="center"/>
    </xf>
    <xf numFmtId="0" fontId="65" fillId="0" borderId="32" xfId="0" applyFont="1" applyBorder="1" applyAlignment="1">
      <alignment horizontal="center" vertical="center"/>
    </xf>
    <xf numFmtId="0" fontId="69" fillId="0" borderId="17" xfId="0" applyFont="1" applyBorder="1" applyAlignment="1">
      <alignment horizontal="center" vertical="center"/>
    </xf>
    <xf numFmtId="0" fontId="69" fillId="0" borderId="31" xfId="0" applyFont="1" applyBorder="1" applyAlignment="1">
      <alignment horizontal="center" vertical="center"/>
    </xf>
    <xf numFmtId="0" fontId="69" fillId="0" borderId="32" xfId="0" applyFont="1" applyBorder="1" applyAlignment="1">
      <alignment horizontal="center" vertical="center"/>
    </xf>
    <xf numFmtId="0" fontId="67" fillId="0" borderId="82" xfId="0" applyFont="1" applyBorder="1" applyAlignment="1">
      <alignment horizontal="right" vertical="center"/>
    </xf>
    <xf numFmtId="0" fontId="67" fillId="0" borderId="75" xfId="0" applyFont="1" applyBorder="1" applyAlignment="1">
      <alignment horizontal="center" vertical="center"/>
    </xf>
    <xf numFmtId="0" fontId="65" fillId="0" borderId="77" xfId="0" applyFont="1" applyBorder="1" applyAlignment="1">
      <alignment horizontal="center" vertical="center"/>
    </xf>
    <xf numFmtId="0" fontId="65" fillId="0" borderId="78" xfId="0" applyFont="1" applyBorder="1" applyAlignment="1">
      <alignment horizontal="center" vertical="center"/>
    </xf>
    <xf numFmtId="0" fontId="65" fillId="0" borderId="79" xfId="0" applyFont="1" applyBorder="1" applyAlignment="1">
      <alignment horizontal="center" vertical="center"/>
    </xf>
    <xf numFmtId="0" fontId="67" fillId="0" borderId="77" xfId="0" applyNumberFormat="1" applyFont="1" applyBorder="1" applyAlignment="1">
      <alignment horizontal="right" vertical="center"/>
    </xf>
    <xf numFmtId="0" fontId="67" fillId="0" borderId="78" xfId="0" applyNumberFormat="1" applyFont="1" applyBorder="1" applyAlignment="1">
      <alignment horizontal="right" vertical="center"/>
    </xf>
    <xf numFmtId="0" fontId="67" fillId="0" borderId="78" xfId="0" applyNumberFormat="1" applyFont="1" applyBorder="1" applyAlignment="1">
      <alignment vertical="center"/>
    </xf>
    <xf numFmtId="0" fontId="67" fillId="0" borderId="79" xfId="0" applyNumberFormat="1" applyFont="1" applyBorder="1" applyAlignment="1">
      <alignment vertical="center"/>
    </xf>
    <xf numFmtId="0" fontId="67" fillId="0" borderId="77" xfId="0" applyFont="1" applyBorder="1" applyAlignment="1">
      <alignment horizontal="center" vertical="center"/>
    </xf>
    <xf numFmtId="0" fontId="67" fillId="0" borderId="78" xfId="0" applyFont="1" applyBorder="1" applyAlignment="1">
      <alignment horizontal="center" vertical="center"/>
    </xf>
    <xf numFmtId="0" fontId="67" fillId="0" borderId="79" xfId="0" applyFont="1" applyBorder="1" applyAlignment="1">
      <alignment horizontal="center" vertical="center"/>
    </xf>
    <xf numFmtId="0" fontId="67" fillId="0" borderId="50" xfId="0" applyFont="1" applyBorder="1" applyAlignment="1">
      <alignment horizontal="center" vertical="center"/>
    </xf>
    <xf numFmtId="0" fontId="67" fillId="0" borderId="43" xfId="0" applyFont="1" applyBorder="1" applyAlignment="1">
      <alignment horizontal="center" vertical="center"/>
    </xf>
    <xf numFmtId="0" fontId="67" fillId="0" borderId="51" xfId="0" applyFont="1" applyBorder="1" applyAlignment="1">
      <alignment horizontal="center" vertical="center"/>
    </xf>
    <xf numFmtId="0" fontId="67" fillId="0" borderId="60" xfId="0" applyFont="1" applyBorder="1" applyAlignment="1">
      <alignment horizontal="center" vertical="center"/>
    </xf>
    <xf numFmtId="0" fontId="67" fillId="0" borderId="31" xfId="0" applyFont="1" applyBorder="1" applyAlignment="1">
      <alignment horizontal="center" vertical="center"/>
    </xf>
    <xf numFmtId="0" fontId="67" fillId="0" borderId="32" xfId="0" applyFont="1" applyBorder="1" applyAlignment="1">
      <alignment horizontal="center" vertical="center"/>
    </xf>
    <xf numFmtId="0" fontId="67" fillId="0" borderId="17" xfId="0" applyFont="1" applyBorder="1" applyAlignment="1">
      <alignment horizontal="center" vertical="center"/>
    </xf>
    <xf numFmtId="221" fontId="67" fillId="32" borderId="50" xfId="0" applyNumberFormat="1" applyFont="1" applyFill="1" applyBorder="1" applyAlignment="1">
      <alignment horizontal="center" vertical="center" wrapText="1"/>
    </xf>
    <xf numFmtId="221" fontId="67" fillId="32" borderId="43" xfId="0" applyNumberFormat="1" applyFont="1" applyFill="1" applyBorder="1" applyAlignment="1">
      <alignment horizontal="center" vertical="center" wrapText="1"/>
    </xf>
    <xf numFmtId="221" fontId="67" fillId="32" borderId="51" xfId="0" applyNumberFormat="1" applyFont="1" applyFill="1" applyBorder="1" applyAlignment="1">
      <alignment horizontal="center" vertical="center" wrapText="1"/>
    </xf>
    <xf numFmtId="221" fontId="67" fillId="32" borderId="37" xfId="0" applyNumberFormat="1" applyFont="1" applyFill="1" applyBorder="1" applyAlignment="1">
      <alignment horizontal="center" vertical="center" wrapText="1"/>
    </xf>
    <xf numFmtId="221" fontId="67" fillId="32" borderId="39" xfId="0" applyNumberFormat="1" applyFont="1" applyFill="1" applyBorder="1" applyAlignment="1">
      <alignment horizontal="center" vertical="center" wrapText="1"/>
    </xf>
    <xf numFmtId="221" fontId="67" fillId="32" borderId="52" xfId="0" applyNumberFormat="1" applyFont="1" applyFill="1" applyBorder="1" applyAlignment="1">
      <alignment horizontal="center" vertical="center" wrapText="1"/>
    </xf>
    <xf numFmtId="0" fontId="67" fillId="0" borderId="65" xfId="0" applyFont="1" applyBorder="1" applyAlignment="1">
      <alignment horizontal="center" vertical="center" wrapText="1"/>
    </xf>
    <xf numFmtId="0" fontId="52" fillId="0" borderId="0" xfId="0" applyNumberFormat="1" applyFont="1" applyBorder="1" applyAlignment="1">
      <alignment horizontal="left" vertical="center"/>
    </xf>
    <xf numFmtId="0" fontId="67" fillId="32" borderId="65" xfId="0" applyFont="1" applyFill="1" applyBorder="1" applyAlignment="1">
      <alignment horizontal="center" vertical="center"/>
    </xf>
    <xf numFmtId="0" fontId="67" fillId="32" borderId="65" xfId="0" applyFont="1" applyFill="1" applyBorder="1" applyAlignment="1">
      <alignment horizontal="center" vertical="center" wrapText="1"/>
    </xf>
    <xf numFmtId="2" fontId="67" fillId="0" borderId="65" xfId="0" applyNumberFormat="1" applyFont="1" applyBorder="1" applyAlignment="1">
      <alignment horizontal="center" vertical="center"/>
    </xf>
    <xf numFmtId="188" fontId="67" fillId="0" borderId="65" xfId="0" applyNumberFormat="1" applyFont="1" applyBorder="1" applyAlignment="1">
      <alignment horizontal="center" vertical="center"/>
    </xf>
    <xf numFmtId="0" fontId="67" fillId="32" borderId="50" xfId="0" applyFont="1" applyFill="1" applyBorder="1" applyAlignment="1">
      <alignment horizontal="center" vertical="center" wrapText="1"/>
    </xf>
    <xf numFmtId="0" fontId="67" fillId="32" borderId="43" xfId="0" applyFont="1" applyFill="1" applyBorder="1" applyAlignment="1">
      <alignment horizontal="center" vertical="center" wrapText="1"/>
    </xf>
    <xf numFmtId="0" fontId="67" fillId="32" borderId="51" xfId="0" applyFont="1" applyFill="1" applyBorder="1" applyAlignment="1">
      <alignment horizontal="center" vertical="center" wrapText="1"/>
    </xf>
    <xf numFmtId="0" fontId="67" fillId="32" borderId="37" xfId="0" applyFont="1" applyFill="1" applyBorder="1" applyAlignment="1">
      <alignment horizontal="center" vertical="center" wrapText="1"/>
    </xf>
    <xf numFmtId="0" fontId="67" fillId="32" borderId="39" xfId="0" applyFont="1" applyFill="1" applyBorder="1" applyAlignment="1">
      <alignment horizontal="center" vertical="center" wrapText="1"/>
    </xf>
    <xf numFmtId="0" fontId="67" fillId="32" borderId="52" xfId="0" applyFont="1" applyFill="1" applyBorder="1" applyAlignment="1">
      <alignment horizontal="center" vertical="center" wrapText="1"/>
    </xf>
    <xf numFmtId="0" fontId="67" fillId="32" borderId="58" xfId="0" applyFont="1" applyFill="1" applyBorder="1" applyAlignment="1">
      <alignment horizontal="center" vertical="center" wrapText="1"/>
    </xf>
    <xf numFmtId="0" fontId="67" fillId="32" borderId="62" xfId="0" applyFont="1" applyFill="1" applyBorder="1" applyAlignment="1">
      <alignment horizontal="center" vertical="center" wrapText="1"/>
    </xf>
    <xf numFmtId="0" fontId="67" fillId="32" borderId="59" xfId="0" applyFont="1" applyFill="1" applyBorder="1" applyAlignment="1">
      <alignment horizontal="center" vertical="center" wrapText="1"/>
    </xf>
    <xf numFmtId="188" fontId="67" fillId="0" borderId="50" xfId="0" applyNumberFormat="1" applyFont="1" applyBorder="1" applyAlignment="1">
      <alignment horizontal="center" vertical="center"/>
    </xf>
    <xf numFmtId="0" fontId="67" fillId="0" borderId="51" xfId="0" applyNumberFormat="1" applyFont="1" applyBorder="1" applyAlignment="1">
      <alignment horizontal="center" vertical="center"/>
    </xf>
    <xf numFmtId="0" fontId="67" fillId="0" borderId="31" xfId="0" applyNumberFormat="1" applyFont="1" applyBorder="1" applyAlignment="1">
      <alignment horizontal="center" vertical="center"/>
    </xf>
    <xf numFmtId="0" fontId="67" fillId="0" borderId="32" xfId="0" applyNumberFormat="1" applyFont="1" applyBorder="1" applyAlignment="1">
      <alignment horizontal="center" vertical="center"/>
    </xf>
    <xf numFmtId="0" fontId="67" fillId="0" borderId="37" xfId="0" applyNumberFormat="1" applyFont="1" applyBorder="1" applyAlignment="1">
      <alignment horizontal="center" vertical="center"/>
    </xf>
    <xf numFmtId="0" fontId="67" fillId="0" borderId="39" xfId="0" applyNumberFormat="1" applyFont="1" applyBorder="1" applyAlignment="1">
      <alignment horizontal="center" vertical="center"/>
    </xf>
    <xf numFmtId="0" fontId="67" fillId="0" borderId="52" xfId="0" applyNumberFormat="1" applyFont="1" applyBorder="1" applyAlignment="1">
      <alignment horizontal="center" vertical="center"/>
    </xf>
    <xf numFmtId="1" fontId="67" fillId="0" borderId="65" xfId="0" applyNumberFormat="1" applyFont="1" applyBorder="1" applyAlignment="1">
      <alignment horizontal="center" vertical="center"/>
    </xf>
    <xf numFmtId="196" fontId="67" fillId="0" borderId="65" xfId="0" applyNumberFormat="1" applyFont="1" applyBorder="1" applyAlignment="1">
      <alignment horizontal="center" vertical="center"/>
    </xf>
    <xf numFmtId="0" fontId="52" fillId="32" borderId="65" xfId="0" applyNumberFormat="1" applyFont="1" applyFill="1" applyBorder="1" applyAlignment="1">
      <alignment horizontal="center" vertical="center" shrinkToFit="1"/>
    </xf>
    <xf numFmtId="0" fontId="52" fillId="32" borderId="65" xfId="0" applyNumberFormat="1" applyFont="1" applyFill="1" applyBorder="1" applyAlignment="1">
      <alignment horizontal="center" vertical="center"/>
    </xf>
    <xf numFmtId="0" fontId="67" fillId="0" borderId="65" xfId="0" applyNumberFormat="1" applyFont="1" applyBorder="1" applyAlignment="1">
      <alignment horizontal="center" vertical="center" shrinkToFit="1"/>
    </xf>
    <xf numFmtId="0" fontId="52" fillId="29" borderId="65" xfId="0" applyNumberFormat="1" applyFont="1" applyFill="1" applyBorder="1" applyAlignment="1">
      <alignment horizontal="center" vertical="center"/>
    </xf>
    <xf numFmtId="211" fontId="52" fillId="0" borderId="0" xfId="0" applyNumberFormat="1" applyFont="1" applyBorder="1" applyAlignment="1">
      <alignment horizontal="center" vertical="center"/>
    </xf>
    <xf numFmtId="215" fontId="52" fillId="0" borderId="0" xfId="0" applyNumberFormat="1" applyFont="1" applyBorder="1" applyAlignment="1">
      <alignment horizontal="left" vertical="center"/>
    </xf>
    <xf numFmtId="220" fontId="52" fillId="0" borderId="0" xfId="0" applyNumberFormat="1" applyFont="1" applyBorder="1" applyAlignment="1">
      <alignment vertical="center"/>
    </xf>
    <xf numFmtId="0" fontId="52" fillId="0" borderId="39" xfId="0" applyNumberFormat="1" applyFont="1" applyBorder="1" applyAlignment="1">
      <alignment horizontal="center" vertical="center"/>
    </xf>
    <xf numFmtId="190" fontId="52" fillId="0" borderId="0" xfId="0" applyNumberFormat="1" applyFont="1" applyBorder="1" applyAlignment="1">
      <alignment horizontal="center" vertical="center"/>
    </xf>
    <xf numFmtId="1" fontId="52" fillId="0" borderId="0" xfId="0" applyNumberFormat="1" applyFont="1" applyBorder="1" applyAlignment="1">
      <alignment horizontal="center" vertical="center"/>
    </xf>
    <xf numFmtId="0" fontId="65" fillId="0" borderId="43" xfId="0" applyFont="1" applyBorder="1" applyAlignment="1">
      <alignment horizontal="center" vertical="center"/>
    </xf>
    <xf numFmtId="0" fontId="67" fillId="0" borderId="0" xfId="0" quotePrefix="1" applyFont="1" applyBorder="1" applyAlignment="1">
      <alignment vertical="center"/>
    </xf>
    <xf numFmtId="212" fontId="67" fillId="0" borderId="0" xfId="0" applyNumberFormat="1" applyFont="1" applyBorder="1" applyAlignment="1">
      <alignment horizontal="left" vertical="center" shrinkToFit="1"/>
    </xf>
    <xf numFmtId="189" fontId="67" fillId="0" borderId="39" xfId="0" applyNumberFormat="1" applyFont="1" applyBorder="1" applyAlignment="1">
      <alignment horizontal="center" vertical="center" shrinkToFit="1"/>
    </xf>
    <xf numFmtId="196" fontId="67" fillId="0" borderId="0" xfId="0" applyNumberFormat="1" applyFont="1" applyBorder="1" applyAlignment="1">
      <alignment horizontal="center" vertical="center"/>
    </xf>
    <xf numFmtId="2" fontId="67" fillId="0" borderId="0" xfId="0" applyNumberFormat="1" applyFont="1" applyBorder="1" applyAlignment="1">
      <alignment horizontal="right" vertical="center"/>
    </xf>
    <xf numFmtId="207" fontId="67" fillId="0" borderId="0" xfId="0" applyNumberFormat="1" applyFont="1" applyBorder="1" applyAlignment="1">
      <alignment horizontal="left" vertical="center"/>
    </xf>
    <xf numFmtId="0" fontId="67" fillId="32" borderId="114" xfId="0" applyFont="1" applyFill="1" applyBorder="1" applyAlignment="1">
      <alignment horizontal="center" vertical="center" wrapText="1"/>
    </xf>
    <xf numFmtId="0" fontId="67" fillId="32" borderId="115" xfId="0" applyFont="1" applyFill="1" applyBorder="1" applyAlignment="1">
      <alignment horizontal="center" vertical="center" wrapText="1"/>
    </xf>
    <xf numFmtId="0" fontId="67" fillId="32" borderId="116" xfId="0" applyFont="1" applyFill="1" applyBorder="1" applyAlignment="1">
      <alignment horizontal="center" vertical="center" wrapText="1"/>
    </xf>
    <xf numFmtId="0" fontId="67" fillId="32" borderId="117" xfId="0" applyFont="1" applyFill="1" applyBorder="1" applyAlignment="1">
      <alignment horizontal="center" vertical="center" wrapText="1"/>
    </xf>
    <xf numFmtId="0" fontId="67" fillId="32" borderId="118" xfId="0" applyFont="1" applyFill="1" applyBorder="1" applyAlignment="1">
      <alignment horizontal="center" vertical="center" wrapText="1"/>
    </xf>
    <xf numFmtId="0" fontId="67" fillId="32" borderId="119" xfId="0" applyFont="1" applyFill="1" applyBorder="1" applyAlignment="1">
      <alignment horizontal="center" vertical="center" wrapText="1"/>
    </xf>
    <xf numFmtId="0" fontId="67" fillId="0" borderId="117" xfId="0" applyNumberFormat="1" applyFont="1" applyBorder="1" applyAlignment="1">
      <alignment horizontal="center" vertical="center"/>
    </xf>
    <xf numFmtId="0" fontId="67" fillId="0" borderId="118" xfId="0" applyNumberFormat="1" applyFont="1" applyBorder="1" applyAlignment="1">
      <alignment horizontal="center" vertical="center"/>
    </xf>
    <xf numFmtId="0" fontId="67" fillId="0" borderId="119" xfId="0" applyNumberFormat="1" applyFont="1" applyBorder="1" applyAlignment="1">
      <alignment horizontal="center" vertical="center"/>
    </xf>
    <xf numFmtId="0" fontId="82" fillId="28" borderId="89" xfId="0" applyNumberFormat="1" applyFont="1" applyFill="1" applyBorder="1" applyAlignment="1">
      <alignment horizontal="center" vertical="center" wrapText="1"/>
    </xf>
    <xf numFmtId="0" fontId="82" fillId="28" borderId="94" xfId="0" applyNumberFormat="1" applyFont="1" applyFill="1" applyBorder="1" applyAlignment="1">
      <alignment horizontal="center" vertical="center"/>
    </xf>
    <xf numFmtId="0" fontId="82" fillId="28" borderId="91" xfId="0" applyNumberFormat="1" applyFont="1" applyFill="1" applyBorder="1" applyAlignment="1">
      <alignment horizontal="center" vertical="center"/>
    </xf>
    <xf numFmtId="0" fontId="82" fillId="28" borderId="53" xfId="0" applyNumberFormat="1" applyFont="1" applyFill="1" applyBorder="1" applyAlignment="1">
      <alignment horizontal="center" vertical="center"/>
    </xf>
    <xf numFmtId="0" fontId="82" fillId="28" borderId="64" xfId="0" applyNumberFormat="1" applyFont="1" applyFill="1" applyBorder="1" applyAlignment="1">
      <alignment horizontal="center" vertical="center" wrapText="1"/>
    </xf>
    <xf numFmtId="0" fontId="82" fillId="28" borderId="71" xfId="0" applyNumberFormat="1" applyFont="1" applyFill="1" applyBorder="1" applyAlignment="1">
      <alignment horizontal="center" vertical="center" wrapText="1"/>
    </xf>
    <xf numFmtId="0" fontId="82" fillId="28" borderId="69" xfId="0" applyNumberFormat="1" applyFont="1" applyFill="1" applyBorder="1" applyAlignment="1">
      <alignment horizontal="center" vertical="center" wrapText="1"/>
    </xf>
    <xf numFmtId="0" fontId="82" fillId="28" borderId="72" xfId="0" applyNumberFormat="1" applyFont="1" applyFill="1" applyBorder="1" applyAlignment="1">
      <alignment horizontal="center" vertical="center" wrapText="1"/>
    </xf>
    <xf numFmtId="0" fontId="82" fillId="28" borderId="53" xfId="0" applyNumberFormat="1" applyFont="1" applyFill="1" applyBorder="1" applyAlignment="1">
      <alignment horizontal="center" vertical="center" wrapText="1"/>
    </xf>
    <xf numFmtId="0" fontId="82" fillId="28" borderId="91" xfId="0" applyNumberFormat="1" applyFont="1" applyFill="1" applyBorder="1" applyAlignment="1">
      <alignment horizontal="center" vertical="center" wrapText="1"/>
    </xf>
    <xf numFmtId="0" fontId="82" fillId="28" borderId="64" xfId="0" applyNumberFormat="1" applyFont="1" applyFill="1" applyBorder="1" applyAlignment="1">
      <alignment horizontal="center" vertical="center"/>
    </xf>
    <xf numFmtId="0" fontId="82" fillId="28" borderId="47" xfId="0" applyNumberFormat="1" applyFont="1" applyFill="1" applyBorder="1" applyAlignment="1">
      <alignment horizontal="center" vertical="center" wrapText="1"/>
    </xf>
    <xf numFmtId="189" fontId="81" fillId="0" borderId="89" xfId="0" applyNumberFormat="1" applyFont="1" applyFill="1" applyBorder="1" applyAlignment="1">
      <alignment horizontal="center" vertical="center"/>
    </xf>
    <xf numFmtId="194" fontId="81" fillId="32" borderId="47" xfId="86" applyNumberFormat="1" applyFont="1" applyFill="1" applyBorder="1" applyAlignment="1">
      <alignment horizontal="center" vertical="center" wrapText="1"/>
    </xf>
    <xf numFmtId="194" fontId="81" fillId="32" borderId="53" xfId="86" applyNumberFormat="1" applyFont="1" applyFill="1" applyBorder="1" applyAlignment="1">
      <alignment horizontal="center" vertical="center" wrapText="1"/>
    </xf>
    <xf numFmtId="0" fontId="82" fillId="28" borderId="44" xfId="0" applyNumberFormat="1" applyFont="1" applyFill="1" applyBorder="1" applyAlignment="1">
      <alignment horizontal="center" vertical="center" wrapText="1"/>
    </xf>
    <xf numFmtId="0" fontId="82" fillId="28" borderId="45" xfId="0" applyNumberFormat="1" applyFont="1" applyFill="1" applyBorder="1" applyAlignment="1">
      <alignment horizontal="center" vertical="center" wrapText="1"/>
    </xf>
    <xf numFmtId="0" fontId="82" fillId="28" borderId="46" xfId="0" applyNumberFormat="1" applyFont="1" applyFill="1" applyBorder="1" applyAlignment="1">
      <alignment horizontal="center" vertical="center" wrapText="1"/>
    </xf>
    <xf numFmtId="0" fontId="82" fillId="28" borderId="71" xfId="0" applyNumberFormat="1" applyFont="1" applyFill="1" applyBorder="1" applyAlignment="1">
      <alignment horizontal="center" vertical="center"/>
    </xf>
    <xf numFmtId="216" fontId="52" fillId="0" borderId="60" xfId="87" applyNumberFormat="1" applyFont="1" applyBorder="1" applyAlignment="1">
      <alignment horizontal="center" vertical="center"/>
    </xf>
    <xf numFmtId="216" fontId="52" fillId="0" borderId="17" xfId="87" applyNumberFormat="1" applyFont="1" applyBorder="1" applyAlignment="1">
      <alignment horizontal="center" vertical="center"/>
    </xf>
    <xf numFmtId="216" fontId="52" fillId="0" borderId="61" xfId="87" applyNumberFormat="1" applyFont="1" applyBorder="1" applyAlignment="1">
      <alignment horizontal="center" vertical="center"/>
    </xf>
    <xf numFmtId="191" fontId="82" fillId="28" borderId="90" xfId="0" applyNumberFormat="1" applyFont="1" applyFill="1" applyBorder="1" applyAlignment="1">
      <alignment horizontal="center" vertical="center" wrapText="1"/>
    </xf>
    <xf numFmtId="191" fontId="82" fillId="28" borderId="109" xfId="0" applyNumberFormat="1" applyFont="1" applyFill="1" applyBorder="1" applyAlignment="1">
      <alignment horizontal="center" vertical="center" wrapText="1"/>
    </xf>
    <xf numFmtId="0" fontId="82" fillId="28" borderId="92" xfId="0" applyNumberFormat="1" applyFont="1" applyFill="1" applyBorder="1" applyAlignment="1">
      <alignment horizontal="center" vertical="center" wrapText="1"/>
    </xf>
    <xf numFmtId="0" fontId="82" fillId="28" borderId="95" xfId="0" applyNumberFormat="1" applyFont="1" applyFill="1" applyBorder="1" applyAlignment="1">
      <alignment horizontal="center" vertical="center" wrapText="1"/>
    </xf>
    <xf numFmtId="0" fontId="82" fillId="28" borderId="93" xfId="0" applyNumberFormat="1" applyFont="1" applyFill="1" applyBorder="1" applyAlignment="1">
      <alignment horizontal="center" vertical="center" wrapText="1"/>
    </xf>
    <xf numFmtId="194" fontId="81" fillId="0" borderId="44" xfId="0" applyNumberFormat="1" applyFont="1" applyFill="1" applyBorder="1" applyAlignment="1">
      <alignment horizontal="center" vertical="center"/>
    </xf>
    <xf numFmtId="194" fontId="81" fillId="0" borderId="45" xfId="0" applyNumberFormat="1" applyFont="1" applyFill="1" applyBorder="1" applyAlignment="1">
      <alignment horizontal="center" vertical="center"/>
    </xf>
    <xf numFmtId="194" fontId="81" fillId="0" borderId="46" xfId="0" applyNumberFormat="1" applyFont="1" applyFill="1" applyBorder="1" applyAlignment="1">
      <alignment horizontal="center" vertical="center"/>
    </xf>
    <xf numFmtId="0" fontId="82" fillId="28" borderId="105" xfId="0" applyNumberFormat="1" applyFont="1" applyFill="1" applyBorder="1" applyAlignment="1">
      <alignment horizontal="center" vertical="center" wrapText="1"/>
    </xf>
    <xf numFmtId="0" fontId="82" fillId="28" borderId="90" xfId="0" applyNumberFormat="1" applyFont="1" applyFill="1" applyBorder="1" applyAlignment="1">
      <alignment horizontal="center" vertical="center"/>
    </xf>
    <xf numFmtId="0" fontId="82" fillId="28" borderId="108" xfId="0" applyNumberFormat="1" applyFont="1" applyFill="1" applyBorder="1" applyAlignment="1">
      <alignment horizontal="center" vertical="center"/>
    </xf>
    <xf numFmtId="0" fontId="82" fillId="28" borderId="109" xfId="0" applyNumberFormat="1" applyFont="1" applyFill="1" applyBorder="1" applyAlignment="1">
      <alignment horizontal="center" vertical="center"/>
    </xf>
    <xf numFmtId="0" fontId="52" fillId="0" borderId="58" xfId="0" applyNumberFormat="1" applyFont="1" applyBorder="1" applyAlignment="1">
      <alignment horizontal="center" vertical="center"/>
    </xf>
    <xf numFmtId="0" fontId="52" fillId="0" borderId="59" xfId="0" applyNumberFormat="1" applyFont="1" applyBorder="1" applyAlignment="1">
      <alignment horizontal="center" vertical="center"/>
    </xf>
    <xf numFmtId="41" fontId="52" fillId="0" borderId="60" xfId="87" applyFont="1" applyBorder="1" applyAlignment="1">
      <alignment horizontal="center" vertical="center" wrapText="1"/>
    </xf>
    <xf numFmtId="41" fontId="52" fillId="0" borderId="17" xfId="87" applyFont="1" applyBorder="1" applyAlignment="1">
      <alignment horizontal="center" vertical="center" wrapText="1"/>
    </xf>
    <xf numFmtId="41" fontId="52" fillId="0" borderId="61" xfId="87" applyFont="1" applyBorder="1" applyAlignment="1">
      <alignment horizontal="center" vertical="center" wrapText="1"/>
    </xf>
    <xf numFmtId="0" fontId="82" fillId="28" borderId="89" xfId="0" applyNumberFormat="1" applyFont="1" applyFill="1" applyBorder="1" applyAlignment="1">
      <alignment horizontal="center" vertical="center"/>
    </xf>
    <xf numFmtId="191" fontId="82" fillId="28" borderId="94" xfId="0" applyNumberFormat="1" applyFont="1" applyFill="1" applyBorder="1" applyAlignment="1">
      <alignment horizontal="center" vertical="center" wrapText="1"/>
    </xf>
    <xf numFmtId="191" fontId="82" fillId="28" borderId="53" xfId="0" applyNumberFormat="1" applyFont="1" applyFill="1" applyBorder="1" applyAlignment="1">
      <alignment horizontal="center" vertical="center" wrapText="1"/>
    </xf>
    <xf numFmtId="0" fontId="82" fillId="28" borderId="90" xfId="0" applyNumberFormat="1" applyFont="1" applyFill="1" applyBorder="1" applyAlignment="1">
      <alignment horizontal="center" vertical="center" wrapText="1"/>
    </xf>
    <xf numFmtId="0" fontId="82" fillId="28" borderId="108" xfId="0" applyNumberFormat="1" applyFont="1" applyFill="1" applyBorder="1" applyAlignment="1">
      <alignment horizontal="center" vertical="center" wrapText="1"/>
    </xf>
    <xf numFmtId="0" fontId="82" fillId="28" borderId="109" xfId="0" applyNumberFormat="1" applyFont="1" applyFill="1" applyBorder="1" applyAlignment="1">
      <alignment horizontal="center" vertical="center" wrapText="1"/>
    </xf>
    <xf numFmtId="0" fontId="82" fillId="28" borderId="94" xfId="0" applyNumberFormat="1" applyFont="1" applyFill="1" applyBorder="1" applyAlignment="1">
      <alignment horizontal="center" vertical="center" wrapText="1"/>
    </xf>
    <xf numFmtId="0" fontId="82" fillId="28" borderId="70" xfId="0" applyNumberFormat="1" applyFont="1" applyFill="1" applyBorder="1" applyAlignment="1">
      <alignment horizontal="center" vertical="center" wrapText="1"/>
    </xf>
    <xf numFmtId="0" fontId="82" fillId="28" borderId="73" xfId="0" applyNumberFormat="1" applyFont="1" applyFill="1" applyBorder="1" applyAlignment="1">
      <alignment horizontal="center" vertical="center" wrapText="1"/>
    </xf>
  </cellXfs>
  <cellStyles count="114">
    <cellStyle name="??&amp;O?&amp;H?_x0008__x000f__x0007_?_x0007__x0001__x0001_" xfId="1"/>
    <cellStyle name="??&amp;O?&amp;H?_x0008_??_x0007__x0001__x0001_" xfId="2"/>
    <cellStyle name="æØè [0.00]_PRODUCT DETAIL Q1" xfId="3"/>
    <cellStyle name="æØè_PRODUCT DETAIL Q1" xfId="4"/>
    <cellStyle name="ÊÝ [0.00]_PRODUCT DETAIL Q1" xfId="5"/>
    <cellStyle name="ÊÝ_PRODUCT DETAIL Q1" xfId="6"/>
    <cellStyle name="W?_BOOKSHIP" xfId="7"/>
    <cellStyle name="W_BOOKSHIP" xfId="8"/>
    <cellStyle name="20% - 강조색1" xfId="9" builtinId="30" customBuiltin="1"/>
    <cellStyle name="20% - 강조색2" xfId="10" builtinId="34" customBuiltin="1"/>
    <cellStyle name="20% - 강조색3" xfId="11" builtinId="38" customBuiltin="1"/>
    <cellStyle name="20% - 강조색4" xfId="12" builtinId="42" customBuiltin="1"/>
    <cellStyle name="20% - 강조색5" xfId="13" builtinId="46" customBuiltin="1"/>
    <cellStyle name="20% - 강조색6" xfId="14" builtinId="50" customBuiltin="1"/>
    <cellStyle name="40% - 강조색1" xfId="15" builtinId="31" customBuiltin="1"/>
    <cellStyle name="40% - 강조색2" xfId="16" builtinId="35" customBuiltin="1"/>
    <cellStyle name="40% - 강조색3" xfId="17" builtinId="39" customBuiltin="1"/>
    <cellStyle name="40% - 강조색4" xfId="18" builtinId="43" customBuiltin="1"/>
    <cellStyle name="40% - 강조색5" xfId="19" builtinId="47" customBuiltin="1"/>
    <cellStyle name="40% - 강조색6" xfId="20" builtinId="51" customBuiltin="1"/>
    <cellStyle name="60% - 강조색1" xfId="21" builtinId="32" customBuiltin="1"/>
    <cellStyle name="60% - 강조색2" xfId="22" builtinId="36" customBuiltin="1"/>
    <cellStyle name="60% - 강조색3" xfId="23" builtinId="40" customBuiltin="1"/>
    <cellStyle name="60% - 강조색4" xfId="24" builtinId="44" customBuiltin="1"/>
    <cellStyle name="60% - 강조색5" xfId="25" builtinId="48" customBuiltin="1"/>
    <cellStyle name="60% - 강조색6" xfId="26" builtinId="52" customBuiltin="1"/>
    <cellStyle name="ÅëÈ­ [0]_¸ÅÃâ" xfId="27"/>
    <cellStyle name="ÅëÈ­_¸ÅÃâ" xfId="28"/>
    <cellStyle name="ÄÞ¸¶ [0]_¸ÅÃâ" xfId="29"/>
    <cellStyle name="ÄÞ¸¶_¸ÅÃâ" xfId="30"/>
    <cellStyle name="Ç¥ÁØ_(Á¤º¸ºÎ¹®)¿ùº°ÀÎ¿ø°èÈ¹" xfId="31"/>
    <cellStyle name="Comma [0]_ SG&amp;A Bridge " xfId="32"/>
    <cellStyle name="Comma_ SG&amp;A Bridge " xfId="33"/>
    <cellStyle name="Currency [0]_ SG&amp;A Bridge " xfId="34"/>
    <cellStyle name="Currency_ SG&amp;A Bridge " xfId="35"/>
    <cellStyle name="Grey" xfId="36"/>
    <cellStyle name="Input [yellow]" xfId="37"/>
    <cellStyle name="Input [yellow] 2" xfId="88"/>
    <cellStyle name="Input [yellow] 2 2" xfId="102"/>
    <cellStyle name="Input [yellow] 3" xfId="95"/>
    <cellStyle name="Normal - Style1" xfId="38"/>
    <cellStyle name="Normal_ SG&amp;A Bridge " xfId="39"/>
    <cellStyle name="Percent [2]" xfId="40"/>
    <cellStyle name="강조색1" xfId="41" builtinId="29" customBuiltin="1"/>
    <cellStyle name="강조색2" xfId="42" builtinId="33" customBuiltin="1"/>
    <cellStyle name="강조색3" xfId="43" builtinId="37" customBuiltin="1"/>
    <cellStyle name="강조색4" xfId="44" builtinId="41" customBuiltin="1"/>
    <cellStyle name="강조색5" xfId="45" builtinId="45" customBuiltin="1"/>
    <cellStyle name="강조색6" xfId="46" builtinId="49" customBuiltin="1"/>
    <cellStyle name="경고문" xfId="47" builtinId="11" customBuiltin="1"/>
    <cellStyle name="계산" xfId="48" builtinId="22" customBuiltin="1"/>
    <cellStyle name="계산 2" xfId="89"/>
    <cellStyle name="계산 2 2" xfId="103"/>
    <cellStyle name="계산 3" xfId="96"/>
    <cellStyle name="나쁨" xfId="49" builtinId="27" customBuiltin="1"/>
    <cellStyle name="뒤에 오는 하이퍼링크_불확도(OPM)" xfId="50"/>
    <cellStyle name="메모" xfId="51" builtinId="10" customBuiltin="1"/>
    <cellStyle name="메모 2" xfId="90"/>
    <cellStyle name="메모 2 2" xfId="104"/>
    <cellStyle name="메모 3" xfId="97"/>
    <cellStyle name="백분율" xfId="86" builtinId="5"/>
    <cellStyle name="백분율 2" xfId="83"/>
    <cellStyle name="보통" xfId="52" builtinId="28" customBuiltin="1"/>
    <cellStyle name="뷭?_BOOKSHIP" xfId="53"/>
    <cellStyle name="설명 텍스트" xfId="54" builtinId="53" customBuiltin="1"/>
    <cellStyle name="셀 확인" xfId="55" builtinId="23" customBuiltin="1"/>
    <cellStyle name="쉼표 [0]" xfId="87" builtinId="6"/>
    <cellStyle name="쉼표 [0] 2" xfId="94"/>
    <cellStyle name="쉼표 [0] 2 2" xfId="108"/>
    <cellStyle name="쉼표 [0] 2 2 2" xfId="113"/>
    <cellStyle name="쉼표 [0] 2 3" xfId="111"/>
    <cellStyle name="쉼표 [0] 3" xfId="101"/>
    <cellStyle name="쉼표 [0] 3 2" xfId="112"/>
    <cellStyle name="쉼표 [0] 4" xfId="110"/>
    <cellStyle name="스타일 1" xfId="56"/>
    <cellStyle name="연결된 셀" xfId="57" builtinId="24" customBuiltin="1"/>
    <cellStyle name="요약" xfId="58" builtinId="25" customBuiltin="1"/>
    <cellStyle name="요약 2" xfId="91"/>
    <cellStyle name="요약 2 2" xfId="105"/>
    <cellStyle name="요약 3" xfId="98"/>
    <cellStyle name="입력" xfId="59" builtinId="20" customBuiltin="1"/>
    <cellStyle name="입력 2" xfId="92"/>
    <cellStyle name="입력 2 2" xfId="106"/>
    <cellStyle name="입력 3" xfId="99"/>
    <cellStyle name="제목" xfId="60" builtinId="15" customBuiltin="1"/>
    <cellStyle name="제목 1" xfId="61" builtinId="16" customBuiltin="1"/>
    <cellStyle name="제목 2" xfId="62" builtinId="17" customBuiltin="1"/>
    <cellStyle name="제목 3" xfId="63" builtinId="18" customBuiltin="1"/>
    <cellStyle name="제목 4" xfId="64" builtinId="19" customBuiltin="1"/>
    <cellStyle name="좋음" xfId="65" builtinId="26" customBuiltin="1"/>
    <cellStyle name="출력" xfId="66" builtinId="21" customBuiltin="1"/>
    <cellStyle name="출력 2" xfId="93"/>
    <cellStyle name="출력 2 2" xfId="107"/>
    <cellStyle name="출력 3" xfId="100"/>
    <cellStyle name="콤마 [0]_  갑 지  " xfId="67"/>
    <cellStyle name="콤마_  갑 지  " xfId="68"/>
    <cellStyle name="표준" xfId="0" builtinId="0" customBuiltin="1"/>
    <cellStyle name="표준 2" xfId="69"/>
    <cellStyle name="표준 2 2" xfId="70"/>
    <cellStyle name="표준 2 3" xfId="84"/>
    <cellStyle name="표준 2 3 2" xfId="85"/>
    <cellStyle name="표준 3" xfId="71"/>
    <cellStyle name="표준 3 2" xfId="72"/>
    <cellStyle name="표준 3 3" xfId="73"/>
    <cellStyle name="표준 4" xfId="74"/>
    <cellStyle name="표준 5" xfId="75"/>
    <cellStyle name="표준 6" xfId="76"/>
    <cellStyle name="표준 7" xfId="77"/>
    <cellStyle name="표준_AGLIENT 34401A(12.22)" xfId="78"/>
    <cellStyle name="표준_ESS-2000" xfId="79"/>
    <cellStyle name="표준_Sheet1" xfId="81"/>
    <cellStyle name="표준_교정결과" xfId="109"/>
    <cellStyle name="표준_영문Reg004-X" xfId="82"/>
    <cellStyle name="표준_최신샘플" xfId="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emf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emf"/><Relationship Id="rId39" Type="http://schemas.openxmlformats.org/officeDocument/2006/relationships/image" Target="../media/image39.emf"/><Relationship Id="rId21" Type="http://schemas.openxmlformats.org/officeDocument/2006/relationships/image" Target="../media/image21.emf"/><Relationship Id="rId34" Type="http://schemas.openxmlformats.org/officeDocument/2006/relationships/image" Target="../media/image34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29" Type="http://schemas.openxmlformats.org/officeDocument/2006/relationships/image" Target="../media/image29.emf"/><Relationship Id="rId41" Type="http://schemas.openxmlformats.org/officeDocument/2006/relationships/image" Target="../media/image41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24" Type="http://schemas.openxmlformats.org/officeDocument/2006/relationships/image" Target="../media/image24.emf"/><Relationship Id="rId32" Type="http://schemas.openxmlformats.org/officeDocument/2006/relationships/image" Target="../media/image32.emf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23" Type="http://schemas.openxmlformats.org/officeDocument/2006/relationships/image" Target="../media/image23.emf"/><Relationship Id="rId28" Type="http://schemas.openxmlformats.org/officeDocument/2006/relationships/image" Target="../media/image28.emf"/><Relationship Id="rId36" Type="http://schemas.openxmlformats.org/officeDocument/2006/relationships/image" Target="../media/image36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31" Type="http://schemas.openxmlformats.org/officeDocument/2006/relationships/image" Target="../media/image3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22.emf"/><Relationship Id="rId27" Type="http://schemas.openxmlformats.org/officeDocument/2006/relationships/image" Target="../media/image27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emf"/><Relationship Id="rId33" Type="http://schemas.openxmlformats.org/officeDocument/2006/relationships/image" Target="../media/image33.emf"/><Relationship Id="rId38" Type="http://schemas.openxmlformats.org/officeDocument/2006/relationships/image" Target="../media/image38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1352550</xdr:colOff>
      <xdr:row>46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971800" y="9186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971800" y="9186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1352550</xdr:colOff>
      <xdr:row>46</xdr:row>
      <xdr:rowOff>14287</xdr:rowOff>
    </xdr:from>
    <xdr:ext cx="25840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4581525" y="9186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581525" y="9186862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38</xdr:row>
      <xdr:rowOff>9525</xdr:rowOff>
    </xdr:from>
    <xdr:to>
      <xdr:col>7</xdr:col>
      <xdr:colOff>267929</xdr:colOff>
      <xdr:row>38</xdr:row>
      <xdr:rowOff>181752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33550" y="7658100"/>
              <a:ext cx="25840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𝑘=</a:t>
              </a:r>
              <a:endParaRPr lang="ko-KR" altLang="en-US" sz="11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133</xdr:row>
          <xdr:rowOff>9525</xdr:rowOff>
        </xdr:from>
        <xdr:to>
          <xdr:col>15</xdr:col>
          <xdr:colOff>85725</xdr:colOff>
          <xdr:row>133</xdr:row>
          <xdr:rowOff>209550</xdr:rowOff>
        </xdr:to>
        <xdr:sp macro="" textlink="">
          <xdr:nvSpPr>
            <xdr:cNvPr id="2531" name="Object 483" hidden="1">
              <a:extLst>
                <a:ext uri="{63B3BB69-23CF-44E3-9099-C40C66FF867C}">
                  <a14:compatExt spid="_x0000_s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123825</xdr:colOff>
          <xdr:row>133</xdr:row>
          <xdr:rowOff>0</xdr:rowOff>
        </xdr:from>
        <xdr:to>
          <xdr:col>20</xdr:col>
          <xdr:colOff>19050</xdr:colOff>
          <xdr:row>133</xdr:row>
          <xdr:rowOff>200025</xdr:rowOff>
        </xdr:to>
        <xdr:sp macro="" textlink="">
          <xdr:nvSpPr>
            <xdr:cNvPr id="2532" name="Object 484" hidden="1">
              <a:extLst>
                <a:ext uri="{63B3BB69-23CF-44E3-9099-C40C66FF867C}">
                  <a14:compatExt spid="_x0000_s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19050</xdr:rowOff>
        </xdr:from>
        <xdr:to>
          <xdr:col>4</xdr:col>
          <xdr:colOff>0</xdr:colOff>
          <xdr:row>54</xdr:row>
          <xdr:rowOff>0</xdr:rowOff>
        </xdr:to>
        <xdr:sp macro="" textlink="">
          <xdr:nvSpPr>
            <xdr:cNvPr id="2533" name="Object 485" hidden="1">
              <a:extLst>
                <a:ext uri="{63B3BB69-23CF-44E3-9099-C40C66FF867C}">
                  <a14:compatExt spid="_x0000_s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85725</xdr:colOff>
          <xdr:row>76</xdr:row>
          <xdr:rowOff>19050</xdr:rowOff>
        </xdr:from>
        <xdr:to>
          <xdr:col>5</xdr:col>
          <xdr:colOff>76200</xdr:colOff>
          <xdr:row>77</xdr:row>
          <xdr:rowOff>0</xdr:rowOff>
        </xdr:to>
        <xdr:sp macro="" textlink="">
          <xdr:nvSpPr>
            <xdr:cNvPr id="2535" name="Object 487" hidden="1">
              <a:extLst>
                <a:ext uri="{63B3BB69-23CF-44E3-9099-C40C66FF867C}">
                  <a14:compatExt spid="_x0000_s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138</xdr:row>
          <xdr:rowOff>57150</xdr:rowOff>
        </xdr:from>
        <xdr:to>
          <xdr:col>12</xdr:col>
          <xdr:colOff>0</xdr:colOff>
          <xdr:row>139</xdr:row>
          <xdr:rowOff>200025</xdr:rowOff>
        </xdr:to>
        <xdr:sp macro="" textlink="">
          <xdr:nvSpPr>
            <xdr:cNvPr id="2536" name="Object 488" hidden="1">
              <a:extLst>
                <a:ext uri="{63B3BB69-23CF-44E3-9099-C40C66FF867C}">
                  <a14:compatExt spid="_x0000_s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28</xdr:col>
      <xdr:colOff>95250</xdr:colOff>
      <xdr:row>143</xdr:row>
      <xdr:rowOff>28575</xdr:rowOff>
    </xdr:from>
    <xdr:to>
      <xdr:col>29</xdr:col>
      <xdr:colOff>85725</xdr:colOff>
      <xdr:row>143</xdr:row>
      <xdr:rowOff>219075</xdr:rowOff>
    </xdr:to>
    <xdr:pic>
      <xdr:nvPicPr>
        <xdr:cNvPr id="86" name="Picture 38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62450" y="34089975"/>
          <a:ext cx="142875" cy="190500"/>
        </a:xfrm>
        <a:prstGeom prst="rect">
          <a:avLst/>
        </a:prstGeom>
        <a:noFill/>
        <a:ln w="9525"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262</xdr:row>
          <xdr:rowOff>19050</xdr:rowOff>
        </xdr:from>
        <xdr:to>
          <xdr:col>9</xdr:col>
          <xdr:colOff>0</xdr:colOff>
          <xdr:row>264</xdr:row>
          <xdr:rowOff>190500</xdr:rowOff>
        </xdr:to>
        <xdr:sp macro="" textlink="">
          <xdr:nvSpPr>
            <xdr:cNvPr id="2537" name="Object 489" hidden="1">
              <a:extLst>
                <a:ext uri="{63B3BB69-23CF-44E3-9099-C40C66FF867C}">
                  <a14:compatExt spid="_x0000_s25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47625</xdr:colOff>
          <xdr:row>263</xdr:row>
          <xdr:rowOff>0</xdr:rowOff>
        </xdr:from>
        <xdr:to>
          <xdr:col>18</xdr:col>
          <xdr:colOff>19050</xdr:colOff>
          <xdr:row>263</xdr:row>
          <xdr:rowOff>219075</xdr:rowOff>
        </xdr:to>
        <xdr:sp macro="" textlink="">
          <xdr:nvSpPr>
            <xdr:cNvPr id="2538" name="Object 490" hidden="1">
              <a:extLst>
                <a:ext uri="{63B3BB69-23CF-44E3-9099-C40C66FF867C}">
                  <a14:compatExt spid="_x0000_s25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263</xdr:row>
          <xdr:rowOff>9525</xdr:rowOff>
        </xdr:from>
        <xdr:to>
          <xdr:col>12</xdr:col>
          <xdr:colOff>133350</xdr:colOff>
          <xdr:row>263</xdr:row>
          <xdr:rowOff>228600</xdr:rowOff>
        </xdr:to>
        <xdr:sp macro="" textlink="">
          <xdr:nvSpPr>
            <xdr:cNvPr id="2539" name="Object 491" hidden="1">
              <a:extLst>
                <a:ext uri="{63B3BB69-23CF-44E3-9099-C40C66FF867C}">
                  <a14:compatExt spid="_x0000_s25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57150</xdr:colOff>
          <xdr:row>263</xdr:row>
          <xdr:rowOff>0</xdr:rowOff>
        </xdr:from>
        <xdr:to>
          <xdr:col>27</xdr:col>
          <xdr:colOff>142875</xdr:colOff>
          <xdr:row>263</xdr:row>
          <xdr:rowOff>219075</xdr:rowOff>
        </xdr:to>
        <xdr:sp macro="" textlink="">
          <xdr:nvSpPr>
            <xdr:cNvPr id="2540" name="Object 492" hidden="1">
              <a:extLst>
                <a:ext uri="{63B3BB69-23CF-44E3-9099-C40C66FF867C}">
                  <a14:compatExt spid="_x0000_s25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57150</xdr:colOff>
          <xdr:row>263</xdr:row>
          <xdr:rowOff>0</xdr:rowOff>
        </xdr:from>
        <xdr:to>
          <xdr:col>22</xdr:col>
          <xdr:colOff>142875</xdr:colOff>
          <xdr:row>263</xdr:row>
          <xdr:rowOff>219075</xdr:rowOff>
        </xdr:to>
        <xdr:sp macro="" textlink="">
          <xdr:nvSpPr>
            <xdr:cNvPr id="2541" name="Object 493" hidden="1">
              <a:extLst>
                <a:ext uri="{63B3BB69-23CF-44E3-9099-C40C66FF867C}">
                  <a14:compatExt spid="_x0000_s25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57150</xdr:colOff>
          <xdr:row>263</xdr:row>
          <xdr:rowOff>0</xdr:rowOff>
        </xdr:from>
        <xdr:to>
          <xdr:col>37</xdr:col>
          <xdr:colOff>142875</xdr:colOff>
          <xdr:row>263</xdr:row>
          <xdr:rowOff>219075</xdr:rowOff>
        </xdr:to>
        <xdr:sp macro="" textlink="">
          <xdr:nvSpPr>
            <xdr:cNvPr id="2542" name="Object 494" hidden="1">
              <a:extLst>
                <a:ext uri="{63B3BB69-23CF-44E3-9099-C40C66FF867C}">
                  <a14:compatExt spid="_x0000_s25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38100</xdr:colOff>
          <xdr:row>262</xdr:row>
          <xdr:rowOff>0</xdr:rowOff>
        </xdr:from>
        <xdr:to>
          <xdr:col>32</xdr:col>
          <xdr:colOff>123825</xdr:colOff>
          <xdr:row>262</xdr:row>
          <xdr:rowOff>219075</xdr:rowOff>
        </xdr:to>
        <xdr:sp macro="" textlink="">
          <xdr:nvSpPr>
            <xdr:cNvPr id="2543" name="Object 495" hidden="1">
              <a:extLst>
                <a:ext uri="{63B3BB69-23CF-44E3-9099-C40C66FF867C}">
                  <a14:compatExt spid="_x0000_s25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155</xdr:row>
          <xdr:rowOff>57150</xdr:rowOff>
        </xdr:from>
        <xdr:to>
          <xdr:col>15</xdr:col>
          <xdr:colOff>19050</xdr:colOff>
          <xdr:row>156</xdr:row>
          <xdr:rowOff>171450</xdr:rowOff>
        </xdr:to>
        <xdr:sp macro="" textlink="">
          <xdr:nvSpPr>
            <xdr:cNvPr id="2544" name="Object 496" hidden="1">
              <a:extLst>
                <a:ext uri="{63B3BB69-23CF-44E3-9099-C40C66FF867C}">
                  <a14:compatExt spid="_x0000_s25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</xdr:colOff>
          <xdr:row>146</xdr:row>
          <xdr:rowOff>19050</xdr:rowOff>
        </xdr:from>
        <xdr:to>
          <xdr:col>34</xdr:col>
          <xdr:colOff>123825</xdr:colOff>
          <xdr:row>147</xdr:row>
          <xdr:rowOff>209550</xdr:rowOff>
        </xdr:to>
        <xdr:sp macro="" textlink="">
          <xdr:nvSpPr>
            <xdr:cNvPr id="2545" name="Object 497" hidden="1">
              <a:extLst>
                <a:ext uri="{63B3BB69-23CF-44E3-9099-C40C66FF867C}">
                  <a14:compatExt spid="_x0000_s25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104775</xdr:colOff>
          <xdr:row>148</xdr:row>
          <xdr:rowOff>228600</xdr:rowOff>
        </xdr:from>
        <xdr:to>
          <xdr:col>29</xdr:col>
          <xdr:colOff>66675</xdr:colOff>
          <xdr:row>150</xdr:row>
          <xdr:rowOff>9525</xdr:rowOff>
        </xdr:to>
        <xdr:sp macro="" textlink="">
          <xdr:nvSpPr>
            <xdr:cNvPr id="2546" name="Object 498" hidden="1">
              <a:extLst>
                <a:ext uri="{63B3BB69-23CF-44E3-9099-C40C66FF867C}">
                  <a14:compatExt spid="_x0000_s25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150</xdr:row>
          <xdr:rowOff>228600</xdr:rowOff>
        </xdr:from>
        <xdr:to>
          <xdr:col>30</xdr:col>
          <xdr:colOff>133350</xdr:colOff>
          <xdr:row>152</xdr:row>
          <xdr:rowOff>209550</xdr:rowOff>
        </xdr:to>
        <xdr:sp macro="" textlink="">
          <xdr:nvSpPr>
            <xdr:cNvPr id="2547" name="Object 499" hidden="1">
              <a:extLst>
                <a:ext uri="{63B3BB69-23CF-44E3-9099-C40C66FF867C}">
                  <a14:compatExt spid="_x0000_s25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172</xdr:row>
          <xdr:rowOff>66675</xdr:rowOff>
        </xdr:from>
        <xdr:to>
          <xdr:col>15</xdr:col>
          <xdr:colOff>9525</xdr:colOff>
          <xdr:row>173</xdr:row>
          <xdr:rowOff>180975</xdr:rowOff>
        </xdr:to>
        <xdr:sp macro="" textlink="">
          <xdr:nvSpPr>
            <xdr:cNvPr id="2548" name="Object 500" hidden="1">
              <a:extLst>
                <a:ext uri="{63B3BB69-23CF-44E3-9099-C40C66FF867C}">
                  <a14:compatExt spid="_x0000_s25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47625</xdr:colOff>
          <xdr:row>188</xdr:row>
          <xdr:rowOff>57150</xdr:rowOff>
        </xdr:from>
        <xdr:to>
          <xdr:col>16</xdr:col>
          <xdr:colOff>0</xdr:colOff>
          <xdr:row>189</xdr:row>
          <xdr:rowOff>171450</xdr:rowOff>
        </xdr:to>
        <xdr:sp macro="" textlink="">
          <xdr:nvSpPr>
            <xdr:cNvPr id="2549" name="Object 501" hidden="1">
              <a:extLst>
                <a:ext uri="{63B3BB69-23CF-44E3-9099-C40C66FF867C}">
                  <a14:compatExt spid="_x0000_s25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205</xdr:row>
          <xdr:rowOff>57150</xdr:rowOff>
        </xdr:from>
        <xdr:to>
          <xdr:col>15</xdr:col>
          <xdr:colOff>95250</xdr:colOff>
          <xdr:row>206</xdr:row>
          <xdr:rowOff>171450</xdr:rowOff>
        </xdr:to>
        <xdr:sp macro="" textlink="">
          <xdr:nvSpPr>
            <xdr:cNvPr id="2550" name="Object 502" hidden="1">
              <a:extLst>
                <a:ext uri="{63B3BB69-23CF-44E3-9099-C40C66FF867C}">
                  <a14:compatExt spid="_x0000_s25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184</xdr:row>
          <xdr:rowOff>0</xdr:rowOff>
        </xdr:from>
        <xdr:to>
          <xdr:col>29</xdr:col>
          <xdr:colOff>76200</xdr:colOff>
          <xdr:row>184</xdr:row>
          <xdr:rowOff>219075</xdr:rowOff>
        </xdr:to>
        <xdr:sp macro="" textlink="">
          <xdr:nvSpPr>
            <xdr:cNvPr id="2551" name="Object 503" hidden="1">
              <a:extLst>
                <a:ext uri="{63B3BB69-23CF-44E3-9099-C40C66FF867C}">
                  <a14:compatExt spid="_x0000_s25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123825</xdr:colOff>
          <xdr:row>143</xdr:row>
          <xdr:rowOff>228600</xdr:rowOff>
        </xdr:from>
        <xdr:to>
          <xdr:col>28</xdr:col>
          <xdr:colOff>85725</xdr:colOff>
          <xdr:row>145</xdr:row>
          <xdr:rowOff>9525</xdr:rowOff>
        </xdr:to>
        <xdr:sp macro="" textlink="">
          <xdr:nvSpPr>
            <xdr:cNvPr id="2552" name="Object 504" hidden="1">
              <a:extLst>
                <a:ext uri="{63B3BB69-23CF-44E3-9099-C40C66FF867C}">
                  <a14:compatExt spid="_x0000_s25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170</xdr:row>
          <xdr:rowOff>9525</xdr:rowOff>
        </xdr:from>
        <xdr:to>
          <xdr:col>15</xdr:col>
          <xdr:colOff>114300</xdr:colOff>
          <xdr:row>170</xdr:row>
          <xdr:rowOff>228600</xdr:rowOff>
        </xdr:to>
        <xdr:sp macro="" textlink="">
          <xdr:nvSpPr>
            <xdr:cNvPr id="2553" name="Object 505" hidden="1">
              <a:extLst>
                <a:ext uri="{63B3BB69-23CF-44E3-9099-C40C66FF867C}">
                  <a14:compatExt spid="_x0000_s2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47625</xdr:colOff>
          <xdr:row>263</xdr:row>
          <xdr:rowOff>0</xdr:rowOff>
        </xdr:from>
        <xdr:to>
          <xdr:col>32</xdr:col>
          <xdr:colOff>133350</xdr:colOff>
          <xdr:row>263</xdr:row>
          <xdr:rowOff>219075</xdr:rowOff>
        </xdr:to>
        <xdr:sp macro="" textlink="">
          <xdr:nvSpPr>
            <xdr:cNvPr id="2554" name="Object 506" hidden="1">
              <a:extLst>
                <a:ext uri="{63B3BB69-23CF-44E3-9099-C40C66FF867C}">
                  <a14:compatExt spid="_x0000_s2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57150</xdr:colOff>
          <xdr:row>263</xdr:row>
          <xdr:rowOff>0</xdr:rowOff>
        </xdr:from>
        <xdr:to>
          <xdr:col>42</xdr:col>
          <xdr:colOff>142875</xdr:colOff>
          <xdr:row>263</xdr:row>
          <xdr:rowOff>219075</xdr:rowOff>
        </xdr:to>
        <xdr:sp macro="" textlink="">
          <xdr:nvSpPr>
            <xdr:cNvPr id="2559" name="Object 511" hidden="1">
              <a:extLst>
                <a:ext uri="{63B3BB69-23CF-44E3-9099-C40C66FF867C}">
                  <a14:compatExt spid="_x0000_s2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44</xdr:col>
          <xdr:colOff>57150</xdr:colOff>
          <xdr:row>263</xdr:row>
          <xdr:rowOff>0</xdr:rowOff>
        </xdr:from>
        <xdr:to>
          <xdr:col>47</xdr:col>
          <xdr:colOff>142875</xdr:colOff>
          <xdr:row>263</xdr:row>
          <xdr:rowOff>219075</xdr:rowOff>
        </xdr:to>
        <xdr:sp macro="" textlink="">
          <xdr:nvSpPr>
            <xdr:cNvPr id="2560" name="Object 512" hidden="1">
              <a:extLst>
                <a:ext uri="{63B3BB69-23CF-44E3-9099-C40C66FF867C}">
                  <a14:compatExt spid="_x0000_s2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175</xdr:row>
          <xdr:rowOff>28575</xdr:rowOff>
        </xdr:from>
        <xdr:to>
          <xdr:col>19</xdr:col>
          <xdr:colOff>95250</xdr:colOff>
          <xdr:row>176</xdr:row>
          <xdr:rowOff>180975</xdr:rowOff>
        </xdr:to>
        <xdr:sp macro="" textlink="">
          <xdr:nvSpPr>
            <xdr:cNvPr id="2561" name="Object 513" hidden="1">
              <a:extLst>
                <a:ext uri="{63B3BB69-23CF-44E3-9099-C40C66FF867C}">
                  <a14:compatExt spid="_x0000_s25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203</xdr:row>
          <xdr:rowOff>9525</xdr:rowOff>
        </xdr:from>
        <xdr:to>
          <xdr:col>14</xdr:col>
          <xdr:colOff>114300</xdr:colOff>
          <xdr:row>203</xdr:row>
          <xdr:rowOff>228600</xdr:rowOff>
        </xdr:to>
        <xdr:sp macro="" textlink="">
          <xdr:nvSpPr>
            <xdr:cNvPr id="2562" name="Object 514" hidden="1">
              <a:extLst>
                <a:ext uri="{63B3BB69-23CF-44E3-9099-C40C66FF867C}">
                  <a14:compatExt spid="_x0000_s25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208</xdr:row>
          <xdr:rowOff>28575</xdr:rowOff>
        </xdr:from>
        <xdr:to>
          <xdr:col>19</xdr:col>
          <xdr:colOff>95250</xdr:colOff>
          <xdr:row>209</xdr:row>
          <xdr:rowOff>180975</xdr:rowOff>
        </xdr:to>
        <xdr:sp macro="" textlink="">
          <xdr:nvSpPr>
            <xdr:cNvPr id="2563" name="Object 515" hidden="1">
              <a:extLst>
                <a:ext uri="{63B3BB69-23CF-44E3-9099-C40C66FF867C}">
                  <a14:compatExt spid="_x0000_s25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255</xdr:row>
          <xdr:rowOff>0</xdr:rowOff>
        </xdr:from>
        <xdr:to>
          <xdr:col>10</xdr:col>
          <xdr:colOff>66675</xdr:colOff>
          <xdr:row>255</xdr:row>
          <xdr:rowOff>219075</xdr:rowOff>
        </xdr:to>
        <xdr:sp macro="" textlink="">
          <xdr:nvSpPr>
            <xdr:cNvPr id="2567" name="Object 519" hidden="1">
              <a:extLst>
                <a:ext uri="{63B3BB69-23CF-44E3-9099-C40C66FF867C}">
                  <a14:compatExt spid="_x0000_s25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28575</xdr:colOff>
          <xdr:row>136</xdr:row>
          <xdr:rowOff>9525</xdr:rowOff>
        </xdr:from>
        <xdr:to>
          <xdr:col>15</xdr:col>
          <xdr:colOff>85725</xdr:colOff>
          <xdr:row>136</xdr:row>
          <xdr:rowOff>209550</xdr:rowOff>
        </xdr:to>
        <xdr:sp macro="" textlink="">
          <xdr:nvSpPr>
            <xdr:cNvPr id="2568" name="Object 520" hidden="1">
              <a:extLst>
                <a:ext uri="{63B3BB69-23CF-44E3-9099-C40C66FF867C}">
                  <a14:compatExt spid="_x0000_s25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123825</xdr:colOff>
          <xdr:row>136</xdr:row>
          <xdr:rowOff>0</xdr:rowOff>
        </xdr:from>
        <xdr:to>
          <xdr:col>20</xdr:col>
          <xdr:colOff>85725</xdr:colOff>
          <xdr:row>136</xdr:row>
          <xdr:rowOff>200025</xdr:rowOff>
        </xdr:to>
        <xdr:sp macro="" textlink="">
          <xdr:nvSpPr>
            <xdr:cNvPr id="2569" name="Object 521" hidden="1">
              <a:extLst>
                <a:ext uri="{63B3BB69-23CF-44E3-9099-C40C66FF867C}">
                  <a14:compatExt spid="_x0000_s25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142875</xdr:colOff>
          <xdr:row>71</xdr:row>
          <xdr:rowOff>228600</xdr:rowOff>
        </xdr:from>
        <xdr:to>
          <xdr:col>24</xdr:col>
          <xdr:colOff>142875</xdr:colOff>
          <xdr:row>73</xdr:row>
          <xdr:rowOff>19050</xdr:rowOff>
        </xdr:to>
        <xdr:sp macro="" textlink="">
          <xdr:nvSpPr>
            <xdr:cNvPr id="2570" name="Object 522" hidden="1">
              <a:extLst>
                <a:ext uri="{63B3BB69-23CF-44E3-9099-C40C66FF867C}">
                  <a14:compatExt spid="_x0000_s25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142875</xdr:colOff>
          <xdr:row>72</xdr:row>
          <xdr:rowOff>257175</xdr:rowOff>
        </xdr:from>
        <xdr:to>
          <xdr:col>24</xdr:col>
          <xdr:colOff>142875</xdr:colOff>
          <xdr:row>74</xdr:row>
          <xdr:rowOff>28575</xdr:rowOff>
        </xdr:to>
        <xdr:sp macro="" textlink="">
          <xdr:nvSpPr>
            <xdr:cNvPr id="2571" name="Object 523" hidden="1">
              <a:extLst>
                <a:ext uri="{63B3BB69-23CF-44E3-9099-C40C66FF867C}">
                  <a14:compatExt spid="_x0000_s25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142875</xdr:colOff>
          <xdr:row>71</xdr:row>
          <xdr:rowOff>228600</xdr:rowOff>
        </xdr:from>
        <xdr:to>
          <xdr:col>51</xdr:col>
          <xdr:colOff>142875</xdr:colOff>
          <xdr:row>73</xdr:row>
          <xdr:rowOff>19050</xdr:rowOff>
        </xdr:to>
        <xdr:sp macro="" textlink="">
          <xdr:nvSpPr>
            <xdr:cNvPr id="2572" name="Object 524" hidden="1">
              <a:extLst>
                <a:ext uri="{63B3BB69-23CF-44E3-9099-C40C66FF867C}">
                  <a14:compatExt spid="_x0000_s25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142875</xdr:colOff>
          <xdr:row>72</xdr:row>
          <xdr:rowOff>257175</xdr:rowOff>
        </xdr:from>
        <xdr:to>
          <xdr:col>51</xdr:col>
          <xdr:colOff>142875</xdr:colOff>
          <xdr:row>74</xdr:row>
          <xdr:rowOff>28575</xdr:rowOff>
        </xdr:to>
        <xdr:sp macro="" textlink="">
          <xdr:nvSpPr>
            <xdr:cNvPr id="2573" name="Object 525" hidden="1">
              <a:extLst>
                <a:ext uri="{63B3BB69-23CF-44E3-9099-C40C66FF867C}">
                  <a14:compatExt spid="_x0000_s25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142875</xdr:colOff>
          <xdr:row>82</xdr:row>
          <xdr:rowOff>228600</xdr:rowOff>
        </xdr:from>
        <xdr:to>
          <xdr:col>51</xdr:col>
          <xdr:colOff>142875</xdr:colOff>
          <xdr:row>84</xdr:row>
          <xdr:rowOff>19050</xdr:rowOff>
        </xdr:to>
        <xdr:sp macro="" textlink="">
          <xdr:nvSpPr>
            <xdr:cNvPr id="2574" name="Object 526" hidden="1">
              <a:extLst>
                <a:ext uri="{63B3BB69-23CF-44E3-9099-C40C66FF867C}">
                  <a14:compatExt spid="_x0000_s25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47625</xdr:colOff>
          <xdr:row>96</xdr:row>
          <xdr:rowOff>209550</xdr:rowOff>
        </xdr:from>
        <xdr:to>
          <xdr:col>31</xdr:col>
          <xdr:colOff>38100</xdr:colOff>
          <xdr:row>98</xdr:row>
          <xdr:rowOff>0</xdr:rowOff>
        </xdr:to>
        <xdr:sp macro="" textlink="">
          <xdr:nvSpPr>
            <xdr:cNvPr id="2575" name="Object 527" hidden="1">
              <a:extLst>
                <a:ext uri="{63B3BB69-23CF-44E3-9099-C40C66FF867C}">
                  <a14:compatExt spid="_x0000_s25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99</xdr:row>
          <xdr:rowOff>38100</xdr:rowOff>
        </xdr:from>
        <xdr:to>
          <xdr:col>14</xdr:col>
          <xdr:colOff>0</xdr:colOff>
          <xdr:row>100</xdr:row>
          <xdr:rowOff>171450</xdr:rowOff>
        </xdr:to>
        <xdr:sp macro="" textlink="">
          <xdr:nvSpPr>
            <xdr:cNvPr id="2576" name="Object 528" hidden="1">
              <a:extLst>
                <a:ext uri="{63B3BB69-23CF-44E3-9099-C40C66FF867C}">
                  <a14:compatExt spid="_x0000_s25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123825</xdr:colOff>
          <xdr:row>99</xdr:row>
          <xdr:rowOff>85725</xdr:rowOff>
        </xdr:from>
        <xdr:to>
          <xdr:col>50</xdr:col>
          <xdr:colOff>57150</xdr:colOff>
          <xdr:row>100</xdr:row>
          <xdr:rowOff>114300</xdr:rowOff>
        </xdr:to>
        <xdr:sp macro="" textlink="">
          <xdr:nvSpPr>
            <xdr:cNvPr id="2577" name="Object 529" hidden="1">
              <a:extLst>
                <a:ext uri="{63B3BB69-23CF-44E3-9099-C40C66FF867C}">
                  <a14:compatExt spid="_x0000_s2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111</xdr:row>
          <xdr:rowOff>38100</xdr:rowOff>
        </xdr:from>
        <xdr:to>
          <xdr:col>14</xdr:col>
          <xdr:colOff>9525</xdr:colOff>
          <xdr:row>112</xdr:row>
          <xdr:rowOff>209550</xdr:rowOff>
        </xdr:to>
        <xdr:sp macro="" textlink="">
          <xdr:nvSpPr>
            <xdr:cNvPr id="2578" name="Object 530" hidden="1">
              <a:extLst>
                <a:ext uri="{63B3BB69-23CF-44E3-9099-C40C66FF867C}">
                  <a14:compatExt spid="_x0000_s2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87</xdr:row>
          <xdr:rowOff>209550</xdr:rowOff>
        </xdr:from>
        <xdr:to>
          <xdr:col>22</xdr:col>
          <xdr:colOff>66675</xdr:colOff>
          <xdr:row>89</xdr:row>
          <xdr:rowOff>9525</xdr:rowOff>
        </xdr:to>
        <xdr:sp macro="" textlink="">
          <xdr:nvSpPr>
            <xdr:cNvPr id="2579" name="Object 531" hidden="1">
              <a:extLst>
                <a:ext uri="{63B3BB69-23CF-44E3-9099-C40C66FF867C}">
                  <a14:compatExt spid="_x0000_s2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90</xdr:row>
          <xdr:rowOff>57150</xdr:rowOff>
        </xdr:from>
        <xdr:to>
          <xdr:col>14</xdr:col>
          <xdr:colOff>9525</xdr:colOff>
          <xdr:row>91</xdr:row>
          <xdr:rowOff>200025</xdr:rowOff>
        </xdr:to>
        <xdr:sp macro="" textlink="">
          <xdr:nvSpPr>
            <xdr:cNvPr id="2580" name="Object 532" hidden="1">
              <a:extLst>
                <a:ext uri="{63B3BB69-23CF-44E3-9099-C40C66FF867C}">
                  <a14:compatExt spid="_x0000_s2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120</xdr:row>
          <xdr:rowOff>133350</xdr:rowOff>
        </xdr:from>
        <xdr:to>
          <xdr:col>15</xdr:col>
          <xdr:colOff>19050</xdr:colOff>
          <xdr:row>121</xdr:row>
          <xdr:rowOff>123825</xdr:rowOff>
        </xdr:to>
        <xdr:sp macro="" textlink="">
          <xdr:nvSpPr>
            <xdr:cNvPr id="2581" name="Object 533" hidden="1">
              <a:extLst>
                <a:ext uri="{63B3BB69-23CF-44E3-9099-C40C66FF867C}">
                  <a14:compatExt spid="_x0000_s2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121</xdr:row>
          <xdr:rowOff>9525</xdr:rowOff>
        </xdr:from>
        <xdr:to>
          <xdr:col>18</xdr:col>
          <xdr:colOff>95250</xdr:colOff>
          <xdr:row>121</xdr:row>
          <xdr:rowOff>228600</xdr:rowOff>
        </xdr:to>
        <xdr:sp macro="" textlink="">
          <xdr:nvSpPr>
            <xdr:cNvPr id="2582" name="Object 534" hidden="1">
              <a:extLst>
                <a:ext uri="{63B3BB69-23CF-44E3-9099-C40C66FF867C}">
                  <a14:compatExt spid="_x0000_s2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106</xdr:row>
          <xdr:rowOff>19050</xdr:rowOff>
        </xdr:from>
        <xdr:to>
          <xdr:col>29</xdr:col>
          <xdr:colOff>104775</xdr:colOff>
          <xdr:row>107</xdr:row>
          <xdr:rowOff>228600</xdr:rowOff>
        </xdr:to>
        <xdr:sp macro="" textlink="">
          <xdr:nvSpPr>
            <xdr:cNvPr id="2583" name="Object 535" hidden="1">
              <a:extLst>
                <a:ext uri="{63B3BB69-23CF-44E3-9099-C40C66FF867C}">
                  <a14:compatExt spid="_x0000_s2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123825</xdr:colOff>
          <xdr:row>108</xdr:row>
          <xdr:rowOff>85725</xdr:rowOff>
        </xdr:from>
        <xdr:to>
          <xdr:col>33</xdr:col>
          <xdr:colOff>57150</xdr:colOff>
          <xdr:row>109</xdr:row>
          <xdr:rowOff>114300</xdr:rowOff>
        </xdr:to>
        <xdr:sp macro="" textlink="">
          <xdr:nvSpPr>
            <xdr:cNvPr id="2584" name="Object 536" hidden="1">
              <a:extLst>
                <a:ext uri="{63B3BB69-23CF-44E3-9099-C40C66FF867C}">
                  <a14:compatExt spid="_x0000_s2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38100</xdr:colOff>
          <xdr:row>87</xdr:row>
          <xdr:rowOff>209550</xdr:rowOff>
        </xdr:from>
        <xdr:to>
          <xdr:col>39</xdr:col>
          <xdr:colOff>28575</xdr:colOff>
          <xdr:row>88</xdr:row>
          <xdr:rowOff>228600</xdr:rowOff>
        </xdr:to>
        <xdr:sp macro="" textlink="">
          <xdr:nvSpPr>
            <xdr:cNvPr id="2585" name="Object 537" hidden="1">
              <a:extLst>
                <a:ext uri="{63B3BB69-23CF-44E3-9099-C40C66FF867C}">
                  <a14:compatExt spid="_x0000_s2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123825</xdr:colOff>
          <xdr:row>87</xdr:row>
          <xdr:rowOff>209550</xdr:rowOff>
        </xdr:from>
        <xdr:to>
          <xdr:col>52</xdr:col>
          <xdr:colOff>57150</xdr:colOff>
          <xdr:row>89</xdr:row>
          <xdr:rowOff>0</xdr:rowOff>
        </xdr:to>
        <xdr:sp macro="" textlink="">
          <xdr:nvSpPr>
            <xdr:cNvPr id="2586" name="Object 538" hidden="1">
              <a:extLst>
                <a:ext uri="{63B3BB69-23CF-44E3-9099-C40C66FF867C}">
                  <a14:compatExt spid="_x0000_s2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123825</xdr:colOff>
          <xdr:row>112</xdr:row>
          <xdr:rowOff>209550</xdr:rowOff>
        </xdr:from>
        <xdr:to>
          <xdr:col>23</xdr:col>
          <xdr:colOff>57150</xdr:colOff>
          <xdr:row>114</xdr:row>
          <xdr:rowOff>0</xdr:rowOff>
        </xdr:to>
        <xdr:sp macro="" textlink="">
          <xdr:nvSpPr>
            <xdr:cNvPr id="2587" name="Object 539" hidden="1">
              <a:extLst>
                <a:ext uri="{63B3BB69-23CF-44E3-9099-C40C66FF867C}">
                  <a14:compatExt spid="_x0000_s2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123825</xdr:colOff>
          <xdr:row>91</xdr:row>
          <xdr:rowOff>209550</xdr:rowOff>
        </xdr:from>
        <xdr:to>
          <xdr:col>24</xdr:col>
          <xdr:colOff>57150</xdr:colOff>
          <xdr:row>93</xdr:row>
          <xdr:rowOff>0</xdr:rowOff>
        </xdr:to>
        <xdr:sp macro="" textlink="">
          <xdr:nvSpPr>
            <xdr:cNvPr id="2588" name="Object 540" hidden="1">
              <a:extLst>
                <a:ext uri="{63B3BB69-23CF-44E3-9099-C40C66FF867C}">
                  <a14:compatExt spid="_x0000_s2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114300</xdr:colOff>
          <xdr:row>91</xdr:row>
          <xdr:rowOff>209550</xdr:rowOff>
        </xdr:from>
        <xdr:to>
          <xdr:col>40</xdr:col>
          <xdr:colOff>47625</xdr:colOff>
          <xdr:row>93</xdr:row>
          <xdr:rowOff>0</xdr:rowOff>
        </xdr:to>
        <xdr:sp macro="" textlink="">
          <xdr:nvSpPr>
            <xdr:cNvPr id="2589" name="Object 541" hidden="1">
              <a:extLst>
                <a:ext uri="{63B3BB69-23CF-44E3-9099-C40C66FF867C}">
                  <a14:compatExt spid="_x0000_s2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98</xdr:row>
          <xdr:rowOff>209550</xdr:rowOff>
        </xdr:from>
        <xdr:to>
          <xdr:col>23</xdr:col>
          <xdr:colOff>47625</xdr:colOff>
          <xdr:row>100</xdr:row>
          <xdr:rowOff>0</xdr:rowOff>
        </xdr:to>
        <xdr:sp macro="" textlink="">
          <xdr:nvSpPr>
            <xdr:cNvPr id="2590" name="Object 542" hidden="1">
              <a:extLst>
                <a:ext uri="{63B3BB69-23CF-44E3-9099-C40C66FF867C}">
                  <a14:compatExt spid="_x0000_s2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66675</xdr:colOff>
          <xdr:row>99</xdr:row>
          <xdr:rowOff>85725</xdr:rowOff>
        </xdr:from>
        <xdr:to>
          <xdr:col>35</xdr:col>
          <xdr:colOff>57150</xdr:colOff>
          <xdr:row>100</xdr:row>
          <xdr:rowOff>114300</xdr:rowOff>
        </xdr:to>
        <xdr:sp macro="" textlink="">
          <xdr:nvSpPr>
            <xdr:cNvPr id="2591" name="Object 543" hidden="1">
              <a:extLst>
                <a:ext uri="{63B3BB69-23CF-44E3-9099-C40C66FF867C}">
                  <a14:compatExt spid="_x0000_s2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123825</xdr:colOff>
          <xdr:row>112</xdr:row>
          <xdr:rowOff>209550</xdr:rowOff>
        </xdr:from>
        <xdr:to>
          <xdr:col>38</xdr:col>
          <xdr:colOff>57150</xdr:colOff>
          <xdr:row>114</xdr:row>
          <xdr:rowOff>0</xdr:rowOff>
        </xdr:to>
        <xdr:sp macro="" textlink="">
          <xdr:nvSpPr>
            <xdr:cNvPr id="2592" name="Object 544" hidden="1">
              <a:extLst>
                <a:ext uri="{63B3BB69-23CF-44E3-9099-C40C66FF867C}">
                  <a14:compatExt spid="_x0000_s2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161</xdr:row>
          <xdr:rowOff>28575</xdr:rowOff>
        </xdr:from>
        <xdr:to>
          <xdr:col>26</xdr:col>
          <xdr:colOff>142875</xdr:colOff>
          <xdr:row>163</xdr:row>
          <xdr:rowOff>133350</xdr:rowOff>
        </xdr:to>
        <xdr:sp macro="" textlink="">
          <xdr:nvSpPr>
            <xdr:cNvPr id="2593" name="Object 545" hidden="1">
              <a:extLst>
                <a:ext uri="{63B3BB69-23CF-44E3-9099-C40C66FF867C}">
                  <a14:compatExt spid="_x0000_s2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159</xdr:row>
          <xdr:rowOff>9525</xdr:rowOff>
        </xdr:from>
        <xdr:to>
          <xdr:col>23</xdr:col>
          <xdr:colOff>133350</xdr:colOff>
          <xdr:row>160</xdr:row>
          <xdr:rowOff>209550</xdr:rowOff>
        </xdr:to>
        <xdr:sp macro="" textlink="">
          <xdr:nvSpPr>
            <xdr:cNvPr id="2594" name="Object 546" hidden="1">
              <a:extLst>
                <a:ext uri="{63B3BB69-23CF-44E3-9099-C40C66FF867C}">
                  <a14:compatExt spid="_x0000_s2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194</xdr:row>
          <xdr:rowOff>28575</xdr:rowOff>
        </xdr:from>
        <xdr:to>
          <xdr:col>23</xdr:col>
          <xdr:colOff>57150</xdr:colOff>
          <xdr:row>196</xdr:row>
          <xdr:rowOff>133350</xdr:rowOff>
        </xdr:to>
        <xdr:sp macro="" textlink="">
          <xdr:nvSpPr>
            <xdr:cNvPr id="2595" name="Object 547" hidden="1">
              <a:extLst>
                <a:ext uri="{63B3BB69-23CF-44E3-9099-C40C66FF867C}">
                  <a14:compatExt spid="_x0000_s2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192</xdr:row>
          <xdr:rowOff>19050</xdr:rowOff>
        </xdr:from>
        <xdr:to>
          <xdr:col>23</xdr:col>
          <xdr:colOff>133350</xdr:colOff>
          <xdr:row>193</xdr:row>
          <xdr:rowOff>219075</xdr:rowOff>
        </xdr:to>
        <xdr:sp macro="" textlink="">
          <xdr:nvSpPr>
            <xdr:cNvPr id="2596" name="Object 548" hidden="1">
              <a:extLst>
                <a:ext uri="{63B3BB69-23CF-44E3-9099-C40C66FF867C}">
                  <a14:compatExt spid="_x0000_s2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230</xdr:row>
          <xdr:rowOff>38100</xdr:rowOff>
        </xdr:from>
        <xdr:to>
          <xdr:col>21</xdr:col>
          <xdr:colOff>0</xdr:colOff>
          <xdr:row>230</xdr:row>
          <xdr:rowOff>228600</xdr:rowOff>
        </xdr:to>
        <xdr:sp macro="" textlink="">
          <xdr:nvSpPr>
            <xdr:cNvPr id="2597" name="Object 549" hidden="1">
              <a:extLst>
                <a:ext uri="{63B3BB69-23CF-44E3-9099-C40C66FF867C}">
                  <a14:compatExt spid="_x0000_s2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114300</xdr:colOff>
          <xdr:row>230</xdr:row>
          <xdr:rowOff>38100</xdr:rowOff>
        </xdr:from>
        <xdr:to>
          <xdr:col>16</xdr:col>
          <xdr:colOff>76200</xdr:colOff>
          <xdr:row>230</xdr:row>
          <xdr:rowOff>228600</xdr:rowOff>
        </xdr:to>
        <xdr:sp macro="" textlink="">
          <xdr:nvSpPr>
            <xdr:cNvPr id="2598" name="Object 550" hidden="1">
              <a:extLst>
                <a:ext uri="{63B3BB69-23CF-44E3-9099-C40C66FF867C}">
                  <a14:compatExt spid="_x0000_s2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246</xdr:row>
          <xdr:rowOff>57150</xdr:rowOff>
        </xdr:from>
        <xdr:to>
          <xdr:col>14</xdr:col>
          <xdr:colOff>38100</xdr:colOff>
          <xdr:row>247</xdr:row>
          <xdr:rowOff>171450</xdr:rowOff>
        </xdr:to>
        <xdr:sp macro="" textlink="">
          <xdr:nvSpPr>
            <xdr:cNvPr id="2599" name="Object 551" hidden="1">
              <a:extLst>
                <a:ext uri="{63B3BB69-23CF-44E3-9099-C40C66FF867C}">
                  <a14:compatExt spid="_x0000_s2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250</xdr:row>
          <xdr:rowOff>28575</xdr:rowOff>
        </xdr:from>
        <xdr:to>
          <xdr:col>20</xdr:col>
          <xdr:colOff>133350</xdr:colOff>
          <xdr:row>251</xdr:row>
          <xdr:rowOff>180975</xdr:rowOff>
        </xdr:to>
        <xdr:sp macro="" textlink="">
          <xdr:nvSpPr>
            <xdr:cNvPr id="2600" name="Object 552" hidden="1">
              <a:extLst>
                <a:ext uri="{63B3BB69-23CF-44E3-9099-C40C66FF867C}">
                  <a14:compatExt spid="_x0000_s2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255</xdr:row>
          <xdr:rowOff>0</xdr:rowOff>
        </xdr:from>
        <xdr:to>
          <xdr:col>20</xdr:col>
          <xdr:colOff>76200</xdr:colOff>
          <xdr:row>255</xdr:row>
          <xdr:rowOff>219075</xdr:rowOff>
        </xdr:to>
        <xdr:sp macro="" textlink="">
          <xdr:nvSpPr>
            <xdr:cNvPr id="2601" name="Object 553" hidden="1">
              <a:extLst>
                <a:ext uri="{63B3BB69-23CF-44E3-9099-C40C66FF867C}">
                  <a14:compatExt spid="_x0000_s2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255</xdr:row>
          <xdr:rowOff>0</xdr:rowOff>
        </xdr:from>
        <xdr:to>
          <xdr:col>27</xdr:col>
          <xdr:colOff>66675</xdr:colOff>
          <xdr:row>255</xdr:row>
          <xdr:rowOff>219075</xdr:rowOff>
        </xdr:to>
        <xdr:sp macro="" textlink="">
          <xdr:nvSpPr>
            <xdr:cNvPr id="2602" name="Object 554" hidden="1">
              <a:extLst>
                <a:ext uri="{63B3BB69-23CF-44E3-9099-C40C66FF867C}">
                  <a14:compatExt spid="_x0000_s2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0</xdr:colOff>
          <xdr:row>255</xdr:row>
          <xdr:rowOff>0</xdr:rowOff>
        </xdr:from>
        <xdr:to>
          <xdr:col>37</xdr:col>
          <xdr:colOff>76200</xdr:colOff>
          <xdr:row>255</xdr:row>
          <xdr:rowOff>219075</xdr:rowOff>
        </xdr:to>
        <xdr:sp macro="" textlink="">
          <xdr:nvSpPr>
            <xdr:cNvPr id="2603" name="Object 555" hidden="1">
              <a:extLst>
                <a:ext uri="{63B3BB69-23CF-44E3-9099-C40C66FF867C}">
                  <a14:compatExt spid="_x0000_s2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0</xdr:colOff>
          <xdr:row>255</xdr:row>
          <xdr:rowOff>0</xdr:rowOff>
        </xdr:from>
        <xdr:to>
          <xdr:col>47</xdr:col>
          <xdr:colOff>76200</xdr:colOff>
          <xdr:row>255</xdr:row>
          <xdr:rowOff>219075</xdr:rowOff>
        </xdr:to>
        <xdr:sp macro="" textlink="">
          <xdr:nvSpPr>
            <xdr:cNvPr id="2604" name="Object 556" hidden="1">
              <a:extLst>
                <a:ext uri="{63B3BB69-23CF-44E3-9099-C40C66FF867C}">
                  <a14:compatExt spid="_x0000_s2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256</xdr:row>
          <xdr:rowOff>0</xdr:rowOff>
        </xdr:from>
        <xdr:to>
          <xdr:col>15</xdr:col>
          <xdr:colOff>76200</xdr:colOff>
          <xdr:row>256</xdr:row>
          <xdr:rowOff>219075</xdr:rowOff>
        </xdr:to>
        <xdr:sp macro="" textlink="">
          <xdr:nvSpPr>
            <xdr:cNvPr id="2605" name="Object 557" hidden="1">
              <a:extLst>
                <a:ext uri="{63B3BB69-23CF-44E3-9099-C40C66FF867C}">
                  <a14:compatExt spid="_x0000_s2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0</xdr:colOff>
          <xdr:row>256</xdr:row>
          <xdr:rowOff>0</xdr:rowOff>
        </xdr:from>
        <xdr:to>
          <xdr:col>25</xdr:col>
          <xdr:colOff>76200</xdr:colOff>
          <xdr:row>256</xdr:row>
          <xdr:rowOff>219075</xdr:rowOff>
        </xdr:to>
        <xdr:sp macro="" textlink="">
          <xdr:nvSpPr>
            <xdr:cNvPr id="2606" name="Object 558" hidden="1">
              <a:extLst>
                <a:ext uri="{63B3BB69-23CF-44E3-9099-C40C66FF867C}">
                  <a14:compatExt spid="_x0000_s2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0</xdr:colOff>
          <xdr:row>256</xdr:row>
          <xdr:rowOff>0</xdr:rowOff>
        </xdr:from>
        <xdr:to>
          <xdr:col>32</xdr:col>
          <xdr:colOff>66675</xdr:colOff>
          <xdr:row>256</xdr:row>
          <xdr:rowOff>219075</xdr:rowOff>
        </xdr:to>
        <xdr:sp macro="" textlink="">
          <xdr:nvSpPr>
            <xdr:cNvPr id="2607" name="Object 559" hidden="1">
              <a:extLst>
                <a:ext uri="{63B3BB69-23CF-44E3-9099-C40C66FF867C}">
                  <a14:compatExt spid="_x0000_s2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0</xdr:colOff>
          <xdr:row>256</xdr:row>
          <xdr:rowOff>0</xdr:rowOff>
        </xdr:from>
        <xdr:to>
          <xdr:col>39</xdr:col>
          <xdr:colOff>66675</xdr:colOff>
          <xdr:row>256</xdr:row>
          <xdr:rowOff>219075</xdr:rowOff>
        </xdr:to>
        <xdr:sp macro="" textlink="">
          <xdr:nvSpPr>
            <xdr:cNvPr id="2608" name="Object 560" hidden="1">
              <a:extLst>
                <a:ext uri="{63B3BB69-23CF-44E3-9099-C40C66FF867C}">
                  <a14:compatExt spid="_x0000_s2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0</xdr:colOff>
          <xdr:row>256</xdr:row>
          <xdr:rowOff>0</xdr:rowOff>
        </xdr:from>
        <xdr:to>
          <xdr:col>49</xdr:col>
          <xdr:colOff>76200</xdr:colOff>
          <xdr:row>256</xdr:row>
          <xdr:rowOff>219075</xdr:rowOff>
        </xdr:to>
        <xdr:sp macro="" textlink="">
          <xdr:nvSpPr>
            <xdr:cNvPr id="2609" name="Object 561" hidden="1">
              <a:extLst>
                <a:ext uri="{63B3BB69-23CF-44E3-9099-C40C66FF867C}">
                  <a14:compatExt spid="_x0000_s2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257</xdr:row>
          <xdr:rowOff>0</xdr:rowOff>
        </xdr:from>
        <xdr:to>
          <xdr:col>10</xdr:col>
          <xdr:colOff>66675</xdr:colOff>
          <xdr:row>257</xdr:row>
          <xdr:rowOff>219075</xdr:rowOff>
        </xdr:to>
        <xdr:sp macro="" textlink="">
          <xdr:nvSpPr>
            <xdr:cNvPr id="2610" name="Object 562" hidden="1">
              <a:extLst>
                <a:ext uri="{63B3BB69-23CF-44E3-9099-C40C66FF867C}">
                  <a14:compatExt spid="_x0000_s2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257</xdr:row>
          <xdr:rowOff>0</xdr:rowOff>
        </xdr:from>
        <xdr:to>
          <xdr:col>20</xdr:col>
          <xdr:colOff>76200</xdr:colOff>
          <xdr:row>257</xdr:row>
          <xdr:rowOff>219075</xdr:rowOff>
        </xdr:to>
        <xdr:sp macro="" textlink="">
          <xdr:nvSpPr>
            <xdr:cNvPr id="2611" name="Object 563" hidden="1">
              <a:extLst>
                <a:ext uri="{63B3BB69-23CF-44E3-9099-C40C66FF867C}">
                  <a14:compatExt spid="_x0000_s2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142875</xdr:colOff>
          <xdr:row>258</xdr:row>
          <xdr:rowOff>209550</xdr:rowOff>
        </xdr:from>
        <xdr:to>
          <xdr:col>15</xdr:col>
          <xdr:colOff>142875</xdr:colOff>
          <xdr:row>260</xdr:row>
          <xdr:rowOff>0</xdr:rowOff>
        </xdr:to>
        <xdr:sp macro="" textlink="">
          <xdr:nvSpPr>
            <xdr:cNvPr id="2612" name="Object 564" hidden="1">
              <a:extLst>
                <a:ext uri="{63B3BB69-23CF-44E3-9099-C40C66FF867C}">
                  <a14:compatExt spid="_x0000_s2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49</xdr:col>
          <xdr:colOff>57150</xdr:colOff>
          <xdr:row>263</xdr:row>
          <xdr:rowOff>0</xdr:rowOff>
        </xdr:from>
        <xdr:to>
          <xdr:col>52</xdr:col>
          <xdr:colOff>142875</xdr:colOff>
          <xdr:row>263</xdr:row>
          <xdr:rowOff>219075</xdr:rowOff>
        </xdr:to>
        <xdr:sp macro="" textlink="">
          <xdr:nvSpPr>
            <xdr:cNvPr id="2613" name="Object 565" hidden="1">
              <a:extLst>
                <a:ext uri="{63B3BB69-23CF-44E3-9099-C40C66FF867C}">
                  <a14:compatExt spid="_x0000_s2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38100</xdr:colOff>
          <xdr:row>233</xdr:row>
          <xdr:rowOff>38100</xdr:rowOff>
        </xdr:from>
        <xdr:to>
          <xdr:col>21</xdr:col>
          <xdr:colOff>0</xdr:colOff>
          <xdr:row>233</xdr:row>
          <xdr:rowOff>228600</xdr:rowOff>
        </xdr:to>
        <xdr:sp macro="" textlink="">
          <xdr:nvSpPr>
            <xdr:cNvPr id="2614" name="Object 566" hidden="1">
              <a:extLst>
                <a:ext uri="{63B3BB69-23CF-44E3-9099-C40C66FF867C}">
                  <a14:compatExt spid="_x0000_s2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114300</xdr:colOff>
          <xdr:row>233</xdr:row>
          <xdr:rowOff>38100</xdr:rowOff>
        </xdr:from>
        <xdr:to>
          <xdr:col>16</xdr:col>
          <xdr:colOff>76200</xdr:colOff>
          <xdr:row>233</xdr:row>
          <xdr:rowOff>228600</xdr:rowOff>
        </xdr:to>
        <xdr:sp macro="" textlink="">
          <xdr:nvSpPr>
            <xdr:cNvPr id="2615" name="Object 567" hidden="1">
              <a:extLst>
                <a:ext uri="{63B3BB69-23CF-44E3-9099-C40C66FF867C}">
                  <a14:compatExt spid="_x0000_s2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142875</xdr:colOff>
          <xdr:row>275</xdr:row>
          <xdr:rowOff>209550</xdr:rowOff>
        </xdr:from>
        <xdr:to>
          <xdr:col>23</xdr:col>
          <xdr:colOff>142875</xdr:colOff>
          <xdr:row>277</xdr:row>
          <xdr:rowOff>0</xdr:rowOff>
        </xdr:to>
        <xdr:sp macro="" textlink="">
          <xdr:nvSpPr>
            <xdr:cNvPr id="2618" name="Object 570" hidden="1">
              <a:extLst>
                <a:ext uri="{63B3BB69-23CF-44E3-9099-C40C66FF867C}">
                  <a14:compatExt spid="_x0000_s2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47625</xdr:colOff>
          <xdr:row>275</xdr:row>
          <xdr:rowOff>209550</xdr:rowOff>
        </xdr:from>
        <xdr:to>
          <xdr:col>36</xdr:col>
          <xdr:colOff>123825</xdr:colOff>
          <xdr:row>277</xdr:row>
          <xdr:rowOff>0</xdr:rowOff>
        </xdr:to>
        <xdr:sp macro="" textlink="">
          <xdr:nvSpPr>
            <xdr:cNvPr id="2620" name="Object 572" hidden="1">
              <a:extLst>
                <a:ext uri="{63B3BB69-23CF-44E3-9099-C40C66FF867C}">
                  <a14:compatExt spid="_x0000_s2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47625</xdr:colOff>
      <xdr:row>254</xdr:row>
      <xdr:rowOff>19050</xdr:rowOff>
    </xdr:from>
    <xdr:to>
      <xdr:col>34</xdr:col>
      <xdr:colOff>123825</xdr:colOff>
      <xdr:row>255</xdr:row>
      <xdr:rowOff>19050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2" name="TextBox 2"/>
            <xdr:cNvSpPr txBox="1">
              <a:spLocks/>
            </xdr:cNvSpPr>
          </xdr:nvSpPr>
          <xdr:spPr>
            <a:xfrm>
              <a:off x="200025" y="60512325"/>
              <a:ext cx="5105400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sub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acc>
                      <m:accPr>
                        <m:chr m:val="̅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acc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ko-KR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ko-KR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𝛿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𝑃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2" name="TextBox 2"/>
            <xdr:cNvSpPr txBox="1">
              <a:spLocks/>
            </xdr:cNvSpPr>
          </xdr:nvSpPr>
          <xdr:spPr>
            <a:xfrm>
              <a:off x="200025" y="60512325"/>
              <a:ext cx="5105400" cy="238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𝑢_𝑐^2 (𝐵_𝑥 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+𝑢^2 (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 ̅)+𝑢^2 (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𝑡)+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〖𝑢^2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𝑙〗_𝑟)+𝑢^2 (</a:t>
              </a:r>
              <a:r>
                <a:rPr lang="ko-KR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𝑙_𝑃)</a:t>
              </a:r>
              <a:endParaRPr lang="ko-KR" altLang="en-US" sz="1100"/>
            </a:p>
          </xdr:txBody>
        </xdr:sp>
      </mc:Fallback>
    </mc:AlternateContent>
    <xdr:clientData/>
  </xdr:twoCellAnchor>
  <xdr:oneCellAnchor>
    <xdr:from>
      <xdr:col>1</xdr:col>
      <xdr:colOff>9525</xdr:colOff>
      <xdr:row>47</xdr:row>
      <xdr:rowOff>85725</xdr:rowOff>
    </xdr:from>
    <xdr:ext cx="5207323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3" name="TextBox 92"/>
            <xdr:cNvSpPr txBox="1"/>
          </xdr:nvSpPr>
          <xdr:spPr>
            <a:xfrm>
              <a:off x="161925" y="11439525"/>
              <a:ext cx="520732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20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2000" b="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ko-KR" altLang="en-US" sz="2000" b="0" i="1">
                                <a:latin typeface="Cambria Math" panose="02040503050406030204" pitchFamily="18" charset="0"/>
                              </a:rPr>
                              <m:t>𝛼</m:t>
                            </m:r>
                          </m:e>
                        </m:ba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m:rPr>
                            <m:sty m:val="p"/>
                          </m:rPr>
                          <a:rPr lang="el-GR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m:rPr>
                            <m:sty m:val="p"/>
                          </m:rPr>
                          <a:rPr lang="el-GR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Δ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∙</m:t>
                        </m:r>
                        <m:r>
                          <a:rPr lang="ko-KR" alt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e>
                    </m:d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2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en-US" altLang="ko-KR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20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2000" b="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</m:sSub>
                  </m:oMath>
                </m:oMathPara>
              </a14:m>
              <a:endParaRPr lang="ko-KR" altLang="en-US" sz="2000"/>
            </a:p>
          </xdr:txBody>
        </xdr:sp>
      </mc:Choice>
      <mc:Fallback xmlns="">
        <xdr:sp macro="" textlink="">
          <xdr:nvSpPr>
            <xdr:cNvPr id="93" name="TextBox 92"/>
            <xdr:cNvSpPr txBox="1"/>
          </xdr:nvSpPr>
          <xdr:spPr>
            <a:xfrm>
              <a:off x="161925" y="11439525"/>
              <a:ext cx="5207323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2000" b="0" i="0">
                  <a:latin typeface="Cambria Math" panose="02040503050406030204" pitchFamily="18" charset="0"/>
                </a:rPr>
                <a:t>𝐵_𝑥=𝑙_𝑠−𝑙_𝑥−(¯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l-GR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𝑡+</a:t>
              </a:r>
              <a:r>
                <a:rPr lang="el-GR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Δ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ko-KR" alt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𝑡) 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𝑙_0+〖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𝑙〗_𝑟+〖</a:t>
              </a:r>
              <a:r>
                <a:rPr lang="ko-KR" altLang="en-US" sz="20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2000" b="0" i="0">
                  <a:latin typeface="Cambria Math" panose="02040503050406030204" pitchFamily="18" charset="0"/>
                </a:rPr>
                <a:t>𝑙〗_𝑃</a:t>
              </a:r>
              <a:endParaRPr lang="ko-KR" altLang="en-US" sz="2000"/>
            </a:p>
          </xdr:txBody>
        </xdr:sp>
      </mc:Fallback>
    </mc:AlternateContent>
    <xdr:clientData/>
  </xdr:oneCellAnchor>
  <xdr:oneCellAnchor>
    <xdr:from>
      <xdr:col>2</xdr:col>
      <xdr:colOff>9525</xdr:colOff>
      <xdr:row>61</xdr:row>
      <xdr:rowOff>38100</xdr:rowOff>
    </xdr:from>
    <xdr:ext cx="726173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4" name="TextBox 93"/>
            <xdr:cNvSpPr txBox="1"/>
          </xdr:nvSpPr>
          <xdr:spPr>
            <a:xfrm>
              <a:off x="314325" y="14725650"/>
              <a:ext cx="72617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Sup>
                          <m:sSubSup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  <m:sup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)=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bar>
                              <m:barPr>
                                <m:pos m:val="top"/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barPr>
                              <m:e>
                                <m:r>
                                  <a:rPr lang="ko-KR" alt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𝛼</m:t>
                                </m:r>
                              </m:e>
                            </m:ba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l-G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Δ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𝛼</m:t>
                        </m:r>
                      </m:e>
                    </m:d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m:rPr>
                                <m:sty m:val="p"/>
                              </m:rPr>
                              <a:rPr lang="el-G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Δ</m:t>
                            </m:r>
                            <m:r>
                              <a:rPr lang="ko-KR" altLang="el-G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⋅</m:t>
                            </m:r>
                            <m:sSub>
                              <m:sSub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𝑙</m:t>
                                </m:r>
                              </m:e>
                              <m:sub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sub>
                            </m:sSub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d>
                      <m:d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)+</m:t>
                    </m:r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ko-KR" altLang="en-US" sz="1100" b="0" i="1">
                            <a:latin typeface="Cambria Math" panose="02040503050406030204" pitchFamily="18" charset="0"/>
                          </a:rPr>
                          <m:t>𝛿</m:t>
                        </m:r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4" name="TextBox 93"/>
            <xdr:cNvSpPr txBox="1"/>
          </xdr:nvSpPr>
          <xdr:spPr>
            <a:xfrm>
              <a:off x="314325" y="14725650"/>
              <a:ext cx="72617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i="0">
                  <a:latin typeface="Cambria Math" panose="02040503050406030204" pitchFamily="18" charset="0"/>
                </a:rPr>
                <a:t>〖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𝑢_𝑐^2 (𝐵〗_𝑥)=𝑢^2 (𝑙_𝑠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𝑙_𝑥 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l-G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𝑡⋅𝑙_0 )^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𝑢^2 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⋅𝑙_0 )^2 𝑢^2 (</a:t>
              </a:r>
              <a:r>
                <a:rPr lang="el-G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Δ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𝑡)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𝑡⋅𝑙_0 )^2 𝑢^2 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𝛼)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</a:t>
              </a:r>
              <a:r>
                <a:rPr lang="el-G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Δ</a:t>
              </a:r>
              <a:r>
                <a:rPr lang="ko-KR" alt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⋅𝑙_0 )^2 𝑢^2 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𝑡)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+𝑢^2 (〖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𝑙〗_𝑟)+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𝑢^2 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𝑙〗_𝑃)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3</xdr:col>
      <xdr:colOff>9525</xdr:colOff>
      <xdr:row>63</xdr:row>
      <xdr:rowOff>57150</xdr:rowOff>
    </xdr:from>
    <xdr:ext cx="5485925" cy="8654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5" name="TextBox 94"/>
            <xdr:cNvSpPr txBox="1"/>
          </xdr:nvSpPr>
          <xdr:spPr>
            <a:xfrm>
              <a:off x="466725" y="15220950"/>
              <a:ext cx="5485925" cy="86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latin typeface="Cambria Math" panose="02040503050406030204" pitchFamily="18" charset="0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bar>
                          <m:barPr>
                            <m:pos m:val="top"/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bar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𝛼</m:t>
                            </m:r>
                          </m:e>
                        </m:ba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bar>
                      <m:barPr>
                        <m:pos m:val="top"/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barPr>
                      <m:e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e>
                    </m:ba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</m:oMath>
                </m:oMathPara>
              </a14:m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∆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𝛿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𝑡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>
                          <a:rPr lang="ko-KR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𝜕</m:t>
                        </m:r>
                        <m:r>
                          <a:rPr lang="ko-KR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𝛿</m:t>
                        </m:r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∆</m:t>
                    </m:r>
                    <m:r>
                      <a:rPr lang="ko-KR" alt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∙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𝑙</m:t>
                        </m:r>
                      </m:e>
                      <m:sub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=1,  </m:t>
                    </m:r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95" name="TextBox 94"/>
            <xdr:cNvSpPr txBox="1"/>
          </xdr:nvSpPr>
          <xdr:spPr>
            <a:xfrm>
              <a:off x="466725" y="15220950"/>
              <a:ext cx="5485925" cy="86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latin typeface="Cambria Math" panose="02040503050406030204" pitchFamily="18" charset="0"/>
                </a:rPr>
                <a:t>𝑐_(𝑙_𝑠 )=〖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𝐵〗_𝑥/〖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𝜕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𝑙〗_𝑠 =1,  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𝑐_(𝑙_𝑥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𝑙〗_𝑥 =−1,  𝑐_¯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𝐵〗_𝑥/(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𝑐_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∆𝑡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𝜕∆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𝑡=−¯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∙𝑙_0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  </a:t>
              </a: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altLang="ko-KR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𝑡∙𝑙_0,  𝑐_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𝑡=−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∆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∙𝑙_0,  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=1,  𝑐_(〖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 =1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8</xdr:col>
      <xdr:colOff>9525</xdr:colOff>
      <xdr:row>218</xdr:row>
      <xdr:rowOff>57150</xdr:rowOff>
    </xdr:from>
    <xdr:ext cx="957313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6" name="TextBox 95"/>
            <xdr:cNvSpPr txBox="1"/>
          </xdr:nvSpPr>
          <xdr:spPr>
            <a:xfrm>
              <a:off x="1228725" y="52216050"/>
              <a:ext cx="957313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96" name="TextBox 95"/>
            <xdr:cNvSpPr txBox="1"/>
          </xdr:nvSpPr>
          <xdr:spPr>
            <a:xfrm>
              <a:off x="1228725" y="52216050"/>
              <a:ext cx="957313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𝑙〗_𝑟 =1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216</xdr:row>
          <xdr:rowOff>19050</xdr:rowOff>
        </xdr:from>
        <xdr:to>
          <xdr:col>17</xdr:col>
          <xdr:colOff>0</xdr:colOff>
          <xdr:row>216</xdr:row>
          <xdr:rowOff>209550</xdr:rowOff>
        </xdr:to>
        <xdr:sp macro="" textlink="">
          <xdr:nvSpPr>
            <xdr:cNvPr id="2621" name="Object 573" hidden="1">
              <a:extLst>
                <a:ext uri="{63B3BB69-23CF-44E3-9099-C40C66FF867C}">
                  <a14:compatExt spid="_x0000_s2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216</xdr:row>
          <xdr:rowOff>19050</xdr:rowOff>
        </xdr:from>
        <xdr:to>
          <xdr:col>22</xdr:col>
          <xdr:colOff>0</xdr:colOff>
          <xdr:row>216</xdr:row>
          <xdr:rowOff>209550</xdr:rowOff>
        </xdr:to>
        <xdr:sp macro="" textlink="">
          <xdr:nvSpPr>
            <xdr:cNvPr id="2622" name="Object 574" hidden="1">
              <a:extLst>
                <a:ext uri="{63B3BB69-23CF-44E3-9099-C40C66FF867C}">
                  <a14:compatExt spid="_x0000_s2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7</xdr:col>
      <xdr:colOff>9525</xdr:colOff>
      <xdr:row>221</xdr:row>
      <xdr:rowOff>9525</xdr:rowOff>
    </xdr:from>
    <xdr:ext cx="2249975" cy="4181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8" name="TextBox 97"/>
            <xdr:cNvSpPr txBox="1"/>
          </xdr:nvSpPr>
          <xdr:spPr>
            <a:xfrm>
              <a:off x="1076325" y="52882800"/>
              <a:ext cx="224997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∞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98" name="TextBox 97"/>
            <xdr:cNvSpPr txBox="1"/>
          </xdr:nvSpPr>
          <xdr:spPr>
            <a:xfrm>
              <a:off x="1076325" y="52882800"/>
              <a:ext cx="2249975" cy="4181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(〖</a:t>
              </a:r>
              <a:r>
                <a:rPr lang="ko-KR" altLang="en-US" sz="110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𝑙〗_𝑟 )=1/2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(100/0)^2=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∞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9525</xdr:colOff>
      <xdr:row>235</xdr:row>
      <xdr:rowOff>57150</xdr:rowOff>
    </xdr:from>
    <xdr:ext cx="981615" cy="34958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0" name="TextBox 99"/>
            <xdr:cNvSpPr txBox="1"/>
          </xdr:nvSpPr>
          <xdr:spPr>
            <a:xfrm>
              <a:off x="1228725" y="56264175"/>
              <a:ext cx="981615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</m:t>
                        </m:r>
                      </m:e>
                      <m:sub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sub>
                    </m:sSub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ko-KR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𝜕</m:t>
                            </m:r>
                            <m:r>
                              <a:rPr lang="ko-KR" alt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</m:t>
                            </m:r>
                          </m:sub>
                        </m:sSub>
                      </m:den>
                    </m:f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</m:t>
                    </m:r>
                  </m:oMath>
                </m:oMathPara>
              </a14:m>
              <a:endParaRPr lang="ko-KR" altLang="ko-KR">
                <a:effectLst/>
              </a:endParaRPr>
            </a:p>
          </xdr:txBody>
        </xdr:sp>
      </mc:Choice>
      <mc:Fallback xmlns="">
        <xdr:sp macro="" textlink="">
          <xdr:nvSpPr>
            <xdr:cNvPr id="100" name="TextBox 99"/>
            <xdr:cNvSpPr txBox="1"/>
          </xdr:nvSpPr>
          <xdr:spPr>
            <a:xfrm>
              <a:off x="1228725" y="56264175"/>
              <a:ext cx="981615" cy="3495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𝑐_(〖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 )=〖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𝐵〗_𝑥/〖</a:t>
              </a:r>
              <a:r>
                <a:rPr lang="ko-KR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𝜕</a:t>
              </a:r>
              <a:r>
                <a:rPr lang="ko-KR" alt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𝛿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𝑙〗_𝑃 =1</a:t>
              </a:r>
              <a:endParaRPr lang="ko-KR" altLang="ko-KR">
                <a:effectLst/>
              </a:endParaRPr>
            </a:p>
          </xdr:txBody>
        </xdr:sp>
      </mc:Fallback>
    </mc:AlternateContent>
    <xdr:clientData/>
  </xdr:oneCellAnchor>
  <xdr:oneCellAnchor>
    <xdr:from>
      <xdr:col>7</xdr:col>
      <xdr:colOff>9525</xdr:colOff>
      <xdr:row>238</xdr:row>
      <xdr:rowOff>9525</xdr:rowOff>
    </xdr:from>
    <xdr:ext cx="2253887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1" name="TextBox 100"/>
            <xdr:cNvSpPr txBox="1"/>
          </xdr:nvSpPr>
          <xdr:spPr>
            <a:xfrm>
              <a:off x="1076325" y="56930925"/>
              <a:ext cx="2253887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𝜈</m:t>
                    </m:r>
                    <m:d>
                      <m:d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ko-KR" altLang="en-US" sz="1100" i="1">
                                <a:latin typeface="Cambria Math" panose="02040503050406030204" pitchFamily="18" charset="0"/>
                              </a:rPr>
                              <m:t>𝛿</m:t>
                            </m:r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e>
                          <m:sub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</m:sSub>
                      </m:e>
                    </m:d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sSup>
                      <m:sSupPr>
                        <m:ctrlP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100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20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n-US" altLang="ko-K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altLang="ko-K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=12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101" name="TextBox 100"/>
            <xdr:cNvSpPr txBox="1"/>
          </xdr:nvSpPr>
          <xdr:spPr>
            <a:xfrm>
              <a:off x="1076325" y="56930925"/>
              <a:ext cx="2253887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i="0">
                  <a:latin typeface="Cambria Math" panose="02040503050406030204" pitchFamily="18" charset="0"/>
                </a:rPr>
                <a:t>(〖</a:t>
              </a:r>
              <a:r>
                <a:rPr lang="ko-KR" altLang="en-US" sz="1100" i="0">
                  <a:latin typeface="Cambria Math" panose="02040503050406030204" pitchFamily="18" charset="0"/>
                </a:rPr>
                <a:t>𝛿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𝑙〗_𝑃 )=1/2 (100/𝑅)^2=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1/2 (100/20)^2=12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oleObject" Target="../embeddings/oleObject16.bin"/><Relationship Id="rId117" Type="http://schemas.openxmlformats.org/officeDocument/2006/relationships/oleObject" Target="../embeddings/oleObject75.bin"/><Relationship Id="rId21" Type="http://schemas.openxmlformats.org/officeDocument/2006/relationships/oleObject" Target="../embeddings/oleObject12.bin"/><Relationship Id="rId42" Type="http://schemas.openxmlformats.org/officeDocument/2006/relationships/oleObject" Target="../embeddings/oleObject25.bin"/><Relationship Id="rId47" Type="http://schemas.openxmlformats.org/officeDocument/2006/relationships/oleObject" Target="../embeddings/oleObject28.bin"/><Relationship Id="rId63" Type="http://schemas.openxmlformats.org/officeDocument/2006/relationships/oleObject" Target="../embeddings/oleObject38.bin"/><Relationship Id="rId68" Type="http://schemas.openxmlformats.org/officeDocument/2006/relationships/image" Target="../media/image25.emf"/><Relationship Id="rId84" Type="http://schemas.openxmlformats.org/officeDocument/2006/relationships/image" Target="../media/image33.emf"/><Relationship Id="rId89" Type="http://schemas.openxmlformats.org/officeDocument/2006/relationships/oleObject" Target="../embeddings/oleObject53.bin"/><Relationship Id="rId112" Type="http://schemas.openxmlformats.org/officeDocument/2006/relationships/oleObject" Target="../embeddings/oleObject70.bin"/><Relationship Id="rId16" Type="http://schemas.openxmlformats.org/officeDocument/2006/relationships/image" Target="../media/image4.emf"/><Relationship Id="rId107" Type="http://schemas.openxmlformats.org/officeDocument/2006/relationships/oleObject" Target="../embeddings/oleObject65.bin"/><Relationship Id="rId11" Type="http://schemas.openxmlformats.org/officeDocument/2006/relationships/oleObject" Target="../embeddings/oleObject6.bin"/><Relationship Id="rId32" Type="http://schemas.openxmlformats.org/officeDocument/2006/relationships/oleObject" Target="../embeddings/oleObject20.bin"/><Relationship Id="rId37" Type="http://schemas.openxmlformats.org/officeDocument/2006/relationships/image" Target="../media/image12.emf"/><Relationship Id="rId53" Type="http://schemas.openxmlformats.org/officeDocument/2006/relationships/oleObject" Target="../embeddings/oleObject33.bin"/><Relationship Id="rId58" Type="http://schemas.openxmlformats.org/officeDocument/2006/relationships/image" Target="../media/image20.emf"/><Relationship Id="rId74" Type="http://schemas.openxmlformats.org/officeDocument/2006/relationships/image" Target="../media/image28.emf"/><Relationship Id="rId79" Type="http://schemas.openxmlformats.org/officeDocument/2006/relationships/oleObject" Target="../embeddings/oleObject46.bin"/><Relationship Id="rId102" Type="http://schemas.openxmlformats.org/officeDocument/2006/relationships/image" Target="../media/image38.emf"/><Relationship Id="rId123" Type="http://schemas.openxmlformats.org/officeDocument/2006/relationships/image" Target="../media/image41.emf"/><Relationship Id="rId5" Type="http://schemas.openxmlformats.org/officeDocument/2006/relationships/image" Target="../media/image1.emf"/><Relationship Id="rId90" Type="http://schemas.openxmlformats.org/officeDocument/2006/relationships/oleObject" Target="../embeddings/oleObject54.bin"/><Relationship Id="rId95" Type="http://schemas.openxmlformats.org/officeDocument/2006/relationships/oleObject" Target="../embeddings/oleObject57.bin"/><Relationship Id="rId22" Type="http://schemas.openxmlformats.org/officeDocument/2006/relationships/image" Target="../media/image7.emf"/><Relationship Id="rId27" Type="http://schemas.openxmlformats.org/officeDocument/2006/relationships/oleObject" Target="../embeddings/oleObject17.bin"/><Relationship Id="rId43" Type="http://schemas.openxmlformats.org/officeDocument/2006/relationships/image" Target="../media/image15.emf"/><Relationship Id="rId48" Type="http://schemas.openxmlformats.org/officeDocument/2006/relationships/oleObject" Target="../embeddings/oleObject29.bin"/><Relationship Id="rId64" Type="http://schemas.openxmlformats.org/officeDocument/2006/relationships/image" Target="../media/image23.emf"/><Relationship Id="rId69" Type="http://schemas.openxmlformats.org/officeDocument/2006/relationships/oleObject" Target="../embeddings/oleObject41.bin"/><Relationship Id="rId113" Type="http://schemas.openxmlformats.org/officeDocument/2006/relationships/oleObject" Target="../embeddings/oleObject71.bin"/><Relationship Id="rId118" Type="http://schemas.openxmlformats.org/officeDocument/2006/relationships/oleObject" Target="../embeddings/oleObject76.bin"/><Relationship Id="rId80" Type="http://schemas.openxmlformats.org/officeDocument/2006/relationships/image" Target="../media/image31.emf"/><Relationship Id="rId85" Type="http://schemas.openxmlformats.org/officeDocument/2006/relationships/oleObject" Target="../embeddings/oleObject49.bin"/><Relationship Id="rId12" Type="http://schemas.openxmlformats.org/officeDocument/2006/relationships/oleObject" Target="../embeddings/oleObject7.bin"/><Relationship Id="rId17" Type="http://schemas.openxmlformats.org/officeDocument/2006/relationships/oleObject" Target="../embeddings/oleObject10.bin"/><Relationship Id="rId33" Type="http://schemas.openxmlformats.org/officeDocument/2006/relationships/image" Target="../media/image10.emf"/><Relationship Id="rId38" Type="http://schemas.openxmlformats.org/officeDocument/2006/relationships/oleObject" Target="../embeddings/oleObject23.bin"/><Relationship Id="rId59" Type="http://schemas.openxmlformats.org/officeDocument/2006/relationships/oleObject" Target="../embeddings/oleObject36.bin"/><Relationship Id="rId103" Type="http://schemas.openxmlformats.org/officeDocument/2006/relationships/oleObject" Target="../embeddings/oleObject62.bin"/><Relationship Id="rId108" Type="http://schemas.openxmlformats.org/officeDocument/2006/relationships/oleObject" Target="../embeddings/oleObject66.bin"/><Relationship Id="rId124" Type="http://schemas.openxmlformats.org/officeDocument/2006/relationships/oleObject" Target="../embeddings/oleObject80.bin"/><Relationship Id="rId54" Type="http://schemas.openxmlformats.org/officeDocument/2006/relationships/image" Target="../media/image18.emf"/><Relationship Id="rId70" Type="http://schemas.openxmlformats.org/officeDocument/2006/relationships/image" Target="../media/image26.emf"/><Relationship Id="rId75" Type="http://schemas.openxmlformats.org/officeDocument/2006/relationships/oleObject" Target="../embeddings/oleObject44.bin"/><Relationship Id="rId91" Type="http://schemas.openxmlformats.org/officeDocument/2006/relationships/oleObject" Target="../embeddings/oleObject55.bin"/><Relationship Id="rId96" Type="http://schemas.openxmlformats.org/officeDocument/2006/relationships/oleObject" Target="../embeddings/oleObject58.bin"/><Relationship Id="rId1" Type="http://schemas.openxmlformats.org/officeDocument/2006/relationships/printerSettings" Target="../printerSettings/printerSettings8.bin"/><Relationship Id="rId6" Type="http://schemas.openxmlformats.org/officeDocument/2006/relationships/oleObject" Target="../embeddings/oleObject2.bin"/><Relationship Id="rId23" Type="http://schemas.openxmlformats.org/officeDocument/2006/relationships/oleObject" Target="../embeddings/oleObject13.bin"/><Relationship Id="rId28" Type="http://schemas.openxmlformats.org/officeDocument/2006/relationships/oleObject" Target="../embeddings/oleObject18.bin"/><Relationship Id="rId49" Type="http://schemas.openxmlformats.org/officeDocument/2006/relationships/oleObject" Target="../embeddings/oleObject30.bin"/><Relationship Id="rId114" Type="http://schemas.openxmlformats.org/officeDocument/2006/relationships/oleObject" Target="../embeddings/oleObject72.bin"/><Relationship Id="rId119" Type="http://schemas.openxmlformats.org/officeDocument/2006/relationships/oleObject" Target="../embeddings/oleObject77.bin"/><Relationship Id="rId44" Type="http://schemas.openxmlformats.org/officeDocument/2006/relationships/oleObject" Target="../embeddings/oleObject26.bin"/><Relationship Id="rId60" Type="http://schemas.openxmlformats.org/officeDocument/2006/relationships/image" Target="../media/image21.emf"/><Relationship Id="rId65" Type="http://schemas.openxmlformats.org/officeDocument/2006/relationships/oleObject" Target="../embeddings/oleObject39.bin"/><Relationship Id="rId81" Type="http://schemas.openxmlformats.org/officeDocument/2006/relationships/oleObject" Target="../embeddings/oleObject47.bin"/><Relationship Id="rId86" Type="http://schemas.openxmlformats.org/officeDocument/2006/relationships/oleObject" Target="../embeddings/oleObject50.bin"/><Relationship Id="rId13" Type="http://schemas.openxmlformats.org/officeDocument/2006/relationships/oleObject" Target="../embeddings/oleObject8.bin"/><Relationship Id="rId18" Type="http://schemas.openxmlformats.org/officeDocument/2006/relationships/image" Target="../media/image5.emf"/><Relationship Id="rId39" Type="http://schemas.openxmlformats.org/officeDocument/2006/relationships/image" Target="../media/image13.emf"/><Relationship Id="rId109" Type="http://schemas.openxmlformats.org/officeDocument/2006/relationships/oleObject" Target="../embeddings/oleObject67.bin"/><Relationship Id="rId34" Type="http://schemas.openxmlformats.org/officeDocument/2006/relationships/oleObject" Target="../embeddings/oleObject21.bin"/><Relationship Id="rId50" Type="http://schemas.openxmlformats.org/officeDocument/2006/relationships/oleObject" Target="../embeddings/oleObject31.bin"/><Relationship Id="rId55" Type="http://schemas.openxmlformats.org/officeDocument/2006/relationships/oleObject" Target="../embeddings/oleObject34.bin"/><Relationship Id="rId76" Type="http://schemas.openxmlformats.org/officeDocument/2006/relationships/image" Target="../media/image29.emf"/><Relationship Id="rId97" Type="http://schemas.openxmlformats.org/officeDocument/2006/relationships/image" Target="../media/image36.emf"/><Relationship Id="rId104" Type="http://schemas.openxmlformats.org/officeDocument/2006/relationships/image" Target="../media/image39.emf"/><Relationship Id="rId120" Type="http://schemas.openxmlformats.org/officeDocument/2006/relationships/image" Target="../media/image40.emf"/><Relationship Id="rId125" Type="http://schemas.openxmlformats.org/officeDocument/2006/relationships/oleObject" Target="../embeddings/oleObject81.bin"/><Relationship Id="rId7" Type="http://schemas.openxmlformats.org/officeDocument/2006/relationships/oleObject" Target="../embeddings/oleObject3.bin"/><Relationship Id="rId71" Type="http://schemas.openxmlformats.org/officeDocument/2006/relationships/oleObject" Target="../embeddings/oleObject42.bin"/><Relationship Id="rId92" Type="http://schemas.openxmlformats.org/officeDocument/2006/relationships/image" Target="../media/image34.emf"/><Relationship Id="rId2" Type="http://schemas.openxmlformats.org/officeDocument/2006/relationships/drawing" Target="../drawings/drawing4.xml"/><Relationship Id="rId29" Type="http://schemas.openxmlformats.org/officeDocument/2006/relationships/image" Target="../media/image8.emf"/><Relationship Id="rId24" Type="http://schemas.openxmlformats.org/officeDocument/2006/relationships/oleObject" Target="../embeddings/oleObject14.bin"/><Relationship Id="rId40" Type="http://schemas.openxmlformats.org/officeDocument/2006/relationships/oleObject" Target="../embeddings/oleObject24.bin"/><Relationship Id="rId45" Type="http://schemas.openxmlformats.org/officeDocument/2006/relationships/image" Target="../media/image16.emf"/><Relationship Id="rId66" Type="http://schemas.openxmlformats.org/officeDocument/2006/relationships/image" Target="../media/image24.emf"/><Relationship Id="rId87" Type="http://schemas.openxmlformats.org/officeDocument/2006/relationships/oleObject" Target="../embeddings/oleObject51.bin"/><Relationship Id="rId110" Type="http://schemas.openxmlformats.org/officeDocument/2006/relationships/oleObject" Target="../embeddings/oleObject68.bin"/><Relationship Id="rId115" Type="http://schemas.openxmlformats.org/officeDocument/2006/relationships/oleObject" Target="../embeddings/oleObject73.bin"/><Relationship Id="rId61" Type="http://schemas.openxmlformats.org/officeDocument/2006/relationships/oleObject" Target="../embeddings/oleObject37.bin"/><Relationship Id="rId82" Type="http://schemas.openxmlformats.org/officeDocument/2006/relationships/image" Target="../media/image32.emf"/><Relationship Id="rId19" Type="http://schemas.openxmlformats.org/officeDocument/2006/relationships/oleObject" Target="../embeddings/oleObject11.bin"/><Relationship Id="rId14" Type="http://schemas.openxmlformats.org/officeDocument/2006/relationships/image" Target="../media/image3.emf"/><Relationship Id="rId30" Type="http://schemas.openxmlformats.org/officeDocument/2006/relationships/oleObject" Target="../embeddings/oleObject19.bin"/><Relationship Id="rId35" Type="http://schemas.openxmlformats.org/officeDocument/2006/relationships/image" Target="../media/image11.emf"/><Relationship Id="rId56" Type="http://schemas.openxmlformats.org/officeDocument/2006/relationships/image" Target="../media/image19.emf"/><Relationship Id="rId77" Type="http://schemas.openxmlformats.org/officeDocument/2006/relationships/oleObject" Target="../embeddings/oleObject45.bin"/><Relationship Id="rId100" Type="http://schemas.openxmlformats.org/officeDocument/2006/relationships/image" Target="../media/image37.emf"/><Relationship Id="rId105" Type="http://schemas.openxmlformats.org/officeDocument/2006/relationships/oleObject" Target="../embeddings/oleObject63.bin"/><Relationship Id="rId8" Type="http://schemas.openxmlformats.org/officeDocument/2006/relationships/image" Target="../media/image2.emf"/><Relationship Id="rId51" Type="http://schemas.openxmlformats.org/officeDocument/2006/relationships/image" Target="../media/image17.emf"/><Relationship Id="rId72" Type="http://schemas.openxmlformats.org/officeDocument/2006/relationships/image" Target="../media/image27.emf"/><Relationship Id="rId93" Type="http://schemas.openxmlformats.org/officeDocument/2006/relationships/oleObject" Target="../embeddings/oleObject56.bin"/><Relationship Id="rId98" Type="http://schemas.openxmlformats.org/officeDocument/2006/relationships/oleObject" Target="../embeddings/oleObject59.bin"/><Relationship Id="rId121" Type="http://schemas.openxmlformats.org/officeDocument/2006/relationships/oleObject" Target="../embeddings/oleObject78.bin"/><Relationship Id="rId3" Type="http://schemas.openxmlformats.org/officeDocument/2006/relationships/vmlDrawing" Target="../drawings/vmlDrawing1.vml"/><Relationship Id="rId25" Type="http://schemas.openxmlformats.org/officeDocument/2006/relationships/oleObject" Target="../embeddings/oleObject15.bin"/><Relationship Id="rId46" Type="http://schemas.openxmlformats.org/officeDocument/2006/relationships/oleObject" Target="../embeddings/oleObject27.bin"/><Relationship Id="rId67" Type="http://schemas.openxmlformats.org/officeDocument/2006/relationships/oleObject" Target="../embeddings/oleObject40.bin"/><Relationship Id="rId116" Type="http://schemas.openxmlformats.org/officeDocument/2006/relationships/oleObject" Target="../embeddings/oleObject74.bin"/><Relationship Id="rId20" Type="http://schemas.openxmlformats.org/officeDocument/2006/relationships/image" Target="../media/image6.emf"/><Relationship Id="rId41" Type="http://schemas.openxmlformats.org/officeDocument/2006/relationships/image" Target="../media/image14.emf"/><Relationship Id="rId62" Type="http://schemas.openxmlformats.org/officeDocument/2006/relationships/image" Target="../media/image22.emf"/><Relationship Id="rId83" Type="http://schemas.openxmlformats.org/officeDocument/2006/relationships/oleObject" Target="../embeddings/oleObject48.bin"/><Relationship Id="rId88" Type="http://schemas.openxmlformats.org/officeDocument/2006/relationships/oleObject" Target="../embeddings/oleObject52.bin"/><Relationship Id="rId111" Type="http://schemas.openxmlformats.org/officeDocument/2006/relationships/oleObject" Target="../embeddings/oleObject69.bin"/><Relationship Id="rId15" Type="http://schemas.openxmlformats.org/officeDocument/2006/relationships/oleObject" Target="../embeddings/oleObject9.bin"/><Relationship Id="rId36" Type="http://schemas.openxmlformats.org/officeDocument/2006/relationships/oleObject" Target="../embeddings/oleObject22.bin"/><Relationship Id="rId57" Type="http://schemas.openxmlformats.org/officeDocument/2006/relationships/oleObject" Target="../embeddings/oleObject35.bin"/><Relationship Id="rId106" Type="http://schemas.openxmlformats.org/officeDocument/2006/relationships/oleObject" Target="../embeddings/oleObject64.bin"/><Relationship Id="rId10" Type="http://schemas.openxmlformats.org/officeDocument/2006/relationships/oleObject" Target="../embeddings/oleObject5.bin"/><Relationship Id="rId31" Type="http://schemas.openxmlformats.org/officeDocument/2006/relationships/image" Target="../media/image9.emf"/><Relationship Id="rId52" Type="http://schemas.openxmlformats.org/officeDocument/2006/relationships/oleObject" Target="../embeddings/oleObject32.bin"/><Relationship Id="rId73" Type="http://schemas.openxmlformats.org/officeDocument/2006/relationships/oleObject" Target="../embeddings/oleObject43.bin"/><Relationship Id="rId78" Type="http://schemas.openxmlformats.org/officeDocument/2006/relationships/image" Target="../media/image30.emf"/><Relationship Id="rId94" Type="http://schemas.openxmlformats.org/officeDocument/2006/relationships/image" Target="../media/image35.emf"/><Relationship Id="rId99" Type="http://schemas.openxmlformats.org/officeDocument/2006/relationships/oleObject" Target="../embeddings/oleObject60.bin"/><Relationship Id="rId101" Type="http://schemas.openxmlformats.org/officeDocument/2006/relationships/oleObject" Target="../embeddings/oleObject61.bin"/><Relationship Id="rId122" Type="http://schemas.openxmlformats.org/officeDocument/2006/relationships/oleObject" Target="../embeddings/oleObject79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52"/>
  <sheetViews>
    <sheetView showGridLines="0" tabSelected="1" zoomScaleNormal="100" zoomScaleSheetLayoutView="115" workbookViewId="0">
      <selection sqref="A1:J1"/>
    </sheetView>
  </sheetViews>
  <sheetFormatPr defaultColWidth="8.109375" defaultRowHeight="12.95" customHeight="1"/>
  <cols>
    <col min="1" max="11" width="8.109375" style="1" customWidth="1"/>
    <col min="12" max="16384" width="8.109375" style="1"/>
  </cols>
  <sheetData>
    <row r="1" spans="1:13" ht="51.95" customHeight="1">
      <c r="A1" s="473" t="s">
        <v>0</v>
      </c>
      <c r="B1" s="474"/>
      <c r="C1" s="474"/>
      <c r="D1" s="474"/>
      <c r="E1" s="474"/>
      <c r="F1" s="474"/>
      <c r="G1" s="474"/>
      <c r="H1" s="475"/>
      <c r="I1" s="476"/>
      <c r="J1" s="477"/>
    </row>
    <row r="2" spans="1:13" ht="12.95" customHeight="1">
      <c r="A2" s="453" t="s">
        <v>1</v>
      </c>
      <c r="B2" s="453"/>
      <c r="C2" s="453"/>
      <c r="D2" s="453"/>
      <c r="E2" s="453"/>
      <c r="F2" s="453"/>
      <c r="G2" s="453"/>
      <c r="H2" s="453"/>
      <c r="I2" s="453"/>
      <c r="J2" s="453"/>
    </row>
    <row r="3" spans="1:13" ht="12.95" customHeight="1">
      <c r="A3" s="454" t="s">
        <v>2</v>
      </c>
      <c r="B3" s="455"/>
      <c r="C3" s="478"/>
      <c r="D3" s="478"/>
      <c r="E3" s="478"/>
      <c r="F3" s="455" t="s">
        <v>3</v>
      </c>
      <c r="G3" s="455"/>
      <c r="H3" s="469"/>
      <c r="I3" s="468"/>
      <c r="J3" s="468"/>
    </row>
    <row r="4" spans="1:13" ht="12.95" customHeight="1">
      <c r="A4" s="455" t="s">
        <v>4</v>
      </c>
      <c r="B4" s="455"/>
      <c r="C4" s="479"/>
      <c r="D4" s="455"/>
      <c r="E4" s="455"/>
      <c r="F4" s="455" t="s">
        <v>5</v>
      </c>
      <c r="G4" s="455"/>
      <c r="H4" s="455"/>
      <c r="I4" s="468"/>
      <c r="J4" s="468"/>
    </row>
    <row r="5" spans="1:13" ht="12.95" customHeight="1">
      <c r="A5" s="455" t="s">
        <v>6</v>
      </c>
      <c r="B5" s="455"/>
      <c r="C5" s="455"/>
      <c r="D5" s="468"/>
      <c r="E5" s="468"/>
      <c r="F5" s="454" t="s">
        <v>7</v>
      </c>
      <c r="G5" s="455"/>
      <c r="H5" s="456"/>
      <c r="I5" s="457"/>
      <c r="J5" s="457"/>
    </row>
    <row r="6" spans="1:13" ht="12.95" customHeight="1">
      <c r="A6" s="455" t="s">
        <v>8</v>
      </c>
      <c r="B6" s="455"/>
      <c r="C6" s="455"/>
      <c r="D6" s="468"/>
      <c r="E6" s="468"/>
      <c r="F6" s="454" t="s">
        <v>9</v>
      </c>
      <c r="G6" s="455"/>
      <c r="H6" s="456"/>
      <c r="I6" s="457"/>
      <c r="J6" s="457"/>
    </row>
    <row r="7" spans="1:13" ht="12.95" customHeight="1">
      <c r="A7" s="455" t="s">
        <v>10</v>
      </c>
      <c r="B7" s="455"/>
      <c r="C7" s="471"/>
      <c r="D7" s="468"/>
      <c r="E7" s="468"/>
      <c r="F7" s="454" t="s">
        <v>11</v>
      </c>
      <c r="G7" s="455"/>
      <c r="H7" s="455"/>
      <c r="I7" s="468"/>
      <c r="J7" s="468"/>
    </row>
    <row r="8" spans="1:13" ht="12.95" customHeight="1">
      <c r="A8" s="455" t="s">
        <v>12</v>
      </c>
      <c r="B8" s="455"/>
      <c r="C8" s="469"/>
      <c r="D8" s="470"/>
      <c r="E8" s="470"/>
      <c r="F8" s="454" t="s">
        <v>13</v>
      </c>
      <c r="G8" s="455"/>
      <c r="H8" s="455"/>
      <c r="I8" s="468"/>
      <c r="J8" s="468"/>
    </row>
    <row r="9" spans="1:13" ht="12.95" customHeight="1">
      <c r="A9" s="454" t="s">
        <v>35</v>
      </c>
      <c r="B9" s="455"/>
      <c r="C9" s="456"/>
      <c r="D9" s="457"/>
      <c r="E9" s="457"/>
      <c r="F9" s="472" t="s">
        <v>14</v>
      </c>
      <c r="G9" s="472"/>
      <c r="H9" s="456"/>
      <c r="I9" s="457"/>
      <c r="J9" s="457"/>
    </row>
    <row r="10" spans="1:13" ht="23.25" customHeight="1">
      <c r="A10" s="455" t="s">
        <v>15</v>
      </c>
      <c r="B10" s="455"/>
      <c r="C10" s="456"/>
      <c r="D10" s="457"/>
      <c r="E10" s="457"/>
      <c r="F10" s="455" t="s">
        <v>16</v>
      </c>
      <c r="G10" s="455"/>
      <c r="H10" s="34"/>
      <c r="I10" s="460" t="s">
        <v>17</v>
      </c>
      <c r="J10" s="461"/>
      <c r="K10" s="4"/>
    </row>
    <row r="11" spans="1:13" ht="12.95" customHeight="1">
      <c r="A11" s="453" t="s">
        <v>18</v>
      </c>
      <c r="B11" s="453"/>
      <c r="C11" s="453"/>
      <c r="D11" s="453"/>
      <c r="E11" s="453"/>
      <c r="F11" s="453"/>
      <c r="G11" s="453"/>
      <c r="H11" s="453"/>
      <c r="I11" s="453"/>
      <c r="J11" s="453"/>
      <c r="K11" s="5"/>
    </row>
    <row r="12" spans="1:13" ht="17.25" customHeight="1">
      <c r="A12" s="3" t="s">
        <v>19</v>
      </c>
      <c r="B12" s="85"/>
      <c r="C12" s="6" t="s">
        <v>20</v>
      </c>
      <c r="D12" s="86"/>
      <c r="E12" s="6" t="s">
        <v>21</v>
      </c>
      <c r="F12" s="87"/>
      <c r="G12" s="462" t="s">
        <v>22</v>
      </c>
      <c r="H12" s="458"/>
      <c r="I12" s="464" t="s">
        <v>23</v>
      </c>
      <c r="J12" s="465"/>
      <c r="K12" s="4"/>
      <c r="L12" s="7"/>
      <c r="M12" s="7"/>
    </row>
    <row r="13" spans="1:13" ht="17.25" customHeight="1">
      <c r="A13" s="8" t="s">
        <v>24</v>
      </c>
      <c r="B13" s="85"/>
      <c r="C13" s="8" t="s">
        <v>25</v>
      </c>
      <c r="D13" s="86"/>
      <c r="E13" s="6" t="s">
        <v>26</v>
      </c>
      <c r="F13" s="87"/>
      <c r="G13" s="463"/>
      <c r="H13" s="459"/>
      <c r="I13" s="466"/>
      <c r="J13" s="467"/>
      <c r="K13" s="5"/>
    </row>
    <row r="14" spans="1:13" ht="12.95" customHeight="1">
      <c r="A14" s="453" t="s">
        <v>27</v>
      </c>
      <c r="B14" s="453"/>
      <c r="C14" s="453"/>
      <c r="D14" s="453"/>
      <c r="E14" s="453"/>
      <c r="F14" s="453"/>
      <c r="G14" s="453"/>
      <c r="H14" s="453"/>
      <c r="I14" s="453"/>
      <c r="J14" s="453"/>
      <c r="K14" s="5"/>
    </row>
    <row r="15" spans="1:13" ht="39" customHeight="1">
      <c r="A15" s="450"/>
      <c r="B15" s="451"/>
      <c r="C15" s="451"/>
      <c r="D15" s="451"/>
      <c r="E15" s="451"/>
      <c r="F15" s="451"/>
      <c r="G15" s="451"/>
      <c r="H15" s="451"/>
      <c r="I15" s="451"/>
      <c r="J15" s="452"/>
    </row>
    <row r="16" spans="1:13" ht="12.95" customHeight="1">
      <c r="A16" s="453" t="s">
        <v>28</v>
      </c>
      <c r="B16" s="453"/>
      <c r="C16" s="453"/>
      <c r="D16" s="453"/>
      <c r="E16" s="453"/>
      <c r="F16" s="453"/>
      <c r="G16" s="453"/>
      <c r="H16" s="453"/>
      <c r="I16" s="453"/>
      <c r="J16" s="453"/>
    </row>
    <row r="17" spans="1:12" ht="12.95" customHeight="1">
      <c r="A17" s="3" t="s">
        <v>29</v>
      </c>
      <c r="B17" s="454" t="s">
        <v>30</v>
      </c>
      <c r="C17" s="455"/>
      <c r="D17" s="455"/>
      <c r="E17" s="455"/>
      <c r="F17" s="454" t="s">
        <v>31</v>
      </c>
      <c r="G17" s="455"/>
      <c r="H17" s="3" t="s">
        <v>10</v>
      </c>
      <c r="I17" s="2" t="s">
        <v>32</v>
      </c>
      <c r="J17" s="2" t="s">
        <v>33</v>
      </c>
      <c r="L17" s="5"/>
    </row>
    <row r="18" spans="1:12" ht="12.95" customHeight="1">
      <c r="A18" s="35"/>
      <c r="B18" s="448"/>
      <c r="C18" s="449"/>
      <c r="D18" s="449"/>
      <c r="E18" s="449"/>
      <c r="F18" s="448"/>
      <c r="G18" s="449"/>
      <c r="H18" s="40"/>
      <c r="I18" s="18"/>
      <c r="J18" s="84"/>
      <c r="L18" s="5"/>
    </row>
    <row r="19" spans="1:12" ht="12.95" customHeight="1">
      <c r="A19" s="35"/>
      <c r="B19" s="448"/>
      <c r="C19" s="449"/>
      <c r="D19" s="449"/>
      <c r="E19" s="449"/>
      <c r="F19" s="448"/>
      <c r="G19" s="449"/>
      <c r="H19" s="21"/>
      <c r="I19" s="21"/>
      <c r="J19" s="84"/>
      <c r="L19" s="5"/>
    </row>
    <row r="20" spans="1:12" ht="12.95" customHeight="1">
      <c r="A20" s="35"/>
      <c r="B20" s="448"/>
      <c r="C20" s="449"/>
      <c r="D20" s="449"/>
      <c r="E20" s="449"/>
      <c r="F20" s="448"/>
      <c r="G20" s="449"/>
      <c r="H20" s="32"/>
      <c r="I20" s="32"/>
      <c r="J20" s="84"/>
      <c r="L20" s="5"/>
    </row>
    <row r="21" spans="1:12" ht="12.95" customHeight="1">
      <c r="A21" s="35"/>
      <c r="B21" s="448"/>
      <c r="C21" s="449"/>
      <c r="D21" s="449"/>
      <c r="E21" s="449"/>
      <c r="F21" s="448"/>
      <c r="G21" s="449"/>
      <c r="H21" s="32"/>
      <c r="I21" s="9"/>
      <c r="J21" s="84"/>
      <c r="L21" s="5"/>
    </row>
    <row r="22" spans="1:12" ht="12.95" customHeight="1">
      <c r="A22" s="35"/>
      <c r="B22" s="448"/>
      <c r="C22" s="449"/>
      <c r="D22" s="449"/>
      <c r="E22" s="449"/>
      <c r="F22" s="448"/>
      <c r="G22" s="449"/>
      <c r="H22" s="20"/>
      <c r="I22" s="11"/>
      <c r="J22" s="84"/>
      <c r="L22" s="5"/>
    </row>
    <row r="23" spans="1:12" ht="12.95" customHeight="1">
      <c r="A23" s="35"/>
      <c r="B23" s="448"/>
      <c r="C23" s="449"/>
      <c r="D23" s="449"/>
      <c r="E23" s="449"/>
      <c r="F23" s="448"/>
      <c r="G23" s="449"/>
      <c r="H23" s="11"/>
      <c r="I23" s="9"/>
      <c r="J23" s="84"/>
      <c r="L23" s="5"/>
    </row>
    <row r="24" spans="1:12" ht="12.95" customHeight="1">
      <c r="A24" s="35"/>
      <c r="B24" s="448"/>
      <c r="C24" s="449"/>
      <c r="D24" s="449"/>
      <c r="E24" s="449"/>
      <c r="F24" s="448"/>
      <c r="G24" s="449"/>
      <c r="H24" s="16"/>
      <c r="I24" s="9"/>
      <c r="J24" s="84"/>
      <c r="L24" s="5"/>
    </row>
    <row r="25" spans="1:12" ht="12.95" customHeight="1">
      <c r="A25" s="35"/>
      <c r="B25" s="448"/>
      <c r="C25" s="449"/>
      <c r="D25" s="449"/>
      <c r="E25" s="449"/>
      <c r="F25" s="448"/>
      <c r="G25" s="449"/>
      <c r="H25" s="16"/>
      <c r="I25" s="9"/>
      <c r="J25" s="84"/>
      <c r="L25" s="5"/>
    </row>
    <row r="26" spans="1:12" ht="12.95" customHeight="1">
      <c r="A26" s="35"/>
      <c r="B26" s="448"/>
      <c r="C26" s="449"/>
      <c r="D26" s="449"/>
      <c r="E26" s="449"/>
      <c r="F26" s="448"/>
      <c r="G26" s="449"/>
      <c r="H26" s="16"/>
      <c r="I26" s="9"/>
      <c r="J26" s="84"/>
      <c r="L26" s="5"/>
    </row>
    <row r="27" spans="1:12" ht="12.95" customHeight="1">
      <c r="A27" s="35"/>
      <c r="B27" s="448"/>
      <c r="C27" s="449"/>
      <c r="D27" s="449"/>
      <c r="E27" s="449"/>
      <c r="F27" s="448"/>
      <c r="G27" s="449"/>
      <c r="H27" s="9"/>
      <c r="I27" s="9"/>
      <c r="J27" s="84"/>
    </row>
    <row r="28" spans="1:12" ht="12.95" customHeight="1">
      <c r="A28" s="35"/>
      <c r="B28" s="448"/>
      <c r="C28" s="449"/>
      <c r="D28" s="449"/>
      <c r="E28" s="449"/>
      <c r="F28" s="448"/>
      <c r="G28" s="449"/>
      <c r="H28" s="9"/>
      <c r="I28" s="9"/>
      <c r="J28" s="84"/>
    </row>
    <row r="29" spans="1:12" ht="12.95" customHeight="1">
      <c r="A29" s="35"/>
      <c r="B29" s="448"/>
      <c r="C29" s="449"/>
      <c r="D29" s="449"/>
      <c r="E29" s="449"/>
      <c r="F29" s="448"/>
      <c r="G29" s="449"/>
      <c r="H29" s="9"/>
      <c r="I29" s="9"/>
      <c r="J29" s="84"/>
    </row>
    <row r="30" spans="1:12" ht="12.95" customHeight="1">
      <c r="A30" s="35"/>
      <c r="B30" s="448"/>
      <c r="C30" s="449"/>
      <c r="D30" s="449"/>
      <c r="E30" s="449"/>
      <c r="F30" s="448"/>
      <c r="G30" s="449"/>
      <c r="H30" s="9"/>
      <c r="I30" s="9"/>
      <c r="J30" s="84"/>
    </row>
    <row r="31" spans="1:12" ht="12.95" customHeight="1">
      <c r="A31" s="35"/>
      <c r="B31" s="448"/>
      <c r="C31" s="449"/>
      <c r="D31" s="449"/>
      <c r="E31" s="449"/>
      <c r="F31" s="448"/>
      <c r="G31" s="449"/>
      <c r="H31" s="9"/>
      <c r="I31" s="9"/>
      <c r="J31" s="84"/>
    </row>
    <row r="32" spans="1:12" ht="12.95" customHeight="1">
      <c r="A32" s="35"/>
      <c r="B32" s="448"/>
      <c r="C32" s="449"/>
      <c r="D32" s="449"/>
      <c r="E32" s="449"/>
      <c r="F32" s="448"/>
      <c r="G32" s="449"/>
      <c r="H32" s="9"/>
      <c r="I32" s="9"/>
      <c r="J32" s="84"/>
    </row>
    <row r="33" spans="1:10" ht="12.95" customHeight="1">
      <c r="A33" s="35"/>
      <c r="B33" s="448"/>
      <c r="C33" s="449"/>
      <c r="D33" s="449"/>
      <c r="E33" s="449"/>
      <c r="F33" s="448"/>
      <c r="G33" s="449"/>
      <c r="H33" s="9"/>
      <c r="I33" s="9"/>
      <c r="J33" s="84"/>
    </row>
    <row r="34" spans="1:10" ht="12.95" customHeight="1">
      <c r="A34" s="35"/>
      <c r="B34" s="448"/>
      <c r="C34" s="449"/>
      <c r="D34" s="449"/>
      <c r="E34" s="449"/>
      <c r="F34" s="448"/>
      <c r="G34" s="449"/>
      <c r="H34" s="9"/>
      <c r="I34" s="9"/>
      <c r="J34" s="84"/>
    </row>
    <row r="35" spans="1:10" ht="12.95" customHeight="1">
      <c r="A35" s="35"/>
      <c r="B35" s="448"/>
      <c r="C35" s="449"/>
      <c r="D35" s="449"/>
      <c r="E35" s="449"/>
      <c r="F35" s="448"/>
      <c r="G35" s="449"/>
      <c r="H35" s="9"/>
      <c r="I35" s="9"/>
      <c r="J35" s="84"/>
    </row>
    <row r="36" spans="1:10" ht="12.95" customHeight="1">
      <c r="A36" s="35"/>
      <c r="B36" s="448"/>
      <c r="C36" s="449"/>
      <c r="D36" s="449"/>
      <c r="E36" s="449"/>
      <c r="F36" s="448"/>
      <c r="G36" s="449"/>
      <c r="H36" s="9"/>
      <c r="I36" s="9"/>
      <c r="J36" s="84"/>
    </row>
    <row r="37" spans="1:10" ht="12.95" customHeight="1">
      <c r="A37" s="35"/>
      <c r="B37" s="448"/>
      <c r="C37" s="449"/>
      <c r="D37" s="449"/>
      <c r="E37" s="449"/>
      <c r="F37" s="448"/>
      <c r="G37" s="449"/>
      <c r="H37" s="9"/>
      <c r="I37" s="9"/>
      <c r="J37" s="84"/>
    </row>
    <row r="38" spans="1:10" ht="12.95" customHeight="1">
      <c r="A38" s="39" t="s">
        <v>36</v>
      </c>
      <c r="B38" s="5"/>
      <c r="C38" s="5"/>
      <c r="D38" s="5"/>
      <c r="E38" s="5"/>
      <c r="J38" s="10"/>
    </row>
    <row r="39" spans="1:10" ht="12.95" customHeight="1">
      <c r="A39" s="434" t="s">
        <v>37</v>
      </c>
      <c r="B39" s="434"/>
      <c r="C39" s="434"/>
      <c r="D39" s="434"/>
      <c r="E39" s="434"/>
      <c r="F39" s="435" t="s">
        <v>38</v>
      </c>
      <c r="G39" s="438"/>
      <c r="H39" s="439"/>
      <c r="I39" s="439"/>
      <c r="J39" s="440"/>
    </row>
    <row r="40" spans="1:10" ht="12.95" customHeight="1">
      <c r="A40" s="434" t="s">
        <v>39</v>
      </c>
      <c r="B40" s="434"/>
      <c r="C40" s="434"/>
      <c r="D40" s="434"/>
      <c r="E40" s="434"/>
      <c r="F40" s="436"/>
      <c r="G40" s="441"/>
      <c r="H40" s="442"/>
      <c r="I40" s="442"/>
      <c r="J40" s="443"/>
    </row>
    <row r="41" spans="1:10" ht="12.95" customHeight="1">
      <c r="A41" s="434" t="s">
        <v>40</v>
      </c>
      <c r="B41" s="434"/>
      <c r="C41" s="434"/>
      <c r="D41" s="434"/>
      <c r="E41" s="434"/>
      <c r="F41" s="436"/>
      <c r="G41" s="441"/>
      <c r="H41" s="442"/>
      <c r="I41" s="442"/>
      <c r="J41" s="443"/>
    </row>
    <row r="42" spans="1:10" ht="12.95" customHeight="1">
      <c r="A42" s="434" t="s">
        <v>41</v>
      </c>
      <c r="B42" s="434"/>
      <c r="C42" s="447" t="s">
        <v>42</v>
      </c>
      <c r="D42" s="447"/>
      <c r="E42" s="447"/>
      <c r="F42" s="437"/>
      <c r="G42" s="444"/>
      <c r="H42" s="445"/>
      <c r="I42" s="445"/>
      <c r="J42" s="446"/>
    </row>
    <row r="43" spans="1:10" ht="12.95" customHeight="1">
      <c r="A43" s="433" t="s">
        <v>52</v>
      </c>
      <c r="B43" s="433"/>
      <c r="C43" s="433" t="e">
        <f ca="1">Calcu!S3</f>
        <v>#N/A</v>
      </c>
      <c r="D43" s="433"/>
      <c r="E43" s="433"/>
    </row>
    <row r="46" spans="1:10" ht="12.95" customHeight="1">
      <c r="B46" s="1" t="s">
        <v>582</v>
      </c>
    </row>
    <row r="47" spans="1:10" ht="12.95" customHeight="1">
      <c r="B47" s="1" t="s">
        <v>583</v>
      </c>
    </row>
    <row r="48" spans="1:10" ht="12.95" customHeight="1">
      <c r="A48" s="1">
        <f>Calcu!R108</f>
        <v>22000</v>
      </c>
      <c r="B48" s="1" t="s">
        <v>585</v>
      </c>
    </row>
    <row r="49" spans="1:2" ht="12.95" customHeight="1">
      <c r="A49" s="110"/>
    </row>
    <row r="50" spans="1:2" ht="12.95" customHeight="1">
      <c r="A50" s="1" t="str">
        <f>Calcu!T3</f>
        <v>PASS</v>
      </c>
      <c r="B50" s="1" t="s">
        <v>586</v>
      </c>
    </row>
    <row r="52" spans="1:2" ht="12.95" customHeight="1">
      <c r="B52" s="1" t="s">
        <v>656</v>
      </c>
    </row>
  </sheetData>
  <sheetProtection selectLockedCells="1"/>
  <mergeCells count="95">
    <mergeCell ref="A4:B4"/>
    <mergeCell ref="C4:E4"/>
    <mergeCell ref="F4:G4"/>
    <mergeCell ref="H4:J4"/>
    <mergeCell ref="A5:B5"/>
    <mergeCell ref="C5:E5"/>
    <mergeCell ref="F5:G5"/>
    <mergeCell ref="H5:J5"/>
    <mergeCell ref="A1:J1"/>
    <mergeCell ref="A2:J2"/>
    <mergeCell ref="A3:B3"/>
    <mergeCell ref="C3:E3"/>
    <mergeCell ref="F3:G3"/>
    <mergeCell ref="H3:J3"/>
    <mergeCell ref="A6:B6"/>
    <mergeCell ref="C6:E6"/>
    <mergeCell ref="F6:G6"/>
    <mergeCell ref="H6:J6"/>
    <mergeCell ref="F10:G10"/>
    <mergeCell ref="A8:B8"/>
    <mergeCell ref="C8:E8"/>
    <mergeCell ref="F8:G8"/>
    <mergeCell ref="H8:J8"/>
    <mergeCell ref="A9:B9"/>
    <mergeCell ref="A7:B7"/>
    <mergeCell ref="C7:E7"/>
    <mergeCell ref="F7:G7"/>
    <mergeCell ref="H7:J7"/>
    <mergeCell ref="C9:E9"/>
    <mergeCell ref="F9:G9"/>
    <mergeCell ref="B22:E22"/>
    <mergeCell ref="F22:G22"/>
    <mergeCell ref="B20:E20"/>
    <mergeCell ref="F18:G18"/>
    <mergeCell ref="F19:G19"/>
    <mergeCell ref="B18:E18"/>
    <mergeCell ref="B19:E19"/>
    <mergeCell ref="F20:G20"/>
    <mergeCell ref="B21:E21"/>
    <mergeCell ref="F21:G21"/>
    <mergeCell ref="A15:J15"/>
    <mergeCell ref="A16:J16"/>
    <mergeCell ref="B17:E17"/>
    <mergeCell ref="H9:J9"/>
    <mergeCell ref="F17:G17"/>
    <mergeCell ref="C10:E10"/>
    <mergeCell ref="A10:B10"/>
    <mergeCell ref="H12:H13"/>
    <mergeCell ref="A14:J14"/>
    <mergeCell ref="I10:J10"/>
    <mergeCell ref="A11:J11"/>
    <mergeCell ref="G12:G13"/>
    <mergeCell ref="I12:J13"/>
    <mergeCell ref="B32:E32"/>
    <mergeCell ref="F32:G32"/>
    <mergeCell ref="B31:E31"/>
    <mergeCell ref="F24:G24"/>
    <mergeCell ref="B25:E25"/>
    <mergeCell ref="F25:G25"/>
    <mergeCell ref="B26:E26"/>
    <mergeCell ref="B27:E27"/>
    <mergeCell ref="F27:G27"/>
    <mergeCell ref="B29:E29"/>
    <mergeCell ref="F29:G29"/>
    <mergeCell ref="B30:E30"/>
    <mergeCell ref="B24:E24"/>
    <mergeCell ref="F30:G30"/>
    <mergeCell ref="B23:E23"/>
    <mergeCell ref="F23:G23"/>
    <mergeCell ref="F26:G26"/>
    <mergeCell ref="B37:E37"/>
    <mergeCell ref="F37:G37"/>
    <mergeCell ref="B34:E34"/>
    <mergeCell ref="F34:G34"/>
    <mergeCell ref="B35:E35"/>
    <mergeCell ref="B36:E36"/>
    <mergeCell ref="F35:G35"/>
    <mergeCell ref="F36:G36"/>
    <mergeCell ref="B33:E33"/>
    <mergeCell ref="F33:G33"/>
    <mergeCell ref="B28:E28"/>
    <mergeCell ref="F28:G28"/>
    <mergeCell ref="F31:G31"/>
    <mergeCell ref="G39:J42"/>
    <mergeCell ref="A40:B40"/>
    <mergeCell ref="C40:E40"/>
    <mergeCell ref="A41:B41"/>
    <mergeCell ref="C41:E41"/>
    <mergeCell ref="A42:B42"/>
    <mergeCell ref="C42:E42"/>
    <mergeCell ref="A43:B43"/>
    <mergeCell ref="C43:E43"/>
    <mergeCell ref="A39:B39"/>
    <mergeCell ref="C39:E39"/>
    <mergeCell ref="F39:F42"/>
  </mergeCells>
  <phoneticPr fontId="4" type="noConversion"/>
  <dataValidations count="1">
    <dataValidation type="list" allowBlank="1" showInputMessage="1" showErrorMessage="1" sqref="C42:E42">
      <formula1>"확인전,확인완료,수정"</formula1>
    </dataValidation>
  </dataValidations>
  <pageMargins left="0.39370078740157483" right="0.35433070866141736" top="0.39370078740157483" bottom="0.59055118110236227" header="0" footer="0.31496062992125984"/>
  <pageSetup paperSize="9" orientation="portrait" r:id="rId1"/>
  <headerFooter alignWithMargins="0">
    <oddFooter>&amp;R&amp;"휴먼엑스포,보통"&amp;9(주)에이치시티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1"/>
  <sheetViews>
    <sheetView workbookViewId="0"/>
  </sheetViews>
  <sheetFormatPr defaultColWidth="8.88671875" defaultRowHeight="12"/>
  <cols>
    <col min="1" max="1" width="5.21875" style="93" bestFit="1" customWidth="1"/>
    <col min="2" max="2" width="6.6640625" style="93" bestFit="1" customWidth="1"/>
    <col min="3" max="3" width="8.88671875" style="93"/>
    <col min="4" max="4" width="6.6640625" style="93" bestFit="1" customWidth="1"/>
    <col min="5" max="13" width="1.77734375" style="93" customWidth="1"/>
    <col min="14" max="15" width="6" style="93" bestFit="1" customWidth="1"/>
    <col min="16" max="16" width="7.5546875" style="93" bestFit="1" customWidth="1"/>
    <col min="17" max="17" width="4" style="93" bestFit="1" customWidth="1"/>
    <col min="18" max="18" width="5.33203125" style="93" bestFit="1" customWidth="1"/>
    <col min="19" max="19" width="4" style="93" bestFit="1" customWidth="1"/>
    <col min="20" max="21" width="6.5546875" style="93" bestFit="1" customWidth="1"/>
    <col min="22" max="22" width="8.44140625" style="93" bestFit="1" customWidth="1"/>
    <col min="23" max="23" width="6.6640625" style="93" bestFit="1" customWidth="1"/>
    <col min="24" max="24" width="5.33203125" style="93" bestFit="1" customWidth="1"/>
    <col min="25" max="25" width="8.33203125" style="93" bestFit="1" customWidth="1"/>
    <col min="26" max="27" width="4" style="93" bestFit="1" customWidth="1"/>
    <col min="28" max="34" width="1.77734375" style="93" customWidth="1"/>
    <col min="35" max="35" width="7.5546875" style="93" bestFit="1" customWidth="1"/>
    <col min="36" max="16384" width="8.88671875" style="93"/>
  </cols>
  <sheetData>
    <row r="1" spans="1:36" ht="15" customHeight="1">
      <c r="A1" s="117" t="s">
        <v>107</v>
      </c>
      <c r="B1" s="117" t="s">
        <v>65</v>
      </c>
      <c r="C1" s="117" t="s">
        <v>66</v>
      </c>
      <c r="D1" s="117" t="s">
        <v>108</v>
      </c>
      <c r="E1" s="117"/>
      <c r="F1" s="117"/>
      <c r="G1" s="117"/>
      <c r="H1" s="117"/>
      <c r="I1" s="117"/>
      <c r="J1" s="117"/>
      <c r="K1" s="117"/>
      <c r="L1" s="117"/>
      <c r="M1" s="117"/>
      <c r="N1" s="117" t="s">
        <v>109</v>
      </c>
      <c r="O1" s="117" t="s">
        <v>110</v>
      </c>
      <c r="P1" s="117" t="s">
        <v>67</v>
      </c>
      <c r="Q1" s="117" t="s">
        <v>111</v>
      </c>
      <c r="R1" s="117" t="s">
        <v>69</v>
      </c>
      <c r="S1" s="117" t="s">
        <v>68</v>
      </c>
      <c r="T1" s="117" t="s">
        <v>70</v>
      </c>
      <c r="U1" s="117" t="s">
        <v>112</v>
      </c>
      <c r="V1" s="117" t="s">
        <v>71</v>
      </c>
      <c r="W1" s="117" t="s">
        <v>72</v>
      </c>
      <c r="X1" s="117" t="s">
        <v>113</v>
      </c>
      <c r="Y1" s="117" t="s">
        <v>114</v>
      </c>
      <c r="Z1" s="117" t="s">
        <v>115</v>
      </c>
      <c r="AA1" s="117" t="s">
        <v>116</v>
      </c>
      <c r="AB1" s="117"/>
      <c r="AC1" s="117"/>
      <c r="AD1" s="117"/>
      <c r="AE1" s="117"/>
      <c r="AF1" s="117"/>
      <c r="AG1" s="117"/>
      <c r="AH1" s="117"/>
      <c r="AI1" s="117" t="s">
        <v>117</v>
      </c>
      <c r="AJ1" s="367" t="s">
        <v>575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49"/>
  <sheetViews>
    <sheetView zoomScaleNormal="100" workbookViewId="0"/>
  </sheetViews>
  <sheetFormatPr defaultColWidth="9" defaultRowHeight="17.100000000000001" customHeight="1"/>
  <cols>
    <col min="1" max="36" width="10.44140625" style="33" customWidth="1"/>
    <col min="37" max="16384" width="9" style="33"/>
  </cols>
  <sheetData>
    <row r="1" spans="1:21" s="12" customFormat="1" ht="33" customHeight="1">
      <c r="A1" s="15" t="s">
        <v>101</v>
      </c>
    </row>
    <row r="2" spans="1:21" s="12" customFormat="1" ht="17.100000000000001" customHeight="1">
      <c r="A2" s="17" t="s">
        <v>43</v>
      </c>
      <c r="C2" s="94" t="s">
        <v>62</v>
      </c>
      <c r="F2" s="94" t="s">
        <v>74</v>
      </c>
      <c r="N2" s="17" t="s">
        <v>44</v>
      </c>
      <c r="Q2" s="17" t="s">
        <v>45</v>
      </c>
    </row>
    <row r="3" spans="1:21" s="12" customFormat="1" ht="27">
      <c r="A3" s="14" t="s">
        <v>102</v>
      </c>
      <c r="B3" s="14" t="s">
        <v>60</v>
      </c>
      <c r="C3" s="14" t="s">
        <v>55</v>
      </c>
      <c r="D3" s="14" t="s">
        <v>56</v>
      </c>
      <c r="E3" s="14" t="s">
        <v>51</v>
      </c>
      <c r="F3" s="13" t="s">
        <v>46</v>
      </c>
      <c r="G3" s="14" t="s">
        <v>61</v>
      </c>
      <c r="H3" s="14" t="s">
        <v>75</v>
      </c>
      <c r="I3" s="14" t="s">
        <v>47</v>
      </c>
      <c r="J3" s="14" t="s">
        <v>327</v>
      </c>
      <c r="K3" s="14" t="s">
        <v>328</v>
      </c>
      <c r="L3" s="14"/>
      <c r="M3" s="14"/>
      <c r="N3" s="14" t="s">
        <v>48</v>
      </c>
      <c r="O3" s="41" t="s">
        <v>49</v>
      </c>
      <c r="P3" s="41" t="s">
        <v>50</v>
      </c>
      <c r="Q3" s="41" t="s">
        <v>63</v>
      </c>
      <c r="R3" s="41" t="s">
        <v>64</v>
      </c>
      <c r="S3" s="112" t="s">
        <v>103</v>
      </c>
      <c r="T3" s="112" t="s">
        <v>104</v>
      </c>
      <c r="U3" s="41" t="s">
        <v>105</v>
      </c>
    </row>
    <row r="4" spans="1:21" s="12" customFormat="1" ht="17.100000000000001" customHeight="1">
      <c r="A4" s="111"/>
      <c r="B4" s="23"/>
      <c r="C4" s="23"/>
      <c r="D4" s="54"/>
      <c r="E4" s="42"/>
      <c r="F4" s="23"/>
      <c r="G4" s="23"/>
      <c r="H4" s="95"/>
      <c r="I4" s="42"/>
      <c r="J4" s="23"/>
      <c r="K4" s="194"/>
      <c r="L4" s="194"/>
      <c r="M4" s="194"/>
      <c r="N4" s="23"/>
      <c r="O4" s="23"/>
      <c r="P4" s="23"/>
      <c r="Q4" s="23"/>
      <c r="R4" s="23"/>
      <c r="S4" s="113"/>
      <c r="T4" s="113"/>
      <c r="U4" s="23"/>
    </row>
    <row r="5" spans="1:21" s="12" customFormat="1" ht="17.100000000000001" customHeight="1">
      <c r="A5" s="111"/>
      <c r="B5" s="23"/>
      <c r="C5" s="23"/>
      <c r="D5" s="54"/>
      <c r="E5" s="42"/>
      <c r="F5" s="23"/>
      <c r="G5" s="23"/>
      <c r="H5" s="95"/>
      <c r="I5" s="42"/>
      <c r="J5" s="23"/>
      <c r="K5" s="194"/>
      <c r="L5" s="194"/>
      <c r="M5" s="194"/>
      <c r="N5" s="23"/>
      <c r="O5" s="24"/>
      <c r="P5" s="24"/>
      <c r="Q5" s="24"/>
      <c r="R5" s="24"/>
      <c r="S5" s="114"/>
      <c r="T5" s="114"/>
      <c r="U5" s="24"/>
    </row>
    <row r="6" spans="1:21" s="12" customFormat="1" ht="27">
      <c r="A6" s="111"/>
      <c r="B6" s="23"/>
      <c r="C6" s="23"/>
      <c r="D6" s="54"/>
      <c r="E6" s="42"/>
      <c r="F6" s="23"/>
      <c r="G6" s="23"/>
      <c r="H6" s="95"/>
      <c r="I6" s="42"/>
      <c r="J6" s="14" t="s">
        <v>329</v>
      </c>
      <c r="K6" s="14" t="s">
        <v>330</v>
      </c>
      <c r="L6" s="14" t="s">
        <v>331</v>
      </c>
      <c r="M6" s="14" t="s">
        <v>332</v>
      </c>
      <c r="N6" s="23"/>
      <c r="O6" s="24"/>
      <c r="P6" s="24"/>
      <c r="Q6" s="24"/>
      <c r="R6" s="24"/>
      <c r="S6" s="114"/>
      <c r="T6" s="114"/>
      <c r="U6" s="24"/>
    </row>
    <row r="7" spans="1:21" s="12" customFormat="1" ht="17.100000000000001" customHeight="1">
      <c r="A7" s="111"/>
      <c r="B7" s="23"/>
      <c r="C7" s="23"/>
      <c r="D7" s="54"/>
      <c r="E7" s="42"/>
      <c r="F7" s="23"/>
      <c r="G7" s="23"/>
      <c r="H7" s="95"/>
      <c r="I7" s="42"/>
      <c r="J7" s="23"/>
      <c r="K7" s="194"/>
      <c r="L7" s="194"/>
      <c r="M7" s="194"/>
      <c r="N7" s="23"/>
      <c r="O7" s="24"/>
      <c r="P7" s="24"/>
      <c r="Q7" s="24"/>
      <c r="R7" s="24"/>
      <c r="S7" s="114"/>
      <c r="T7" s="114"/>
      <c r="U7" s="24"/>
    </row>
    <row r="8" spans="1:21" s="12" customFormat="1" ht="17.100000000000001" customHeight="1">
      <c r="A8" s="111"/>
      <c r="B8" s="23"/>
      <c r="C8" s="23"/>
      <c r="D8" s="54"/>
      <c r="E8" s="42"/>
      <c r="F8" s="23"/>
      <c r="G8" s="23"/>
      <c r="H8" s="95"/>
      <c r="I8" s="42"/>
      <c r="J8" s="23"/>
      <c r="K8" s="194"/>
      <c r="L8" s="194"/>
      <c r="M8" s="194"/>
      <c r="N8" s="23"/>
      <c r="O8" s="24"/>
      <c r="P8" s="24"/>
      <c r="Q8" s="24"/>
      <c r="R8" s="24"/>
      <c r="S8" s="114"/>
      <c r="T8" s="114"/>
      <c r="U8" s="24"/>
    </row>
    <row r="9" spans="1:21" s="12" customFormat="1" ht="17.100000000000001" customHeight="1">
      <c r="A9" s="111"/>
      <c r="B9" s="23"/>
      <c r="C9" s="23"/>
      <c r="D9" s="54"/>
      <c r="E9" s="42"/>
      <c r="F9" s="23"/>
      <c r="G9" s="23"/>
      <c r="H9" s="95"/>
      <c r="I9" s="42"/>
      <c r="J9" s="14" t="s">
        <v>513</v>
      </c>
      <c r="K9" s="14" t="s">
        <v>514</v>
      </c>
      <c r="L9" s="194"/>
      <c r="M9" s="194"/>
      <c r="N9" s="23"/>
      <c r="O9" s="24"/>
      <c r="P9" s="24"/>
      <c r="Q9" s="24"/>
      <c r="R9" s="24"/>
      <c r="S9" s="114"/>
      <c r="T9" s="114"/>
      <c r="U9" s="24"/>
    </row>
    <row r="10" spans="1:21" s="12" customFormat="1" ht="17.100000000000001" customHeight="1">
      <c r="A10" s="111"/>
      <c r="B10" s="23"/>
      <c r="C10" s="23"/>
      <c r="D10" s="54"/>
      <c r="E10" s="42"/>
      <c r="F10" s="23"/>
      <c r="G10" s="23"/>
      <c r="H10" s="95"/>
      <c r="I10" s="42"/>
      <c r="J10" s="23"/>
      <c r="K10" s="194"/>
      <c r="L10" s="194"/>
      <c r="M10" s="194"/>
      <c r="N10" s="23"/>
      <c r="O10" s="24"/>
      <c r="P10" s="24"/>
      <c r="Q10" s="24"/>
      <c r="R10" s="24"/>
      <c r="S10" s="114"/>
      <c r="T10" s="114"/>
      <c r="U10" s="24"/>
    </row>
    <row r="11" spans="1:21" s="12" customFormat="1" ht="17.100000000000001" customHeight="1">
      <c r="A11" s="111"/>
      <c r="B11" s="23"/>
      <c r="C11" s="23"/>
      <c r="D11" s="54"/>
      <c r="E11" s="42"/>
      <c r="F11" s="23"/>
      <c r="G11" s="23"/>
      <c r="H11" s="95"/>
      <c r="I11" s="42"/>
      <c r="J11" s="23"/>
      <c r="K11" s="194"/>
      <c r="L11" s="194"/>
      <c r="M11" s="194"/>
      <c r="N11" s="23"/>
      <c r="O11" s="24"/>
      <c r="P11" s="24"/>
      <c r="Q11" s="24"/>
      <c r="R11" s="24"/>
      <c r="S11" s="114"/>
      <c r="T11" s="114"/>
      <c r="U11" s="24"/>
    </row>
    <row r="12" spans="1:21" s="12" customFormat="1" ht="17.100000000000001" customHeight="1">
      <c r="A12" s="111"/>
      <c r="B12" s="23"/>
      <c r="C12" s="23"/>
      <c r="D12" s="54"/>
      <c r="E12" s="42"/>
      <c r="F12" s="23"/>
      <c r="G12" s="23"/>
      <c r="H12" s="95"/>
      <c r="I12" s="42"/>
      <c r="J12" s="23"/>
      <c r="K12" s="194"/>
      <c r="L12" s="194"/>
      <c r="M12" s="194"/>
      <c r="N12" s="23"/>
      <c r="O12" s="24"/>
      <c r="P12" s="24"/>
      <c r="Q12" s="24"/>
      <c r="R12" s="24"/>
      <c r="S12" s="114"/>
      <c r="T12" s="114"/>
      <c r="U12" s="24"/>
    </row>
    <row r="13" spans="1:21" s="12" customFormat="1" ht="17.100000000000001" customHeight="1">
      <c r="A13" s="111"/>
      <c r="B13" s="23"/>
      <c r="C13" s="23"/>
      <c r="D13" s="54"/>
      <c r="E13" s="42"/>
      <c r="F13" s="23"/>
      <c r="G13" s="23"/>
      <c r="H13" s="95"/>
      <c r="I13" s="42"/>
      <c r="J13" s="23"/>
      <c r="K13" s="194"/>
      <c r="L13" s="194"/>
      <c r="M13" s="194"/>
      <c r="N13" s="23"/>
      <c r="O13" s="24"/>
      <c r="P13" s="24"/>
      <c r="Q13" s="24"/>
      <c r="R13" s="24"/>
      <c r="S13" s="114"/>
      <c r="T13" s="114"/>
      <c r="U13" s="24"/>
    </row>
    <row r="14" spans="1:21" s="12" customFormat="1" ht="17.100000000000001" customHeight="1">
      <c r="A14" s="111"/>
      <c r="B14" s="23"/>
      <c r="C14" s="23"/>
      <c r="D14" s="54"/>
      <c r="E14" s="42"/>
      <c r="F14" s="23"/>
      <c r="G14" s="23"/>
      <c r="H14" s="95"/>
      <c r="I14" s="42"/>
      <c r="J14" s="23"/>
      <c r="K14" s="194"/>
      <c r="L14" s="194"/>
      <c r="M14" s="194"/>
      <c r="N14" s="23"/>
      <c r="O14" s="24"/>
      <c r="P14" s="24"/>
      <c r="Q14" s="24"/>
      <c r="R14" s="24"/>
      <c r="S14" s="114"/>
      <c r="T14" s="114"/>
      <c r="U14" s="24"/>
    </row>
    <row r="15" spans="1:21" s="12" customFormat="1" ht="17.100000000000001" customHeight="1">
      <c r="A15" s="111"/>
      <c r="B15" s="23"/>
      <c r="C15" s="23"/>
      <c r="D15" s="54"/>
      <c r="E15" s="42"/>
      <c r="F15" s="23"/>
      <c r="G15" s="23"/>
      <c r="H15" s="95"/>
      <c r="I15" s="42"/>
      <c r="J15" s="23"/>
      <c r="K15" s="194"/>
      <c r="L15" s="194"/>
      <c r="M15" s="194"/>
      <c r="N15" s="24"/>
      <c r="O15" s="24"/>
      <c r="P15" s="24"/>
      <c r="Q15" s="24"/>
      <c r="R15" s="24"/>
      <c r="S15" s="114"/>
      <c r="T15" s="114"/>
      <c r="U15" s="24"/>
    </row>
    <row r="16" spans="1:21" s="12" customFormat="1" ht="17.100000000000001" customHeight="1">
      <c r="A16" s="111"/>
      <c r="B16" s="23"/>
      <c r="C16" s="23"/>
      <c r="D16" s="54"/>
      <c r="E16" s="42"/>
      <c r="F16" s="23"/>
      <c r="G16" s="23"/>
      <c r="H16" s="95"/>
      <c r="I16" s="42"/>
      <c r="J16" s="23"/>
      <c r="K16" s="194"/>
      <c r="L16" s="194"/>
      <c r="M16" s="194"/>
      <c r="N16" s="24"/>
      <c r="O16" s="24"/>
      <c r="P16" s="24"/>
      <c r="Q16" s="24"/>
      <c r="R16" s="24"/>
      <c r="S16" s="114"/>
      <c r="T16" s="114"/>
      <c r="U16" s="24"/>
    </row>
    <row r="17" spans="1:32" s="12" customFormat="1" ht="17.100000000000001" customHeight="1">
      <c r="A17" s="111"/>
      <c r="B17" s="23"/>
      <c r="C17" s="23"/>
      <c r="D17" s="54"/>
      <c r="E17" s="42"/>
      <c r="F17" s="23"/>
      <c r="G17" s="23"/>
      <c r="H17" s="95"/>
      <c r="I17" s="42"/>
      <c r="J17" s="23"/>
      <c r="K17" s="194"/>
      <c r="L17" s="194"/>
      <c r="M17" s="194"/>
      <c r="N17" s="24"/>
      <c r="O17" s="24"/>
      <c r="P17" s="24"/>
      <c r="Q17" s="24"/>
      <c r="R17" s="24"/>
      <c r="S17" s="114"/>
      <c r="T17" s="114"/>
      <c r="U17" s="24"/>
    </row>
    <row r="18" spans="1:32" s="12" customFormat="1" ht="17.100000000000001" customHeight="1">
      <c r="A18" s="111"/>
      <c r="B18" s="23"/>
      <c r="C18" s="23"/>
      <c r="D18" s="54"/>
      <c r="E18" s="42"/>
      <c r="F18" s="23"/>
      <c r="G18" s="23"/>
      <c r="H18" s="95"/>
      <c r="I18" s="42"/>
      <c r="J18" s="23"/>
      <c r="K18" s="194"/>
      <c r="L18" s="194"/>
      <c r="M18" s="194"/>
      <c r="N18" s="24"/>
      <c r="O18" s="24"/>
      <c r="P18" s="24"/>
      <c r="Q18" s="24"/>
      <c r="R18" s="24"/>
      <c r="S18" s="114"/>
      <c r="T18" s="114"/>
      <c r="U18" s="24"/>
    </row>
    <row r="19" spans="1:32" s="12" customFormat="1" ht="17.100000000000001" customHeight="1">
      <c r="A19" s="111"/>
      <c r="B19" s="113"/>
      <c r="C19" s="113"/>
      <c r="D19" s="113"/>
      <c r="E19" s="113"/>
      <c r="F19" s="113"/>
      <c r="G19" s="113"/>
      <c r="H19" s="113"/>
      <c r="I19" s="113"/>
      <c r="J19" s="113"/>
      <c r="K19" s="194"/>
      <c r="L19" s="194"/>
      <c r="M19" s="194"/>
      <c r="N19" s="114"/>
      <c r="O19" s="114"/>
      <c r="P19" s="114"/>
      <c r="Q19" s="114"/>
      <c r="R19" s="114"/>
      <c r="S19" s="114"/>
      <c r="T19" s="114"/>
      <c r="U19" s="114"/>
    </row>
    <row r="20" spans="1:32" s="12" customFormat="1" ht="17.100000000000001" customHeight="1">
      <c r="A20" s="111"/>
      <c r="B20" s="113"/>
      <c r="C20" s="113"/>
      <c r="D20" s="113"/>
      <c r="E20" s="113"/>
      <c r="F20" s="113"/>
      <c r="G20" s="113"/>
      <c r="H20" s="113"/>
      <c r="I20" s="113"/>
      <c r="J20" s="113"/>
      <c r="K20" s="194"/>
      <c r="L20" s="194"/>
      <c r="M20" s="194"/>
      <c r="N20" s="114"/>
      <c r="O20" s="114"/>
      <c r="P20" s="114"/>
      <c r="Q20" s="114"/>
      <c r="R20" s="114"/>
      <c r="S20" s="114"/>
      <c r="T20" s="114"/>
      <c r="U20" s="114"/>
    </row>
    <row r="21" spans="1:32" s="12" customFormat="1" ht="17.100000000000001" customHeight="1">
      <c r="A21" s="111"/>
      <c r="B21" s="113"/>
      <c r="C21" s="113"/>
      <c r="D21" s="113"/>
      <c r="E21" s="113"/>
      <c r="F21" s="113"/>
      <c r="G21" s="113"/>
      <c r="H21" s="113"/>
      <c r="I21" s="113"/>
      <c r="J21" s="113"/>
      <c r="K21" s="194"/>
      <c r="L21" s="194"/>
      <c r="M21" s="194"/>
      <c r="N21" s="114"/>
      <c r="O21" s="114"/>
      <c r="P21" s="114"/>
      <c r="Q21" s="114"/>
      <c r="R21" s="114"/>
      <c r="S21" s="114"/>
      <c r="T21" s="114"/>
      <c r="U21" s="114"/>
    </row>
    <row r="22" spans="1:32" s="12" customFormat="1" ht="17.100000000000001" customHeight="1">
      <c r="A22" s="111"/>
      <c r="B22" s="113"/>
      <c r="C22" s="113"/>
      <c r="D22" s="113"/>
      <c r="E22" s="113"/>
      <c r="F22" s="113"/>
      <c r="G22" s="113"/>
      <c r="H22" s="113"/>
      <c r="I22" s="113"/>
      <c r="J22" s="113"/>
      <c r="K22" s="194"/>
      <c r="L22" s="194"/>
      <c r="M22" s="194"/>
      <c r="N22" s="114"/>
      <c r="O22" s="114"/>
      <c r="P22" s="114"/>
      <c r="Q22" s="114"/>
      <c r="R22" s="114"/>
      <c r="S22" s="114"/>
      <c r="T22" s="114"/>
      <c r="U22" s="114"/>
    </row>
    <row r="23" spans="1:32" s="12" customFormat="1" ht="17.100000000000001" customHeight="1">
      <c r="A23" s="111"/>
      <c r="B23" s="113"/>
      <c r="C23" s="113"/>
      <c r="D23" s="113"/>
      <c r="E23" s="113"/>
      <c r="F23" s="113"/>
      <c r="G23" s="113"/>
      <c r="H23" s="113"/>
      <c r="I23" s="113"/>
      <c r="J23" s="113"/>
      <c r="K23" s="194"/>
      <c r="L23" s="194"/>
      <c r="M23" s="194"/>
      <c r="N23" s="114"/>
      <c r="O23" s="114"/>
      <c r="P23" s="114"/>
      <c r="Q23" s="114"/>
      <c r="R23" s="114"/>
      <c r="S23" s="114"/>
      <c r="T23" s="114"/>
      <c r="U23" s="114"/>
    </row>
    <row r="24" spans="1:32" s="12" customFormat="1" ht="17.100000000000001" customHeight="1">
      <c r="A24" s="111"/>
      <c r="B24" s="23"/>
      <c r="C24" s="23"/>
      <c r="D24" s="54"/>
      <c r="E24" s="42"/>
      <c r="F24" s="23"/>
      <c r="G24" s="23"/>
      <c r="H24" s="95"/>
      <c r="I24" s="42"/>
      <c r="J24" s="23"/>
      <c r="K24" s="194"/>
      <c r="L24" s="194"/>
      <c r="M24" s="194"/>
      <c r="N24" s="24"/>
      <c r="O24" s="24"/>
      <c r="P24" s="24"/>
      <c r="Q24" s="24"/>
      <c r="R24" s="24"/>
      <c r="S24" s="114"/>
      <c r="T24" s="114"/>
      <c r="U24" s="24"/>
    </row>
    <row r="25" spans="1:32" s="12" customFormat="1" ht="17.100000000000001" customHeight="1"/>
    <row r="26" spans="1:32" s="12" customFormat="1" ht="17.100000000000001" customHeight="1">
      <c r="A26" s="17" t="s">
        <v>106</v>
      </c>
    </row>
    <row r="27" spans="1:32" s="19" customFormat="1" ht="18" customHeight="1">
      <c r="A27" s="115" t="s">
        <v>311</v>
      </c>
      <c r="B27" s="115" t="s">
        <v>312</v>
      </c>
      <c r="C27" s="115" t="s">
        <v>313</v>
      </c>
      <c r="D27" s="115" t="s">
        <v>314</v>
      </c>
      <c r="E27" s="115" t="s">
        <v>315</v>
      </c>
      <c r="F27" s="115" t="s">
        <v>316</v>
      </c>
      <c r="G27" s="115" t="s">
        <v>317</v>
      </c>
      <c r="H27" s="115" t="s">
        <v>318</v>
      </c>
      <c r="I27" s="115" t="s">
        <v>319</v>
      </c>
      <c r="J27" s="115" t="s">
        <v>320</v>
      </c>
      <c r="K27" s="115" t="s">
        <v>321</v>
      </c>
      <c r="L27" s="115" t="s">
        <v>322</v>
      </c>
      <c r="M27" s="115" t="s">
        <v>323</v>
      </c>
      <c r="N27" s="115" t="s">
        <v>324</v>
      </c>
      <c r="O27" s="115" t="s">
        <v>325</v>
      </c>
      <c r="P27" s="115" t="s">
        <v>334</v>
      </c>
      <c r="Q27" s="115" t="s">
        <v>335</v>
      </c>
      <c r="R27" s="115" t="s">
        <v>336</v>
      </c>
      <c r="S27" s="115" t="s">
        <v>337</v>
      </c>
      <c r="T27" s="115" t="s">
        <v>338</v>
      </c>
      <c r="U27" s="115" t="s">
        <v>339</v>
      </c>
      <c r="V27" s="115" t="s">
        <v>340</v>
      </c>
      <c r="W27" s="115" t="s">
        <v>341</v>
      </c>
      <c r="X27" s="115" t="s">
        <v>342</v>
      </c>
      <c r="Y27" s="115" t="s">
        <v>343</v>
      </c>
      <c r="Z27" s="115" t="s">
        <v>326</v>
      </c>
      <c r="AA27" s="115" t="s">
        <v>122</v>
      </c>
      <c r="AB27" s="12"/>
      <c r="AC27" s="12"/>
      <c r="AD27" s="12"/>
      <c r="AE27" s="12"/>
      <c r="AF27" s="12"/>
    </row>
    <row r="28" spans="1:32" ht="17.100000000000001" customHeigh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2"/>
      <c r="AC28" s="12"/>
      <c r="AD28" s="12"/>
      <c r="AE28" s="12"/>
      <c r="AF28" s="12"/>
    </row>
    <row r="29" spans="1:32" ht="17.100000000000001" customHeight="1">
      <c r="A29" s="116"/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2"/>
      <c r="AC29" s="12"/>
      <c r="AD29" s="12"/>
      <c r="AE29" s="12"/>
      <c r="AF29" s="12"/>
    </row>
    <row r="30" spans="1:32" ht="17.100000000000001" customHeight="1">
      <c r="A30" s="116"/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2"/>
      <c r="AC30" s="12"/>
      <c r="AD30" s="12"/>
      <c r="AE30" s="12"/>
      <c r="AF30" s="12"/>
    </row>
    <row r="31" spans="1:32" ht="17.100000000000001" customHeight="1">
      <c r="A31" s="116"/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2"/>
      <c r="AC31" s="12"/>
      <c r="AD31" s="12"/>
      <c r="AE31" s="12"/>
      <c r="AF31" s="12"/>
    </row>
    <row r="32" spans="1:32" ht="17.100000000000001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2"/>
      <c r="AC32" s="12"/>
      <c r="AD32" s="12"/>
      <c r="AE32" s="12"/>
      <c r="AF32" s="12"/>
    </row>
    <row r="33" spans="1:32" ht="17.100000000000001" customHeight="1">
      <c r="A33" s="116"/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2"/>
      <c r="AC33" s="12"/>
      <c r="AD33" s="12"/>
      <c r="AE33" s="12"/>
      <c r="AF33" s="12"/>
    </row>
    <row r="34" spans="1:32" ht="17.100000000000001" customHeight="1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2"/>
      <c r="AC34" s="12"/>
      <c r="AD34" s="12"/>
      <c r="AE34" s="12"/>
      <c r="AF34" s="12"/>
    </row>
    <row r="35" spans="1:32" ht="17.100000000000001" customHeight="1">
      <c r="A35" s="116"/>
      <c r="B35" s="116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2"/>
      <c r="AC35" s="12"/>
      <c r="AD35" s="12"/>
      <c r="AE35" s="12"/>
      <c r="AF35" s="12"/>
    </row>
    <row r="36" spans="1:32" ht="17.100000000000001" customHeigh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2"/>
      <c r="AC36" s="12"/>
      <c r="AD36" s="12"/>
      <c r="AE36" s="12"/>
      <c r="AF36" s="12"/>
    </row>
    <row r="37" spans="1:32" ht="17.100000000000001" customHeight="1">
      <c r="A37" s="116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2"/>
      <c r="AC37" s="12"/>
      <c r="AD37" s="12"/>
      <c r="AE37" s="12"/>
      <c r="AF37" s="12"/>
    </row>
    <row r="38" spans="1:32" ht="17.100000000000001" customHeight="1">
      <c r="A38" s="116"/>
      <c r="B38" s="116"/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2"/>
      <c r="AC38" s="12"/>
      <c r="AD38" s="12"/>
      <c r="AE38" s="12"/>
      <c r="AF38" s="12"/>
    </row>
    <row r="39" spans="1:32" ht="17.100000000000001" customHeight="1">
      <c r="A39" s="116"/>
      <c r="B39" s="116"/>
      <c r="C39" s="116"/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2"/>
      <c r="AC39" s="12"/>
      <c r="AD39" s="12"/>
      <c r="AE39" s="12"/>
      <c r="AF39" s="12"/>
    </row>
    <row r="40" spans="1:32" ht="17.100000000000001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2"/>
      <c r="AC40" s="12"/>
      <c r="AD40" s="12"/>
      <c r="AE40" s="12"/>
      <c r="AF40" s="12"/>
    </row>
    <row r="41" spans="1:32" ht="17.100000000000001" customHeight="1">
      <c r="A41" s="116"/>
      <c r="B41" s="116"/>
      <c r="C41" s="116"/>
      <c r="D41" s="116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2"/>
      <c r="AC41" s="12"/>
      <c r="AD41" s="12"/>
      <c r="AE41" s="12"/>
      <c r="AF41" s="12"/>
    </row>
    <row r="42" spans="1:32" ht="17.100000000000001" customHeight="1">
      <c r="A42" s="116"/>
      <c r="B42" s="116"/>
      <c r="C42" s="116"/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2"/>
      <c r="AC42" s="12"/>
      <c r="AD42" s="12"/>
      <c r="AE42" s="12"/>
      <c r="AF42" s="12"/>
    </row>
    <row r="43" spans="1:32" ht="17.100000000000001" customHeight="1">
      <c r="A43" s="116"/>
      <c r="B43" s="116"/>
      <c r="C43" s="116"/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2"/>
      <c r="AC43" s="12"/>
      <c r="AD43" s="12"/>
      <c r="AE43" s="12"/>
      <c r="AF43" s="12"/>
    </row>
    <row r="44" spans="1:32" ht="17.100000000000001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2"/>
      <c r="AC44" s="12"/>
      <c r="AD44" s="12"/>
      <c r="AE44" s="12"/>
      <c r="AF44" s="12"/>
    </row>
    <row r="45" spans="1:32" ht="17.100000000000001" customHeight="1">
      <c r="A45" s="116"/>
      <c r="B45" s="116"/>
      <c r="C45" s="116"/>
      <c r="D45" s="116"/>
      <c r="E45" s="116"/>
      <c r="F45" s="116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2"/>
      <c r="AC45" s="12"/>
      <c r="AD45" s="12"/>
      <c r="AE45" s="12"/>
      <c r="AF45" s="12"/>
    </row>
    <row r="46" spans="1:32" ht="17.100000000000001" customHeight="1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2"/>
      <c r="AC46" s="12"/>
      <c r="AD46" s="12"/>
      <c r="AE46" s="12"/>
      <c r="AF46" s="12"/>
    </row>
    <row r="47" spans="1:32" ht="17.100000000000001" customHeight="1">
      <c r="A47" s="116"/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  <c r="AA47" s="116"/>
      <c r="AB47" s="12"/>
      <c r="AC47" s="12"/>
      <c r="AD47" s="12"/>
      <c r="AE47" s="12"/>
      <c r="AF47" s="12"/>
    </row>
    <row r="48" spans="1:32" ht="17.100000000000001" customHeight="1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2"/>
      <c r="AC48" s="12"/>
      <c r="AD48" s="12"/>
      <c r="AE48" s="12"/>
      <c r="AF48" s="12"/>
    </row>
    <row r="49" spans="31:36" ht="17.100000000000001" customHeight="1">
      <c r="AE49" s="12"/>
      <c r="AF49" s="12"/>
      <c r="AG49" s="12"/>
      <c r="AH49" s="12"/>
      <c r="AI49" s="12"/>
      <c r="AJ49" s="12"/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8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2" width="3.77734375" style="37" customWidth="1"/>
    <col min="3" max="3" width="3.77734375" style="340" customWidth="1"/>
    <col min="4" max="5" width="3.77734375" style="37" customWidth="1"/>
    <col min="6" max="6" width="18.77734375" style="37" customWidth="1"/>
    <col min="7" max="7" width="18.77734375" style="340" customWidth="1"/>
    <col min="8" max="12" width="3.77734375" style="37" customWidth="1"/>
    <col min="13" max="16384" width="10.77734375" style="37"/>
  </cols>
  <sheetData>
    <row r="1" spans="1:12" s="46" customFormat="1" ht="33" customHeight="1">
      <c r="A1" s="480" t="s">
        <v>34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</row>
    <row r="2" spans="1:12" s="46" customFormat="1" ht="33" customHeight="1">
      <c r="A2" s="480"/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</row>
    <row r="3" spans="1:12" s="46" customFormat="1" ht="12.75" customHeight="1">
      <c r="A3" s="47" t="s">
        <v>97</v>
      </c>
      <c r="B3" s="47"/>
      <c r="C3" s="47"/>
      <c r="D3" s="47"/>
      <c r="E3" s="22"/>
      <c r="F3" s="22"/>
      <c r="G3" s="22"/>
      <c r="H3" s="22"/>
      <c r="I3" s="22"/>
      <c r="J3" s="22"/>
      <c r="K3" s="22"/>
      <c r="L3" s="22"/>
    </row>
    <row r="4" spans="1:12" s="48" customFormat="1" ht="13.5" customHeight="1">
      <c r="A4" s="88" t="str">
        <f>" 교   정   번   호(Calibration No) : "&amp;기본정보!H3</f>
        <v xml:space="preserve"> 교   정   번   호(Calibration No) : </v>
      </c>
      <c r="B4" s="88"/>
      <c r="C4" s="88"/>
      <c r="D4" s="88"/>
      <c r="E4" s="89"/>
      <c r="F4" s="89"/>
      <c r="G4" s="89"/>
      <c r="H4" s="97"/>
      <c r="I4" s="89"/>
      <c r="J4" s="98"/>
      <c r="K4" s="90"/>
      <c r="L4" s="97"/>
    </row>
    <row r="5" spans="1:12" s="36" customFormat="1" ht="15" customHeight="1"/>
    <row r="6" spans="1:12" ht="15" customHeight="1">
      <c r="F6" s="53" t="str">
        <f>"○ 품명 : "&amp;기본정보!C$5</f>
        <v xml:space="preserve">○ 품명 : </v>
      </c>
      <c r="G6" s="53"/>
    </row>
    <row r="7" spans="1:12" ht="15" customHeight="1">
      <c r="F7" s="53" t="str">
        <f>"○ 제작회사 : "&amp;기본정보!C$6</f>
        <v xml:space="preserve">○ 제작회사 : </v>
      </c>
      <c r="G7" s="53"/>
    </row>
    <row r="8" spans="1:12" ht="15" customHeight="1">
      <c r="F8" s="53" t="str">
        <f>"○ 형식 : "&amp;기본정보!C$7</f>
        <v xml:space="preserve">○ 형식 : </v>
      </c>
      <c r="G8" s="53"/>
    </row>
    <row r="9" spans="1:12" ht="15" customHeight="1">
      <c r="F9" s="53" t="str">
        <f>"○ 기기번호 : "&amp;기본정보!C$8</f>
        <v xml:space="preserve">○ 기기번호 : </v>
      </c>
      <c r="G9" s="53"/>
    </row>
    <row r="11" spans="1:12" ht="15" customHeight="1">
      <c r="A11" s="44" t="str">
        <f>IF(Length_2!J10=TRUE,"","삭제")</f>
        <v>삭제</v>
      </c>
      <c r="F11" s="38" t="s">
        <v>515</v>
      </c>
      <c r="G11" s="341"/>
    </row>
    <row r="12" spans="1:12" ht="15" customHeight="1">
      <c r="A12" s="44" t="str">
        <f>A11</f>
        <v>삭제</v>
      </c>
      <c r="F12" s="339" t="s">
        <v>373</v>
      </c>
      <c r="G12" s="348">
        <f>Calcu!E7</f>
        <v>0</v>
      </c>
      <c r="H12" s="340"/>
    </row>
    <row r="13" spans="1:12" ht="15" customHeight="1">
      <c r="A13" s="44" t="str">
        <f>A12</f>
        <v>삭제</v>
      </c>
      <c r="F13" s="339" t="s">
        <v>374</v>
      </c>
      <c r="G13" s="348">
        <f>Calcu!E8</f>
        <v>0</v>
      </c>
      <c r="H13" s="340"/>
    </row>
    <row r="14" spans="1:12" ht="15" customHeight="1">
      <c r="A14" s="44" t="str">
        <f>A13</f>
        <v>삭제</v>
      </c>
    </row>
    <row r="15" spans="1:12" ht="15" customHeight="1">
      <c r="A15" s="44" t="str">
        <f>IF(Length_2!K10=TRUE,"","삭제")</f>
        <v>삭제</v>
      </c>
      <c r="F15" s="38" t="s">
        <v>516</v>
      </c>
      <c r="G15" s="341"/>
    </row>
    <row r="16" spans="1:12" ht="15" customHeight="1">
      <c r="A16" s="44" t="str">
        <f t="shared" ref="A16:A17" si="0">A15</f>
        <v>삭제</v>
      </c>
      <c r="F16" s="339" t="s">
        <v>517</v>
      </c>
      <c r="G16" s="348">
        <f>Calcu!G12</f>
        <v>0</v>
      </c>
    </row>
    <row r="17" spans="1:7" ht="15" customHeight="1">
      <c r="A17" s="44" t="str">
        <f t="shared" si="0"/>
        <v>삭제</v>
      </c>
    </row>
    <row r="18" spans="1:7" ht="15" customHeight="1">
      <c r="F18" s="38" t="s">
        <v>519</v>
      </c>
      <c r="G18" s="341"/>
    </row>
    <row r="19" spans="1:7" ht="15" customHeight="1">
      <c r="F19" s="53" t="str">
        <f>"○ 교정범위 : ("&amp;Calcu!J3&amp;" ~ "&amp;Calcu!L3&amp;") mm"</f>
        <v>○ 교정범위 : (0 ~ 0) mm</v>
      </c>
      <c r="G19" s="53"/>
    </row>
    <row r="20" spans="1:7" ht="15" customHeight="1">
      <c r="A20" s="44"/>
      <c r="B20" s="44"/>
      <c r="C20" s="44"/>
      <c r="D20" s="44"/>
      <c r="F20" s="53" t="str">
        <f ca="1">"○ 최소눈금 : "&amp;TEXT(Calcu!M3,Calcu!N3)&amp;" mm"</f>
        <v>○ 최소눈금 : 0 mm</v>
      </c>
      <c r="G20" s="53"/>
    </row>
    <row r="21" spans="1:7" ht="15" customHeight="1">
      <c r="A21" s="44"/>
      <c r="B21" s="44"/>
      <c r="C21" s="44"/>
      <c r="D21" s="44"/>
    </row>
    <row r="22" spans="1:7" ht="15" customHeight="1">
      <c r="A22" s="44"/>
      <c r="B22" s="43"/>
      <c r="C22" s="43"/>
      <c r="D22" s="43"/>
      <c r="F22" s="156" t="s">
        <v>201</v>
      </c>
      <c r="G22" s="375" t="s">
        <v>202</v>
      </c>
    </row>
    <row r="23" spans="1:7" ht="15" customHeight="1">
      <c r="A23" s="44"/>
      <c r="B23" s="43"/>
      <c r="C23" s="43"/>
      <c r="D23" s="43"/>
      <c r="F23" s="157" t="s">
        <v>203</v>
      </c>
      <c r="G23" s="374" t="s">
        <v>203</v>
      </c>
    </row>
    <row r="24" spans="1:7" ht="15" customHeight="1">
      <c r="A24" s="44" t="str">
        <f>IF(Calcu!B21=TRUE,"","삭제")</f>
        <v>삭제</v>
      </c>
      <c r="B24" s="43"/>
      <c r="C24" s="43"/>
      <c r="D24" s="43"/>
      <c r="F24" s="160" t="e">
        <f ca="1">Calcu!AB21</f>
        <v>#N/A</v>
      </c>
      <c r="G24" s="339" t="e">
        <f ca="1">Calcu!AD21</f>
        <v>#N/A</v>
      </c>
    </row>
    <row r="25" spans="1:7" ht="15" customHeight="1">
      <c r="A25" s="44" t="str">
        <f>IF(Calcu!B22=TRUE,"","삭제")</f>
        <v>삭제</v>
      </c>
      <c r="B25" s="43"/>
      <c r="C25" s="43"/>
      <c r="D25" s="43"/>
      <c r="F25" s="160" t="e">
        <f ca="1">Calcu!AB22</f>
        <v>#N/A</v>
      </c>
      <c r="G25" s="339" t="e">
        <f ca="1">Calcu!AD22</f>
        <v>#N/A</v>
      </c>
    </row>
    <row r="26" spans="1:7" ht="15" customHeight="1">
      <c r="A26" s="44" t="str">
        <f>IF(Calcu!B23=TRUE,"","삭제")</f>
        <v>삭제</v>
      </c>
      <c r="B26" s="43"/>
      <c r="C26" s="43"/>
      <c r="D26" s="43"/>
      <c r="F26" s="160" t="e">
        <f ca="1">Calcu!AB23</f>
        <v>#N/A</v>
      </c>
      <c r="G26" s="339" t="e">
        <f ca="1">Calcu!AD23</f>
        <v>#N/A</v>
      </c>
    </row>
    <row r="27" spans="1:7" ht="15" customHeight="1">
      <c r="A27" s="44" t="str">
        <f>IF(Calcu!B24=TRUE,"","삭제")</f>
        <v>삭제</v>
      </c>
      <c r="B27" s="43"/>
      <c r="C27" s="43"/>
      <c r="D27" s="43"/>
      <c r="F27" s="160" t="e">
        <f ca="1">Calcu!AB24</f>
        <v>#N/A</v>
      </c>
      <c r="G27" s="339" t="e">
        <f ca="1">Calcu!AD24</f>
        <v>#N/A</v>
      </c>
    </row>
    <row r="28" spans="1:7" ht="15" customHeight="1">
      <c r="A28" s="44" t="str">
        <f>IF(Calcu!B25=TRUE,"","삭제")</f>
        <v>삭제</v>
      </c>
      <c r="B28" s="43"/>
      <c r="C28" s="43"/>
      <c r="D28" s="43"/>
      <c r="F28" s="160" t="e">
        <f ca="1">Calcu!AB25</f>
        <v>#N/A</v>
      </c>
      <c r="G28" s="339" t="e">
        <f ca="1">Calcu!AD25</f>
        <v>#N/A</v>
      </c>
    </row>
    <row r="29" spans="1:7" ht="15" customHeight="1">
      <c r="A29" s="44" t="str">
        <f>IF(Calcu!B26=TRUE,"","삭제")</f>
        <v>삭제</v>
      </c>
      <c r="B29" s="43"/>
      <c r="C29" s="43"/>
      <c r="D29" s="43"/>
      <c r="F29" s="160" t="e">
        <f ca="1">Calcu!AB26</f>
        <v>#N/A</v>
      </c>
      <c r="G29" s="339" t="e">
        <f ca="1">Calcu!AD26</f>
        <v>#N/A</v>
      </c>
    </row>
    <row r="30" spans="1:7" ht="15" customHeight="1">
      <c r="A30" s="44" t="str">
        <f>IF(Calcu!B27=TRUE,"","삭제")</f>
        <v>삭제</v>
      </c>
      <c r="B30" s="43"/>
      <c r="C30" s="43"/>
      <c r="D30" s="43"/>
      <c r="F30" s="160" t="e">
        <f ca="1">Calcu!AB27</f>
        <v>#N/A</v>
      </c>
      <c r="G30" s="339" t="e">
        <f ca="1">Calcu!AD27</f>
        <v>#N/A</v>
      </c>
    </row>
    <row r="31" spans="1:7" ht="15" customHeight="1">
      <c r="A31" s="44" t="str">
        <f>IF(Calcu!B28=TRUE,"","삭제")</f>
        <v>삭제</v>
      </c>
      <c r="B31" s="43"/>
      <c r="C31" s="43"/>
      <c r="D31" s="43"/>
      <c r="F31" s="160" t="e">
        <f ca="1">Calcu!AB28</f>
        <v>#N/A</v>
      </c>
      <c r="G31" s="339" t="e">
        <f ca="1">Calcu!AD28</f>
        <v>#N/A</v>
      </c>
    </row>
    <row r="32" spans="1:7" ht="15" customHeight="1">
      <c r="A32" s="44" t="str">
        <f>IF(Calcu!B29=TRUE,"","삭제")</f>
        <v>삭제</v>
      </c>
      <c r="B32" s="43"/>
      <c r="C32" s="43"/>
      <c r="D32" s="43"/>
      <c r="F32" s="160" t="e">
        <f ca="1">Calcu!AB29</f>
        <v>#N/A</v>
      </c>
      <c r="G32" s="339" t="e">
        <f ca="1">Calcu!AD29</f>
        <v>#N/A</v>
      </c>
    </row>
    <row r="33" spans="1:10" ht="15" customHeight="1">
      <c r="A33" s="44" t="str">
        <f>IF(Calcu!B30=TRUE,"","삭제")</f>
        <v>삭제</v>
      </c>
      <c r="B33" s="43"/>
      <c r="C33" s="43"/>
      <c r="D33" s="43"/>
      <c r="F33" s="160" t="e">
        <f ca="1">Calcu!AB30</f>
        <v>#N/A</v>
      </c>
      <c r="G33" s="339" t="e">
        <f ca="1">Calcu!AD30</f>
        <v>#N/A</v>
      </c>
    </row>
    <row r="34" spans="1:10" ht="15" customHeight="1">
      <c r="A34" s="44" t="str">
        <f>IF(Calcu!B31=TRUE,"","삭제")</f>
        <v>삭제</v>
      </c>
      <c r="B34" s="43"/>
      <c r="C34" s="43"/>
      <c r="D34" s="43"/>
      <c r="F34" s="160" t="e">
        <f ca="1">Calcu!AB31</f>
        <v>#N/A</v>
      </c>
      <c r="G34" s="339" t="e">
        <f ca="1">Calcu!AD31</f>
        <v>#N/A</v>
      </c>
    </row>
    <row r="35" spans="1:10" ht="15" customHeight="1">
      <c r="A35" s="44" t="str">
        <f>IF(Calcu!B32=TRUE,"","삭제")</f>
        <v>삭제</v>
      </c>
      <c r="B35" s="43"/>
      <c r="C35" s="43"/>
      <c r="D35" s="43"/>
      <c r="F35" s="160" t="e">
        <f ca="1">Calcu!AB32</f>
        <v>#N/A</v>
      </c>
      <c r="G35" s="339" t="e">
        <f ca="1">Calcu!AD32</f>
        <v>#N/A</v>
      </c>
    </row>
    <row r="36" spans="1:10" ht="15" customHeight="1">
      <c r="A36" s="44" t="str">
        <f>IF(Calcu!B33=TRUE,"","삭제")</f>
        <v>삭제</v>
      </c>
      <c r="B36" s="43"/>
      <c r="C36" s="43"/>
      <c r="D36" s="43"/>
      <c r="F36" s="160" t="e">
        <f ca="1">Calcu!AB33</f>
        <v>#N/A</v>
      </c>
      <c r="G36" s="339" t="e">
        <f ca="1">Calcu!AD33</f>
        <v>#N/A</v>
      </c>
    </row>
    <row r="37" spans="1:10" ht="15" customHeight="1">
      <c r="A37" s="44" t="str">
        <f>IF(Calcu!B34=TRUE,"","삭제")</f>
        <v>삭제</v>
      </c>
      <c r="B37" s="43"/>
      <c r="C37" s="43"/>
      <c r="D37" s="43"/>
      <c r="F37" s="160" t="e">
        <f ca="1">Calcu!AB34</f>
        <v>#N/A</v>
      </c>
      <c r="G37" s="339" t="e">
        <f ca="1">Calcu!AD34</f>
        <v>#N/A</v>
      </c>
    </row>
    <row r="38" spans="1:10" ht="15" customHeight="1">
      <c r="A38" s="44" t="str">
        <f>IF(Calcu!B35=TRUE,"","삭제")</f>
        <v>삭제</v>
      </c>
      <c r="B38" s="43"/>
      <c r="C38" s="43"/>
      <c r="D38" s="43"/>
      <c r="F38" s="160" t="e">
        <f ca="1">Calcu!AB35</f>
        <v>#N/A</v>
      </c>
      <c r="G38" s="339" t="e">
        <f ca="1">Calcu!AD35</f>
        <v>#N/A</v>
      </c>
    </row>
    <row r="39" spans="1:10" ht="15" customHeight="1">
      <c r="A39" s="44" t="str">
        <f>IF(Calcu!B36=TRUE,"","삭제")</f>
        <v>삭제</v>
      </c>
      <c r="B39" s="43"/>
      <c r="C39" s="43"/>
      <c r="D39" s="43"/>
      <c r="F39" s="160" t="e">
        <f ca="1">Calcu!AB36</f>
        <v>#N/A</v>
      </c>
      <c r="G39" s="339" t="e">
        <f ca="1">Calcu!AD36</f>
        <v>#N/A</v>
      </c>
    </row>
    <row r="40" spans="1:10" s="340" customFormat="1" ht="15" customHeight="1">
      <c r="A40" s="44" t="str">
        <f>IF(Calcu!B37=TRUE,"","삭제")</f>
        <v>삭제</v>
      </c>
      <c r="B40" s="43"/>
      <c r="C40" s="43"/>
      <c r="D40" s="43"/>
      <c r="F40" s="160" t="e">
        <f ca="1">Calcu!AB37</f>
        <v>#N/A</v>
      </c>
      <c r="G40" s="339" t="e">
        <f ca="1">Calcu!AD37</f>
        <v>#N/A</v>
      </c>
    </row>
    <row r="41" spans="1:10" s="340" customFormat="1" ht="15" customHeight="1">
      <c r="A41" s="44" t="str">
        <f>IF(Calcu!B38=TRUE,"","삭제")</f>
        <v>삭제</v>
      </c>
      <c r="B41" s="43"/>
      <c r="C41" s="43"/>
      <c r="D41" s="43"/>
      <c r="F41" s="160" t="e">
        <f ca="1">Calcu!AB38</f>
        <v>#N/A</v>
      </c>
      <c r="G41" s="339" t="e">
        <f ca="1">Calcu!AD38</f>
        <v>#N/A</v>
      </c>
    </row>
    <row r="42" spans="1:10" s="340" customFormat="1" ht="15" customHeight="1">
      <c r="A42" s="44" t="str">
        <f>IF(Calcu!B39=TRUE,"","삭제")</f>
        <v>삭제</v>
      </c>
      <c r="B42" s="43"/>
      <c r="C42" s="43"/>
      <c r="D42" s="43"/>
      <c r="F42" s="160" t="e">
        <f ca="1">Calcu!AB39</f>
        <v>#N/A</v>
      </c>
      <c r="G42" s="339" t="e">
        <f ca="1">Calcu!AD39</f>
        <v>#N/A</v>
      </c>
    </row>
    <row r="43" spans="1:10" s="340" customFormat="1" ht="15" customHeight="1">
      <c r="A43" s="44" t="str">
        <f>IF(Calcu!B40=TRUE,"","삭제")</f>
        <v>삭제</v>
      </c>
      <c r="B43" s="43"/>
      <c r="C43" s="43"/>
      <c r="D43" s="43"/>
      <c r="F43" s="160" t="e">
        <f ca="1">Calcu!AB40</f>
        <v>#N/A</v>
      </c>
      <c r="G43" s="339" t="e">
        <f ca="1">Calcu!AD40</f>
        <v>#N/A</v>
      </c>
    </row>
    <row r="44" spans="1:10" s="340" customFormat="1" ht="15" customHeight="1">
      <c r="A44" s="44" t="str">
        <f>IF(Calcu!B41=TRUE,"","삭제")</f>
        <v>삭제</v>
      </c>
      <c r="B44" s="43"/>
      <c r="C44" s="43"/>
      <c r="D44" s="43"/>
      <c r="F44" s="160" t="e">
        <f ca="1">Calcu!AB41</f>
        <v>#N/A</v>
      </c>
      <c r="G44" s="339" t="e">
        <f ca="1">Calcu!AD41</f>
        <v>#N/A</v>
      </c>
    </row>
    <row r="45" spans="1:10" ht="15" customHeight="1">
      <c r="A45" s="44"/>
      <c r="F45" s="99"/>
      <c r="G45" s="369"/>
      <c r="H45" s="50"/>
      <c r="I45" s="50"/>
    </row>
    <row r="46" spans="1:10" ht="15" customHeight="1">
      <c r="A46" s="44"/>
      <c r="F46" s="38" t="e">
        <f ca="1">"● 측정불확도 : "&amp;Calcu!T61</f>
        <v>#N/A</v>
      </c>
      <c r="G46" s="341"/>
      <c r="H46" s="38"/>
    </row>
    <row r="47" spans="1:10" ht="15" customHeight="1">
      <c r="A47" s="44"/>
      <c r="F47" s="376" t="e">
        <f>IF(Calcu!E71="사다리꼴","(신뢰수준 95 %,","(신뢰수준 약 95 %,")</f>
        <v>#N/A</v>
      </c>
      <c r="G47" s="49" t="e">
        <f ca="1">Calcu!E72&amp;IF(Calcu!E71="사다리꼴",", 사다리꼴 확률분포)",")")</f>
        <v>#N/A</v>
      </c>
      <c r="J47" s="49"/>
    </row>
    <row r="48" spans="1:10" ht="15" customHeight="1">
      <c r="F48" s="72"/>
      <c r="G48" s="72"/>
      <c r="H48" s="73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49"/>
  <sheetViews>
    <sheetView showGridLines="0" showWhiteSpace="0" zoomScaleNormal="100" zoomScaleSheetLayoutView="100" workbookViewId="0">
      <selection sqref="A1:L2"/>
    </sheetView>
  </sheetViews>
  <sheetFormatPr defaultColWidth="10.77734375" defaultRowHeight="15" customHeight="1"/>
  <cols>
    <col min="1" max="2" width="3.77734375" style="37" customWidth="1"/>
    <col min="3" max="3" width="3.77734375" style="340" customWidth="1"/>
    <col min="4" max="5" width="3.77734375" style="37" customWidth="1"/>
    <col min="6" max="7" width="18.77734375" style="37" customWidth="1"/>
    <col min="8" max="12" width="3.77734375" style="37" customWidth="1"/>
    <col min="13" max="16384" width="10.77734375" style="37"/>
  </cols>
  <sheetData>
    <row r="1" spans="1:12" s="78" customFormat="1" ht="33" customHeight="1">
      <c r="A1" s="481" t="s">
        <v>58</v>
      </c>
      <c r="B1" s="481"/>
      <c r="C1" s="481"/>
      <c r="D1" s="481"/>
      <c r="E1" s="481"/>
      <c r="F1" s="481"/>
      <c r="G1" s="481"/>
      <c r="H1" s="481"/>
      <c r="I1" s="481"/>
      <c r="J1" s="481"/>
      <c r="K1" s="481"/>
      <c r="L1" s="481"/>
    </row>
    <row r="2" spans="1:12" s="78" customFormat="1" ht="33" customHeight="1">
      <c r="A2" s="481"/>
      <c r="B2" s="481"/>
      <c r="C2" s="481"/>
      <c r="D2" s="481"/>
      <c r="E2" s="481"/>
      <c r="F2" s="481"/>
      <c r="G2" s="481"/>
      <c r="H2" s="481"/>
      <c r="I2" s="481"/>
      <c r="J2" s="481"/>
      <c r="K2" s="481"/>
      <c r="L2" s="481"/>
    </row>
    <row r="3" spans="1:12" s="46" customFormat="1" ht="12.75" customHeight="1">
      <c r="A3" s="47" t="s">
        <v>57</v>
      </c>
      <c r="B3" s="47"/>
      <c r="C3" s="47"/>
      <c r="D3" s="47"/>
      <c r="E3" s="47"/>
      <c r="F3" s="22"/>
      <c r="G3" s="22"/>
      <c r="H3" s="22"/>
      <c r="I3" s="22"/>
      <c r="J3" s="22"/>
      <c r="K3" s="22"/>
      <c r="L3" s="22"/>
    </row>
    <row r="4" spans="1:12" s="48" customFormat="1" ht="13.5" customHeight="1">
      <c r="A4" s="77" t="str">
        <f>" 교   정   번   호(Calibration No) : "&amp;기본정보!H3</f>
        <v xml:space="preserve"> 교   정   번   호(Calibration No) : </v>
      </c>
      <c r="B4" s="77"/>
      <c r="C4" s="88"/>
      <c r="D4" s="88"/>
      <c r="E4" s="88"/>
      <c r="F4" s="76"/>
      <c r="G4" s="74"/>
      <c r="H4" s="76"/>
      <c r="I4" s="76"/>
      <c r="J4" s="75"/>
      <c r="K4" s="90"/>
      <c r="L4" s="74"/>
    </row>
    <row r="5" spans="1:12" s="36" customFormat="1" ht="15" customHeight="1"/>
    <row r="6" spans="1:12" ht="15" customHeight="1">
      <c r="F6" s="53" t="str">
        <f>"○ Description : "&amp;기본정보!C$5</f>
        <v xml:space="preserve">○ Description : </v>
      </c>
    </row>
    <row r="7" spans="1:12" ht="15" customHeight="1">
      <c r="F7" s="53" t="str">
        <f>"○ Manufacturer  : "&amp;기본정보!C$6</f>
        <v xml:space="preserve">○ Manufacturer  : </v>
      </c>
    </row>
    <row r="8" spans="1:12" ht="15" customHeight="1">
      <c r="F8" s="53" t="str">
        <f>"○ Model Name : "&amp;기본정보!C$7</f>
        <v xml:space="preserve">○ Model Name : </v>
      </c>
    </row>
    <row r="9" spans="1:12" ht="15" customHeight="1">
      <c r="F9" s="53" t="str">
        <f>"○ Serial Number : "&amp;기본정보!C$8</f>
        <v xml:space="preserve">○ Serial Number : </v>
      </c>
    </row>
    <row r="11" spans="1:12" ht="15" customHeight="1">
      <c r="A11" s="44" t="str">
        <f>IF(Length_2!J10=TRUE,"","삭제")</f>
        <v>삭제</v>
      </c>
      <c r="F11" s="341" t="s">
        <v>520</v>
      </c>
    </row>
    <row r="12" spans="1:12" ht="15" customHeight="1">
      <c r="A12" s="44" t="str">
        <f>A11</f>
        <v>삭제</v>
      </c>
      <c r="F12" s="339" t="s">
        <v>522</v>
      </c>
      <c r="G12" s="348">
        <f>Calcu!E7</f>
        <v>0</v>
      </c>
      <c r="H12" s="340"/>
    </row>
    <row r="13" spans="1:12" ht="15" customHeight="1">
      <c r="A13" s="44" t="str">
        <f>A12</f>
        <v>삭제</v>
      </c>
      <c r="F13" s="339" t="s">
        <v>523</v>
      </c>
      <c r="G13" s="348">
        <f>Calcu!E8</f>
        <v>0</v>
      </c>
      <c r="H13" s="340"/>
    </row>
    <row r="14" spans="1:12" ht="15" customHeight="1">
      <c r="A14" s="44" t="str">
        <f>A13</f>
        <v>삭제</v>
      </c>
      <c r="G14" s="340"/>
    </row>
    <row r="15" spans="1:12" ht="15" customHeight="1">
      <c r="A15" s="44" t="str">
        <f>IF(Length_2!K10=TRUE,"","삭제")</f>
        <v>삭제</v>
      </c>
      <c r="F15" s="341" t="s">
        <v>521</v>
      </c>
      <c r="G15" s="340"/>
    </row>
    <row r="16" spans="1:12" ht="15" customHeight="1">
      <c r="A16" s="44" t="str">
        <f t="shared" ref="A16:A17" si="0">A15</f>
        <v>삭제</v>
      </c>
      <c r="F16" s="339" t="s">
        <v>524</v>
      </c>
      <c r="G16" s="348">
        <f>Calcu!G12</f>
        <v>0</v>
      </c>
    </row>
    <row r="17" spans="1:7" ht="15" customHeight="1">
      <c r="A17" s="44" t="str">
        <f t="shared" si="0"/>
        <v>삭제</v>
      </c>
    </row>
    <row r="18" spans="1:7" ht="15" customHeight="1">
      <c r="F18" s="38" t="s">
        <v>525</v>
      </c>
    </row>
    <row r="19" spans="1:7" ht="15" customHeight="1">
      <c r="F19" s="53" t="str">
        <f>"○ Range : ("&amp;Calcu!J3&amp;" ~ "&amp;Calcu!L3&amp;") mm"</f>
        <v>○ Range : (0 ~ 0) mm</v>
      </c>
    </row>
    <row r="20" spans="1:7" ht="15" customHeight="1">
      <c r="A20" s="44"/>
      <c r="B20" s="44"/>
      <c r="C20" s="44"/>
      <c r="D20" s="44"/>
      <c r="E20" s="44"/>
      <c r="F20" s="53" t="str">
        <f ca="1">"○ Resolution : "&amp;TEXT(Calcu!M3,Calcu!N3)&amp;" mm"</f>
        <v>○ Resolution : 0 mm</v>
      </c>
    </row>
    <row r="21" spans="1:7" ht="15" customHeight="1">
      <c r="A21" s="44"/>
      <c r="B21" s="44"/>
      <c r="C21" s="44"/>
      <c r="D21" s="44"/>
      <c r="E21" s="44"/>
    </row>
    <row r="22" spans="1:7" ht="15" customHeight="1">
      <c r="A22" s="44"/>
      <c r="B22" s="43"/>
      <c r="C22" s="43"/>
      <c r="D22" s="43"/>
      <c r="E22" s="43"/>
      <c r="F22" s="156" t="s">
        <v>204</v>
      </c>
      <c r="G22" s="192" t="s">
        <v>205</v>
      </c>
    </row>
    <row r="23" spans="1:7" ht="15" customHeight="1">
      <c r="A23" s="44"/>
      <c r="B23" s="43"/>
      <c r="C23" s="43"/>
      <c r="D23" s="43"/>
      <c r="E23" s="43"/>
      <c r="F23" s="157" t="s">
        <v>203</v>
      </c>
      <c r="G23" s="193" t="s">
        <v>203</v>
      </c>
    </row>
    <row r="24" spans="1:7" ht="15" customHeight="1">
      <c r="A24" s="44" t="str">
        <f>IF(Calcu!B21=TRUE,"","삭제")</f>
        <v>삭제</v>
      </c>
      <c r="B24" s="43"/>
      <c r="C24" s="43"/>
      <c r="D24" s="43"/>
      <c r="E24" s="43"/>
      <c r="F24" s="160" t="e">
        <f ca="1">Calcu!AB21</f>
        <v>#N/A</v>
      </c>
      <c r="G24" s="160" t="e">
        <f ca="1">Calcu!AD21</f>
        <v>#N/A</v>
      </c>
    </row>
    <row r="25" spans="1:7" ht="15" customHeight="1">
      <c r="A25" s="44" t="str">
        <f>IF(Calcu!B22=TRUE,"","삭제")</f>
        <v>삭제</v>
      </c>
      <c r="B25" s="43"/>
      <c r="C25" s="43"/>
      <c r="D25" s="43"/>
      <c r="E25" s="43"/>
      <c r="F25" s="160" t="e">
        <f ca="1">Calcu!AB22</f>
        <v>#N/A</v>
      </c>
      <c r="G25" s="160" t="e">
        <f ca="1">Calcu!AD22</f>
        <v>#N/A</v>
      </c>
    </row>
    <row r="26" spans="1:7" ht="15" customHeight="1">
      <c r="A26" s="44" t="str">
        <f>IF(Calcu!B23=TRUE,"","삭제")</f>
        <v>삭제</v>
      </c>
      <c r="B26" s="43"/>
      <c r="C26" s="43"/>
      <c r="D26" s="43"/>
      <c r="E26" s="43"/>
      <c r="F26" s="160" t="e">
        <f ca="1">Calcu!AB23</f>
        <v>#N/A</v>
      </c>
      <c r="G26" s="160" t="e">
        <f ca="1">Calcu!AD23</f>
        <v>#N/A</v>
      </c>
    </row>
    <row r="27" spans="1:7" ht="15" customHeight="1">
      <c r="A27" s="44" t="str">
        <f>IF(Calcu!B24=TRUE,"","삭제")</f>
        <v>삭제</v>
      </c>
      <c r="B27" s="43"/>
      <c r="C27" s="43"/>
      <c r="D27" s="43"/>
      <c r="E27" s="43"/>
      <c r="F27" s="160" t="e">
        <f ca="1">Calcu!AB24</f>
        <v>#N/A</v>
      </c>
      <c r="G27" s="160" t="e">
        <f ca="1">Calcu!AD24</f>
        <v>#N/A</v>
      </c>
    </row>
    <row r="28" spans="1:7" ht="15" customHeight="1">
      <c r="A28" s="44" t="str">
        <f>IF(Calcu!B25=TRUE,"","삭제")</f>
        <v>삭제</v>
      </c>
      <c r="B28" s="43"/>
      <c r="C28" s="43"/>
      <c r="D28" s="43"/>
      <c r="E28" s="43"/>
      <c r="F28" s="160" t="e">
        <f ca="1">Calcu!AB25</f>
        <v>#N/A</v>
      </c>
      <c r="G28" s="160" t="e">
        <f ca="1">Calcu!AD25</f>
        <v>#N/A</v>
      </c>
    </row>
    <row r="29" spans="1:7" ht="15" customHeight="1">
      <c r="A29" s="44" t="str">
        <f>IF(Calcu!B26=TRUE,"","삭제")</f>
        <v>삭제</v>
      </c>
      <c r="B29" s="43"/>
      <c r="C29" s="43"/>
      <c r="D29" s="43"/>
      <c r="E29" s="43"/>
      <c r="F29" s="160" t="e">
        <f ca="1">Calcu!AB26</f>
        <v>#N/A</v>
      </c>
      <c r="G29" s="160" t="e">
        <f ca="1">Calcu!AD26</f>
        <v>#N/A</v>
      </c>
    </row>
    <row r="30" spans="1:7" ht="15" customHeight="1">
      <c r="A30" s="44" t="str">
        <f>IF(Calcu!B27=TRUE,"","삭제")</f>
        <v>삭제</v>
      </c>
      <c r="B30" s="43"/>
      <c r="C30" s="43"/>
      <c r="D30" s="43"/>
      <c r="E30" s="43"/>
      <c r="F30" s="160" t="e">
        <f ca="1">Calcu!AB27</f>
        <v>#N/A</v>
      </c>
      <c r="G30" s="160" t="e">
        <f ca="1">Calcu!AD27</f>
        <v>#N/A</v>
      </c>
    </row>
    <row r="31" spans="1:7" ht="15" customHeight="1">
      <c r="A31" s="44" t="str">
        <f>IF(Calcu!B28=TRUE,"","삭제")</f>
        <v>삭제</v>
      </c>
      <c r="B31" s="43"/>
      <c r="C31" s="43"/>
      <c r="D31" s="43"/>
      <c r="E31" s="43"/>
      <c r="F31" s="160" t="e">
        <f ca="1">Calcu!AB28</f>
        <v>#N/A</v>
      </c>
      <c r="G31" s="160" t="e">
        <f ca="1">Calcu!AD28</f>
        <v>#N/A</v>
      </c>
    </row>
    <row r="32" spans="1:7" ht="15" customHeight="1">
      <c r="A32" s="44" t="str">
        <f>IF(Calcu!B29=TRUE,"","삭제")</f>
        <v>삭제</v>
      </c>
      <c r="B32" s="43"/>
      <c r="C32" s="43"/>
      <c r="D32" s="43"/>
      <c r="E32" s="43"/>
      <c r="F32" s="160" t="e">
        <f ca="1">Calcu!AB29</f>
        <v>#N/A</v>
      </c>
      <c r="G32" s="160" t="e">
        <f ca="1">Calcu!AD29</f>
        <v>#N/A</v>
      </c>
    </row>
    <row r="33" spans="1:11" ht="15" customHeight="1">
      <c r="A33" s="44" t="str">
        <f>IF(Calcu!B30=TRUE,"","삭제")</f>
        <v>삭제</v>
      </c>
      <c r="B33" s="43"/>
      <c r="C33" s="43"/>
      <c r="D33" s="43"/>
      <c r="E33" s="43"/>
      <c r="F33" s="160" t="e">
        <f ca="1">Calcu!AB30</f>
        <v>#N/A</v>
      </c>
      <c r="G33" s="160" t="e">
        <f ca="1">Calcu!AD30</f>
        <v>#N/A</v>
      </c>
    </row>
    <row r="34" spans="1:11" ht="15" customHeight="1">
      <c r="A34" s="44" t="str">
        <f>IF(Calcu!B31=TRUE,"","삭제")</f>
        <v>삭제</v>
      </c>
      <c r="B34" s="43"/>
      <c r="C34" s="43"/>
      <c r="D34" s="43"/>
      <c r="E34" s="43"/>
      <c r="F34" s="160" t="e">
        <f ca="1">Calcu!AB31</f>
        <v>#N/A</v>
      </c>
      <c r="G34" s="160" t="e">
        <f ca="1">Calcu!AD31</f>
        <v>#N/A</v>
      </c>
    </row>
    <row r="35" spans="1:11" ht="15" customHeight="1">
      <c r="A35" s="44" t="str">
        <f>IF(Calcu!B32=TRUE,"","삭제")</f>
        <v>삭제</v>
      </c>
      <c r="B35" s="43"/>
      <c r="C35" s="43"/>
      <c r="D35" s="43"/>
      <c r="E35" s="43"/>
      <c r="F35" s="160" t="e">
        <f ca="1">Calcu!AB32</f>
        <v>#N/A</v>
      </c>
      <c r="G35" s="160" t="e">
        <f ca="1">Calcu!AD32</f>
        <v>#N/A</v>
      </c>
    </row>
    <row r="36" spans="1:11" ht="15" customHeight="1">
      <c r="A36" s="44" t="str">
        <f>IF(Calcu!B33=TRUE,"","삭제")</f>
        <v>삭제</v>
      </c>
      <c r="B36" s="43"/>
      <c r="C36" s="43"/>
      <c r="D36" s="43"/>
      <c r="E36" s="43"/>
      <c r="F36" s="160" t="e">
        <f ca="1">Calcu!AB33</f>
        <v>#N/A</v>
      </c>
      <c r="G36" s="160" t="e">
        <f ca="1">Calcu!AD33</f>
        <v>#N/A</v>
      </c>
    </row>
    <row r="37" spans="1:11" ht="15" customHeight="1">
      <c r="A37" s="44" t="str">
        <f>IF(Calcu!B34=TRUE,"","삭제")</f>
        <v>삭제</v>
      </c>
      <c r="B37" s="43"/>
      <c r="C37" s="43"/>
      <c r="D37" s="43"/>
      <c r="E37" s="43"/>
      <c r="F37" s="160" t="e">
        <f ca="1">Calcu!AB34</f>
        <v>#N/A</v>
      </c>
      <c r="G37" s="160" t="e">
        <f ca="1">Calcu!AD34</f>
        <v>#N/A</v>
      </c>
    </row>
    <row r="38" spans="1:11" ht="15" customHeight="1">
      <c r="A38" s="44" t="str">
        <f>IF(Calcu!B35=TRUE,"","삭제")</f>
        <v>삭제</v>
      </c>
      <c r="B38" s="43"/>
      <c r="C38" s="43"/>
      <c r="D38" s="43"/>
      <c r="E38" s="43"/>
      <c r="F38" s="160" t="e">
        <f ca="1">Calcu!AB35</f>
        <v>#N/A</v>
      </c>
      <c r="G38" s="160" t="e">
        <f ca="1">Calcu!AD35</f>
        <v>#N/A</v>
      </c>
    </row>
    <row r="39" spans="1:11" ht="15" customHeight="1">
      <c r="A39" s="44" t="str">
        <f>IF(Calcu!B36=TRUE,"","삭제")</f>
        <v>삭제</v>
      </c>
      <c r="B39" s="43"/>
      <c r="C39" s="43"/>
      <c r="D39" s="43"/>
      <c r="E39" s="43"/>
      <c r="F39" s="160" t="e">
        <f ca="1">Calcu!AB36</f>
        <v>#N/A</v>
      </c>
      <c r="G39" s="160" t="e">
        <f ca="1">Calcu!AD36</f>
        <v>#N/A</v>
      </c>
      <c r="H39" s="50"/>
      <c r="I39" s="50"/>
    </row>
    <row r="40" spans="1:11" s="340" customFormat="1" ht="15" customHeight="1">
      <c r="A40" s="44" t="str">
        <f>IF(Calcu!B37=TRUE,"","삭제")</f>
        <v>삭제</v>
      </c>
      <c r="B40" s="43"/>
      <c r="C40" s="43"/>
      <c r="D40" s="43"/>
      <c r="E40" s="43"/>
      <c r="F40" s="160" t="e">
        <f ca="1">Calcu!AB37</f>
        <v>#N/A</v>
      </c>
      <c r="G40" s="160" t="e">
        <f ca="1">Calcu!AD37</f>
        <v>#N/A</v>
      </c>
      <c r="H40" s="50"/>
      <c r="I40" s="50"/>
    </row>
    <row r="41" spans="1:11" s="340" customFormat="1" ht="15" customHeight="1">
      <c r="A41" s="44" t="str">
        <f>IF(Calcu!B38=TRUE,"","삭제")</f>
        <v>삭제</v>
      </c>
      <c r="B41" s="43"/>
      <c r="C41" s="43"/>
      <c r="D41" s="43"/>
      <c r="E41" s="43"/>
      <c r="F41" s="160" t="e">
        <f ca="1">Calcu!AB38</f>
        <v>#N/A</v>
      </c>
      <c r="G41" s="160" t="e">
        <f ca="1">Calcu!AD38</f>
        <v>#N/A</v>
      </c>
      <c r="H41" s="50"/>
      <c r="I41" s="50"/>
    </row>
    <row r="42" spans="1:11" s="340" customFormat="1" ht="15" customHeight="1">
      <c r="A42" s="44" t="str">
        <f>IF(Calcu!B39=TRUE,"","삭제")</f>
        <v>삭제</v>
      </c>
      <c r="B42" s="43"/>
      <c r="C42" s="43"/>
      <c r="D42" s="43"/>
      <c r="E42" s="43"/>
      <c r="F42" s="160" t="e">
        <f ca="1">Calcu!AB39</f>
        <v>#N/A</v>
      </c>
      <c r="G42" s="160" t="e">
        <f ca="1">Calcu!AD39</f>
        <v>#N/A</v>
      </c>
      <c r="H42" s="50"/>
      <c r="I42" s="50"/>
    </row>
    <row r="43" spans="1:11" s="340" customFormat="1" ht="15" customHeight="1">
      <c r="A43" s="44" t="str">
        <f>IF(Calcu!B40=TRUE,"","삭제")</f>
        <v>삭제</v>
      </c>
      <c r="B43" s="43"/>
      <c r="C43" s="43"/>
      <c r="D43" s="43"/>
      <c r="E43" s="43"/>
      <c r="F43" s="160" t="e">
        <f ca="1">Calcu!AB40</f>
        <v>#N/A</v>
      </c>
      <c r="G43" s="160" t="e">
        <f ca="1">Calcu!AD40</f>
        <v>#N/A</v>
      </c>
      <c r="H43" s="50"/>
      <c r="I43" s="50"/>
    </row>
    <row r="44" spans="1:11" s="340" customFormat="1" ht="15" customHeight="1">
      <c r="A44" s="44" t="str">
        <f>IF(Calcu!B41=TRUE,"","삭제")</f>
        <v>삭제</v>
      </c>
      <c r="B44" s="43"/>
      <c r="C44" s="43"/>
      <c r="D44" s="43"/>
      <c r="E44" s="43"/>
      <c r="F44" s="160" t="e">
        <f ca="1">Calcu!AB41</f>
        <v>#N/A</v>
      </c>
      <c r="G44" s="160" t="e">
        <f ca="1">Calcu!AD41</f>
        <v>#N/A</v>
      </c>
      <c r="H44" s="50"/>
      <c r="I44" s="50"/>
    </row>
    <row r="45" spans="1:11" ht="15" customHeight="1">
      <c r="A45" s="44"/>
      <c r="F45" s="99"/>
      <c r="G45" s="99"/>
      <c r="H45" s="50"/>
      <c r="I45" s="50"/>
    </row>
    <row r="46" spans="1:11" ht="15" customHeight="1">
      <c r="A46" s="44"/>
      <c r="F46" s="38" t="e">
        <f ca="1">"● Measurement uncertainty : "&amp;Calcu!T61</f>
        <v>#N/A</v>
      </c>
      <c r="H46" s="38"/>
      <c r="K46" s="49"/>
    </row>
    <row r="47" spans="1:11" ht="15" customHeight="1">
      <c r="A47" s="44"/>
      <c r="G47" s="376" t="e">
        <f>IF(Calcu!E71="사다리꼴","(Confidence level 95 %,","(Confidence level about 95 %,")</f>
        <v>#N/A</v>
      </c>
      <c r="H47" s="49" t="e">
        <f ca="1">Calcu!E72&amp;")"</f>
        <v>#N/A</v>
      </c>
      <c r="J47" s="52"/>
      <c r="K47" s="49"/>
    </row>
    <row r="48" spans="1:11" ht="15" customHeight="1">
      <c r="A48" s="44" t="e">
        <f>IF(Calcu!E71="사다리꼴","","삭제")</f>
        <v>#N/A</v>
      </c>
      <c r="F48" s="49" t="e">
        <f>IF(Calcu!E71="사다리꼴","※ Trapezoid probability distribution.","")</f>
        <v>#N/A</v>
      </c>
      <c r="G48" s="52"/>
      <c r="J48" s="52"/>
      <c r="K48" s="49"/>
    </row>
    <row r="49" spans="6:9" ht="15" customHeight="1">
      <c r="F49" s="72"/>
      <c r="G49" s="72"/>
      <c r="H49" s="72"/>
      <c r="I49" s="73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0"/>
  <sheetViews>
    <sheetView showGridLines="0" showWhiteSpace="0" zoomScaleNormal="100" zoomScaleSheetLayoutView="100" workbookViewId="0">
      <selection sqref="A1:Q2"/>
    </sheetView>
  </sheetViews>
  <sheetFormatPr defaultColWidth="8.77734375" defaultRowHeight="15" customHeight="1"/>
  <cols>
    <col min="1" max="1" width="3.77734375" style="340" customWidth="1"/>
    <col min="2" max="5" width="1.77734375" style="340" hidden="1" customWidth="1"/>
    <col min="6" max="6" width="9.21875" style="340" customWidth="1"/>
    <col min="7" max="7" width="4.44140625" style="340" bestFit="1" customWidth="1"/>
    <col min="8" max="8" width="8.77734375" style="340"/>
    <col min="9" max="9" width="1.77734375" style="340" customWidth="1"/>
    <col min="10" max="10" width="7.5546875" style="340" bestFit="1" customWidth="1"/>
    <col min="11" max="11" width="9.109375" style="340" bestFit="1" customWidth="1"/>
    <col min="12" max="12" width="5.21875" style="340" bestFit="1" customWidth="1"/>
    <col min="13" max="13" width="7.5546875" style="340" bestFit="1" customWidth="1"/>
    <col min="14" max="14" width="9.109375" style="340" bestFit="1" customWidth="1"/>
    <col min="15" max="15" width="5.21875" style="340" bestFit="1" customWidth="1"/>
    <col min="16" max="16" width="1.77734375" style="340" customWidth="1"/>
    <col min="17" max="17" width="10.33203125" style="340" customWidth="1"/>
    <col min="18" max="16384" width="8.77734375" style="340"/>
  </cols>
  <sheetData>
    <row r="1" spans="1:17" s="46" customFormat="1" ht="33" customHeight="1">
      <c r="A1" s="480" t="s">
        <v>641</v>
      </c>
      <c r="B1" s="480"/>
      <c r="C1" s="480"/>
      <c r="D1" s="480"/>
      <c r="E1" s="480"/>
      <c r="F1" s="480"/>
      <c r="G1" s="480"/>
      <c r="H1" s="480"/>
      <c r="I1" s="480"/>
      <c r="J1" s="480"/>
      <c r="K1" s="480"/>
      <c r="L1" s="480"/>
      <c r="M1" s="480"/>
      <c r="N1" s="480"/>
      <c r="O1" s="480"/>
      <c r="P1" s="480"/>
      <c r="Q1" s="480"/>
    </row>
    <row r="2" spans="1:17" s="46" customFormat="1" ht="33" customHeight="1">
      <c r="A2" s="480"/>
      <c r="B2" s="480"/>
      <c r="C2" s="480"/>
      <c r="D2" s="480"/>
      <c r="E2" s="480"/>
      <c r="F2" s="480"/>
      <c r="G2" s="480"/>
      <c r="H2" s="480"/>
      <c r="I2" s="480"/>
      <c r="J2" s="480"/>
      <c r="K2" s="480"/>
      <c r="L2" s="480"/>
      <c r="M2" s="480"/>
      <c r="N2" s="480"/>
      <c r="O2" s="480"/>
      <c r="P2" s="480"/>
      <c r="Q2" s="480"/>
    </row>
    <row r="3" spans="1:17" s="46" customFormat="1" ht="12.75" customHeight="1">
      <c r="A3" s="47" t="s">
        <v>642</v>
      </c>
      <c r="B3" s="47"/>
      <c r="C3" s="47"/>
      <c r="D3" s="47"/>
      <c r="E3" s="47"/>
      <c r="F3" s="22"/>
      <c r="G3" s="22"/>
      <c r="H3" s="22"/>
      <c r="I3" s="22"/>
      <c r="J3" s="22"/>
      <c r="K3" s="22"/>
      <c r="L3" s="22"/>
      <c r="M3" s="22"/>
    </row>
    <row r="4" spans="1:17" s="48" customFormat="1" ht="13.5" customHeight="1">
      <c r="A4" s="88" t="str">
        <f>" 교   정   번   호(Calibration No) : "&amp;기본정보!H3</f>
        <v xml:space="preserve"> 교   정   번   호(Calibration No) : </v>
      </c>
      <c r="B4" s="88"/>
      <c r="C4" s="88"/>
      <c r="D4" s="88"/>
      <c r="E4" s="88"/>
      <c r="F4" s="89"/>
      <c r="G4" s="89"/>
      <c r="H4" s="89"/>
      <c r="I4" s="89"/>
      <c r="J4" s="89"/>
      <c r="K4" s="98"/>
      <c r="L4" s="90"/>
      <c r="M4" s="97"/>
      <c r="N4" s="97"/>
      <c r="O4" s="97"/>
      <c r="P4" s="97"/>
      <c r="Q4" s="97"/>
    </row>
    <row r="5" spans="1:17" s="36" customFormat="1" ht="15" customHeight="1"/>
    <row r="6" spans="1:17" ht="15" customHeight="1">
      <c r="F6" s="53" t="str">
        <f>"○ 품명 : "&amp;기본정보!C$5</f>
        <v xml:space="preserve">○ 품명 : </v>
      </c>
      <c r="G6" s="53"/>
    </row>
    <row r="7" spans="1:17" ht="15" customHeight="1">
      <c r="F7" s="53" t="str">
        <f>"○ 제작회사 : "&amp;기본정보!C$6</f>
        <v xml:space="preserve">○ 제작회사 : </v>
      </c>
      <c r="G7" s="53"/>
    </row>
    <row r="8" spans="1:17" ht="15" customHeight="1">
      <c r="F8" s="53" t="str">
        <f>"○ 형식 : "&amp;기본정보!C$7</f>
        <v xml:space="preserve">○ 형식 : </v>
      </c>
      <c r="G8" s="53"/>
    </row>
    <row r="9" spans="1:17" ht="15" customHeight="1">
      <c r="F9" s="53" t="str">
        <f>"○ 기기번호 : "&amp;기본정보!C$8</f>
        <v xml:space="preserve">○ 기기번호 : </v>
      </c>
      <c r="G9" s="53"/>
    </row>
    <row r="11" spans="1:17" ht="15" customHeight="1">
      <c r="F11" s="341" t="s">
        <v>643</v>
      </c>
      <c r="G11" s="341"/>
    </row>
    <row r="12" spans="1:17" ht="15" customHeight="1">
      <c r="F12" s="53" t="str">
        <f>"○ 교정범위 : ("&amp;Calcu!J3&amp;" ~ "&amp;Calcu!L3&amp;") mm"</f>
        <v>○ 교정범위 : (0 ~ 0) mm</v>
      </c>
      <c r="G12" s="53"/>
    </row>
    <row r="13" spans="1:17" ht="15" customHeight="1">
      <c r="A13" s="44"/>
      <c r="C13" s="44"/>
      <c r="D13" s="44"/>
      <c r="E13" s="44"/>
      <c r="F13" s="53" t="str">
        <f ca="1">"○ 최소눈금 : "&amp;TEXT(Calcu!M3,Calcu!N3)&amp;" mm"</f>
        <v>○ 최소눈금 : 0 mm</v>
      </c>
      <c r="G13" s="53"/>
    </row>
    <row r="14" spans="1:17" ht="15" customHeight="1">
      <c r="A14" s="44"/>
      <c r="B14" s="44"/>
      <c r="C14" s="44"/>
      <c r="D14" s="44"/>
      <c r="E14" s="44"/>
    </row>
    <row r="15" spans="1:17" s="407" customFormat="1" ht="15" customHeight="1">
      <c r="B15" s="487"/>
      <c r="C15" s="489"/>
      <c r="D15" s="489"/>
      <c r="E15" s="489"/>
      <c r="F15" s="491" t="s">
        <v>652</v>
      </c>
      <c r="G15" s="493" t="s">
        <v>644</v>
      </c>
      <c r="H15" s="495" t="s">
        <v>645</v>
      </c>
      <c r="I15" s="497"/>
      <c r="J15" s="498" t="s">
        <v>646</v>
      </c>
      <c r="K15" s="498"/>
      <c r="L15" s="498"/>
      <c r="M15" s="482" t="s">
        <v>647</v>
      </c>
      <c r="N15" s="482"/>
      <c r="O15" s="482"/>
      <c r="P15" s="483"/>
      <c r="Q15" s="485" t="s">
        <v>648</v>
      </c>
    </row>
    <row r="16" spans="1:17" s="408" customFormat="1" ht="22.5">
      <c r="B16" s="488"/>
      <c r="C16" s="490"/>
      <c r="D16" s="490"/>
      <c r="E16" s="490"/>
      <c r="F16" s="492"/>
      <c r="G16" s="494"/>
      <c r="H16" s="496"/>
      <c r="I16" s="490"/>
      <c r="J16" s="410" t="s">
        <v>653</v>
      </c>
      <c r="K16" s="411" t="s">
        <v>654</v>
      </c>
      <c r="L16" s="411" t="s">
        <v>655</v>
      </c>
      <c r="M16" s="410" t="s">
        <v>653</v>
      </c>
      <c r="N16" s="411" t="s">
        <v>654</v>
      </c>
      <c r="O16" s="411" t="s">
        <v>655</v>
      </c>
      <c r="P16" s="484"/>
      <c r="Q16" s="486"/>
    </row>
    <row r="17" spans="1:17" ht="15" customHeight="1">
      <c r="A17" s="44" t="str">
        <f>IF(Calcu!B21=TRUE,"","삭제")</f>
        <v>삭제</v>
      </c>
      <c r="B17" s="43"/>
      <c r="C17" s="43"/>
      <c r="D17" s="43"/>
      <c r="E17" s="43"/>
      <c r="F17" s="50" t="e">
        <f ca="1">Calcu!AB21</f>
        <v>#N/A</v>
      </c>
      <c r="G17" s="50" t="s">
        <v>649</v>
      </c>
      <c r="H17" s="50" t="e">
        <f ca="1">Calcu!AE21</f>
        <v>#N/A</v>
      </c>
      <c r="J17" s="340" t="e">
        <f ca="1">Calcu!AC21</f>
        <v>#N/A</v>
      </c>
      <c r="K17" s="340" t="e">
        <f ca="1">Calcu!AD21</f>
        <v>#N/A</v>
      </c>
      <c r="L17" s="340" t="str">
        <f>LEFT(Calcu!AF21)</f>
        <v/>
      </c>
      <c r="M17" s="340" t="s">
        <v>650</v>
      </c>
      <c r="N17" s="340" t="s">
        <v>650</v>
      </c>
      <c r="O17" s="340" t="s">
        <v>651</v>
      </c>
      <c r="Q17" s="340" t="e">
        <f ca="1">Calcu!AG21</f>
        <v>#N/A</v>
      </c>
    </row>
    <row r="18" spans="1:17" ht="15" customHeight="1">
      <c r="A18" s="44" t="str">
        <f>IF(Calcu!B22=TRUE,"","삭제")</f>
        <v>삭제</v>
      </c>
      <c r="B18" s="43"/>
      <c r="C18" s="43"/>
      <c r="D18" s="43"/>
      <c r="E18" s="43"/>
      <c r="F18" s="50" t="e">
        <f ca="1">Calcu!AB22</f>
        <v>#N/A</v>
      </c>
      <c r="G18" s="50" t="s">
        <v>649</v>
      </c>
      <c r="H18" s="50" t="e">
        <f ca="1">Calcu!AE22</f>
        <v>#N/A</v>
      </c>
      <c r="J18" s="340" t="e">
        <f ca="1">Calcu!AC22</f>
        <v>#N/A</v>
      </c>
      <c r="K18" s="340" t="e">
        <f ca="1">Calcu!AD22</f>
        <v>#N/A</v>
      </c>
      <c r="L18" s="340" t="str">
        <f>LEFT(Calcu!AF22)</f>
        <v/>
      </c>
      <c r="M18" s="340" t="s">
        <v>650</v>
      </c>
      <c r="N18" s="340" t="s">
        <v>650</v>
      </c>
      <c r="O18" s="340" t="s">
        <v>651</v>
      </c>
      <c r="Q18" s="340" t="e">
        <f ca="1">Calcu!AG22</f>
        <v>#N/A</v>
      </c>
    </row>
    <row r="19" spans="1:17" ht="15" customHeight="1">
      <c r="A19" s="44" t="str">
        <f>IF(Calcu!B23=TRUE,"","삭제")</f>
        <v>삭제</v>
      </c>
      <c r="B19" s="43"/>
      <c r="C19" s="43"/>
      <c r="D19" s="43"/>
      <c r="E19" s="43"/>
      <c r="F19" s="50" t="e">
        <f ca="1">Calcu!AB23</f>
        <v>#N/A</v>
      </c>
      <c r="G19" s="50" t="s">
        <v>649</v>
      </c>
      <c r="H19" s="50" t="e">
        <f ca="1">Calcu!AE23</f>
        <v>#N/A</v>
      </c>
      <c r="J19" s="340" t="e">
        <f ca="1">Calcu!AC23</f>
        <v>#N/A</v>
      </c>
      <c r="K19" s="340" t="e">
        <f ca="1">Calcu!AD23</f>
        <v>#N/A</v>
      </c>
      <c r="L19" s="340" t="str">
        <f>LEFT(Calcu!AF23)</f>
        <v/>
      </c>
      <c r="M19" s="340" t="s">
        <v>650</v>
      </c>
      <c r="N19" s="340" t="s">
        <v>650</v>
      </c>
      <c r="O19" s="340" t="s">
        <v>651</v>
      </c>
      <c r="Q19" s="340" t="e">
        <f ca="1">Calcu!AG23</f>
        <v>#N/A</v>
      </c>
    </row>
    <row r="20" spans="1:17" ht="15" customHeight="1">
      <c r="A20" s="44" t="str">
        <f>IF(Calcu!B24=TRUE,"","삭제")</f>
        <v>삭제</v>
      </c>
      <c r="B20" s="43"/>
      <c r="C20" s="43"/>
      <c r="D20" s="43"/>
      <c r="E20" s="43"/>
      <c r="F20" s="50" t="e">
        <f ca="1">Calcu!AB24</f>
        <v>#N/A</v>
      </c>
      <c r="G20" s="50" t="s">
        <v>649</v>
      </c>
      <c r="H20" s="50" t="e">
        <f ca="1">Calcu!AE24</f>
        <v>#N/A</v>
      </c>
      <c r="J20" s="340" t="e">
        <f ca="1">Calcu!AC24</f>
        <v>#N/A</v>
      </c>
      <c r="K20" s="340" t="e">
        <f ca="1">Calcu!AD24</f>
        <v>#N/A</v>
      </c>
      <c r="L20" s="340" t="str">
        <f>LEFT(Calcu!AF24)</f>
        <v/>
      </c>
      <c r="M20" s="340" t="s">
        <v>650</v>
      </c>
      <c r="N20" s="340" t="s">
        <v>650</v>
      </c>
      <c r="O20" s="340" t="s">
        <v>651</v>
      </c>
      <c r="Q20" s="340" t="e">
        <f ca="1">Calcu!AG24</f>
        <v>#N/A</v>
      </c>
    </row>
    <row r="21" spans="1:17" ht="15" customHeight="1">
      <c r="A21" s="44" t="str">
        <f>IF(Calcu!B25=TRUE,"","삭제")</f>
        <v>삭제</v>
      </c>
      <c r="B21" s="43"/>
      <c r="C21" s="43"/>
      <c r="D21" s="43"/>
      <c r="E21" s="43"/>
      <c r="F21" s="50" t="e">
        <f ca="1">Calcu!AB25</f>
        <v>#N/A</v>
      </c>
      <c r="G21" s="50" t="s">
        <v>649</v>
      </c>
      <c r="H21" s="50" t="e">
        <f ca="1">Calcu!AE25</f>
        <v>#N/A</v>
      </c>
      <c r="J21" s="340" t="e">
        <f ca="1">Calcu!AC25</f>
        <v>#N/A</v>
      </c>
      <c r="K21" s="340" t="e">
        <f ca="1">Calcu!AD25</f>
        <v>#N/A</v>
      </c>
      <c r="L21" s="340" t="str">
        <f>LEFT(Calcu!AF25)</f>
        <v/>
      </c>
      <c r="M21" s="340" t="s">
        <v>650</v>
      </c>
      <c r="N21" s="340" t="s">
        <v>650</v>
      </c>
      <c r="O21" s="340" t="s">
        <v>651</v>
      </c>
      <c r="Q21" s="340" t="e">
        <f ca="1">Calcu!AG25</f>
        <v>#N/A</v>
      </c>
    </row>
    <row r="22" spans="1:17" ht="15" customHeight="1">
      <c r="A22" s="44" t="str">
        <f>IF(Calcu!B26=TRUE,"","삭제")</f>
        <v>삭제</v>
      </c>
      <c r="B22" s="43"/>
      <c r="C22" s="43"/>
      <c r="D22" s="43"/>
      <c r="E22" s="43"/>
      <c r="F22" s="50" t="e">
        <f ca="1">Calcu!AB26</f>
        <v>#N/A</v>
      </c>
      <c r="G22" s="50" t="s">
        <v>649</v>
      </c>
      <c r="H22" s="50" t="e">
        <f ca="1">Calcu!AE26</f>
        <v>#N/A</v>
      </c>
      <c r="J22" s="340" t="e">
        <f ca="1">Calcu!AC26</f>
        <v>#N/A</v>
      </c>
      <c r="K22" s="340" t="e">
        <f ca="1">Calcu!AD26</f>
        <v>#N/A</v>
      </c>
      <c r="L22" s="340" t="str">
        <f>LEFT(Calcu!AF26)</f>
        <v/>
      </c>
      <c r="M22" s="340" t="s">
        <v>650</v>
      </c>
      <c r="N22" s="340" t="s">
        <v>650</v>
      </c>
      <c r="O22" s="340" t="s">
        <v>651</v>
      </c>
      <c r="Q22" s="340" t="e">
        <f ca="1">Calcu!AG26</f>
        <v>#N/A</v>
      </c>
    </row>
    <row r="23" spans="1:17" ht="15" customHeight="1">
      <c r="A23" s="44" t="str">
        <f>IF(Calcu!B27=TRUE,"","삭제")</f>
        <v>삭제</v>
      </c>
      <c r="B23" s="43"/>
      <c r="C23" s="43"/>
      <c r="D23" s="43"/>
      <c r="E23" s="43"/>
      <c r="F23" s="50" t="e">
        <f ca="1">Calcu!AB27</f>
        <v>#N/A</v>
      </c>
      <c r="G23" s="50" t="s">
        <v>649</v>
      </c>
      <c r="H23" s="50" t="e">
        <f ca="1">Calcu!AE27</f>
        <v>#N/A</v>
      </c>
      <c r="J23" s="340" t="e">
        <f ca="1">Calcu!AC27</f>
        <v>#N/A</v>
      </c>
      <c r="K23" s="340" t="e">
        <f ca="1">Calcu!AD27</f>
        <v>#N/A</v>
      </c>
      <c r="L23" s="340" t="str">
        <f>LEFT(Calcu!AF27)</f>
        <v/>
      </c>
      <c r="M23" s="340" t="s">
        <v>650</v>
      </c>
      <c r="N23" s="340" t="s">
        <v>650</v>
      </c>
      <c r="O23" s="340" t="s">
        <v>651</v>
      </c>
      <c r="Q23" s="340" t="e">
        <f ca="1">Calcu!AG27</f>
        <v>#N/A</v>
      </c>
    </row>
    <row r="24" spans="1:17" ht="15" customHeight="1">
      <c r="A24" s="44" t="str">
        <f>IF(Calcu!B28=TRUE,"","삭제")</f>
        <v>삭제</v>
      </c>
      <c r="B24" s="43"/>
      <c r="C24" s="43"/>
      <c r="D24" s="43"/>
      <c r="E24" s="43"/>
      <c r="F24" s="50" t="e">
        <f ca="1">Calcu!AB28</f>
        <v>#N/A</v>
      </c>
      <c r="G24" s="50" t="s">
        <v>649</v>
      </c>
      <c r="H24" s="50" t="e">
        <f ca="1">Calcu!AE28</f>
        <v>#N/A</v>
      </c>
      <c r="J24" s="340" t="e">
        <f ca="1">Calcu!AC28</f>
        <v>#N/A</v>
      </c>
      <c r="K24" s="340" t="e">
        <f ca="1">Calcu!AD28</f>
        <v>#N/A</v>
      </c>
      <c r="L24" s="340" t="str">
        <f>LEFT(Calcu!AF28)</f>
        <v/>
      </c>
      <c r="M24" s="340" t="s">
        <v>650</v>
      </c>
      <c r="N24" s="340" t="s">
        <v>650</v>
      </c>
      <c r="O24" s="340" t="s">
        <v>651</v>
      </c>
      <c r="Q24" s="340" t="e">
        <f ca="1">Calcu!AG28</f>
        <v>#N/A</v>
      </c>
    </row>
    <row r="25" spans="1:17" ht="15" customHeight="1">
      <c r="A25" s="44" t="str">
        <f>IF(Calcu!B29=TRUE,"","삭제")</f>
        <v>삭제</v>
      </c>
      <c r="B25" s="43"/>
      <c r="C25" s="43"/>
      <c r="D25" s="43"/>
      <c r="E25" s="43"/>
      <c r="F25" s="50" t="e">
        <f ca="1">Calcu!AB29</f>
        <v>#N/A</v>
      </c>
      <c r="G25" s="50" t="s">
        <v>649</v>
      </c>
      <c r="H25" s="50" t="e">
        <f ca="1">Calcu!AE29</f>
        <v>#N/A</v>
      </c>
      <c r="J25" s="340" t="e">
        <f ca="1">Calcu!AC29</f>
        <v>#N/A</v>
      </c>
      <c r="K25" s="340" t="e">
        <f ca="1">Calcu!AD29</f>
        <v>#N/A</v>
      </c>
      <c r="L25" s="340" t="str">
        <f>LEFT(Calcu!AF29)</f>
        <v/>
      </c>
      <c r="M25" s="340" t="s">
        <v>650</v>
      </c>
      <c r="N25" s="340" t="s">
        <v>650</v>
      </c>
      <c r="O25" s="340" t="s">
        <v>651</v>
      </c>
      <c r="Q25" s="340" t="e">
        <f ca="1">Calcu!AG29</f>
        <v>#N/A</v>
      </c>
    </row>
    <row r="26" spans="1:17" ht="15" customHeight="1">
      <c r="A26" s="44" t="str">
        <f>IF(Calcu!B30=TRUE,"","삭제")</f>
        <v>삭제</v>
      </c>
      <c r="B26" s="43"/>
      <c r="C26" s="43"/>
      <c r="D26" s="43"/>
      <c r="E26" s="43"/>
      <c r="F26" s="50" t="e">
        <f ca="1">Calcu!AB30</f>
        <v>#N/A</v>
      </c>
      <c r="G26" s="50" t="s">
        <v>649</v>
      </c>
      <c r="H26" s="50" t="e">
        <f ca="1">Calcu!AE30</f>
        <v>#N/A</v>
      </c>
      <c r="J26" s="340" t="e">
        <f ca="1">Calcu!AC30</f>
        <v>#N/A</v>
      </c>
      <c r="K26" s="340" t="e">
        <f ca="1">Calcu!AD30</f>
        <v>#N/A</v>
      </c>
      <c r="L26" s="340" t="str">
        <f>LEFT(Calcu!AF30)</f>
        <v/>
      </c>
      <c r="M26" s="340" t="s">
        <v>650</v>
      </c>
      <c r="N26" s="340" t="s">
        <v>650</v>
      </c>
      <c r="O26" s="340" t="s">
        <v>651</v>
      </c>
      <c r="Q26" s="340" t="e">
        <f ca="1">Calcu!AG30</f>
        <v>#N/A</v>
      </c>
    </row>
    <row r="27" spans="1:17" ht="15" customHeight="1">
      <c r="A27" s="44" t="str">
        <f>IF(Calcu!B31=TRUE,"","삭제")</f>
        <v>삭제</v>
      </c>
      <c r="B27" s="43"/>
      <c r="C27" s="43"/>
      <c r="D27" s="43"/>
      <c r="E27" s="43"/>
      <c r="F27" s="50" t="e">
        <f ca="1">Calcu!AB31</f>
        <v>#N/A</v>
      </c>
      <c r="G27" s="50" t="s">
        <v>649</v>
      </c>
      <c r="H27" s="50" t="e">
        <f ca="1">Calcu!AE31</f>
        <v>#N/A</v>
      </c>
      <c r="J27" s="340" t="e">
        <f ca="1">Calcu!AC31</f>
        <v>#N/A</v>
      </c>
      <c r="K27" s="340" t="e">
        <f ca="1">Calcu!AD31</f>
        <v>#N/A</v>
      </c>
      <c r="L27" s="340" t="str">
        <f>LEFT(Calcu!AF31)</f>
        <v/>
      </c>
      <c r="M27" s="340" t="s">
        <v>650</v>
      </c>
      <c r="N27" s="340" t="s">
        <v>650</v>
      </c>
      <c r="O27" s="340" t="s">
        <v>651</v>
      </c>
      <c r="Q27" s="340" t="e">
        <f ca="1">Calcu!AG31</f>
        <v>#N/A</v>
      </c>
    </row>
    <row r="28" spans="1:17" ht="15" customHeight="1">
      <c r="A28" s="44" t="str">
        <f>IF(Calcu!B32=TRUE,"","삭제")</f>
        <v>삭제</v>
      </c>
      <c r="B28" s="43"/>
      <c r="C28" s="43"/>
      <c r="D28" s="43"/>
      <c r="E28" s="43"/>
      <c r="F28" s="50" t="e">
        <f ca="1">Calcu!AB32</f>
        <v>#N/A</v>
      </c>
      <c r="G28" s="50" t="s">
        <v>649</v>
      </c>
      <c r="H28" s="50" t="e">
        <f ca="1">Calcu!AE32</f>
        <v>#N/A</v>
      </c>
      <c r="J28" s="340" t="e">
        <f ca="1">Calcu!AC32</f>
        <v>#N/A</v>
      </c>
      <c r="K28" s="340" t="e">
        <f ca="1">Calcu!AD32</f>
        <v>#N/A</v>
      </c>
      <c r="L28" s="340" t="str">
        <f>LEFT(Calcu!AF32)</f>
        <v/>
      </c>
      <c r="M28" s="340" t="s">
        <v>650</v>
      </c>
      <c r="N28" s="340" t="s">
        <v>650</v>
      </c>
      <c r="O28" s="340" t="s">
        <v>651</v>
      </c>
      <c r="Q28" s="340" t="e">
        <f ca="1">Calcu!AG32</f>
        <v>#N/A</v>
      </c>
    </row>
    <row r="29" spans="1:17" ht="15" customHeight="1">
      <c r="A29" s="44" t="str">
        <f>IF(Calcu!B33=TRUE,"","삭제")</f>
        <v>삭제</v>
      </c>
      <c r="B29" s="43"/>
      <c r="C29" s="43"/>
      <c r="D29" s="43"/>
      <c r="E29" s="43"/>
      <c r="F29" s="50" t="e">
        <f ca="1">Calcu!AB33</f>
        <v>#N/A</v>
      </c>
      <c r="G29" s="50" t="s">
        <v>649</v>
      </c>
      <c r="H29" s="50" t="e">
        <f ca="1">Calcu!AE33</f>
        <v>#N/A</v>
      </c>
      <c r="J29" s="340" t="e">
        <f ca="1">Calcu!AC33</f>
        <v>#N/A</v>
      </c>
      <c r="K29" s="340" t="e">
        <f ca="1">Calcu!AD33</f>
        <v>#N/A</v>
      </c>
      <c r="L29" s="340" t="str">
        <f>LEFT(Calcu!AF33)</f>
        <v/>
      </c>
      <c r="M29" s="340" t="s">
        <v>650</v>
      </c>
      <c r="N29" s="340" t="s">
        <v>650</v>
      </c>
      <c r="O29" s="340" t="s">
        <v>651</v>
      </c>
      <c r="Q29" s="340" t="e">
        <f ca="1">Calcu!AG33</f>
        <v>#N/A</v>
      </c>
    </row>
    <row r="30" spans="1:17" ht="15" customHeight="1">
      <c r="A30" s="44" t="str">
        <f>IF(Calcu!B34=TRUE,"","삭제")</f>
        <v>삭제</v>
      </c>
      <c r="B30" s="43"/>
      <c r="C30" s="43"/>
      <c r="D30" s="43"/>
      <c r="E30" s="43"/>
      <c r="F30" s="50" t="e">
        <f ca="1">Calcu!AB34</f>
        <v>#N/A</v>
      </c>
      <c r="G30" s="50" t="s">
        <v>649</v>
      </c>
      <c r="H30" s="50" t="e">
        <f ca="1">Calcu!AE34</f>
        <v>#N/A</v>
      </c>
      <c r="J30" s="340" t="e">
        <f ca="1">Calcu!AC34</f>
        <v>#N/A</v>
      </c>
      <c r="K30" s="340" t="e">
        <f ca="1">Calcu!AD34</f>
        <v>#N/A</v>
      </c>
      <c r="L30" s="340" t="str">
        <f>LEFT(Calcu!AF34)</f>
        <v/>
      </c>
      <c r="M30" s="340" t="s">
        <v>650</v>
      </c>
      <c r="N30" s="340" t="s">
        <v>650</v>
      </c>
      <c r="O30" s="340" t="s">
        <v>651</v>
      </c>
      <c r="Q30" s="340" t="e">
        <f ca="1">Calcu!AG34</f>
        <v>#N/A</v>
      </c>
    </row>
    <row r="31" spans="1:17" ht="15" customHeight="1">
      <c r="A31" s="44" t="str">
        <f>IF(Calcu!B35=TRUE,"","삭제")</f>
        <v>삭제</v>
      </c>
      <c r="B31" s="43"/>
      <c r="C31" s="43"/>
      <c r="D31" s="43"/>
      <c r="E31" s="43"/>
      <c r="F31" s="50" t="e">
        <f ca="1">Calcu!AB35</f>
        <v>#N/A</v>
      </c>
      <c r="G31" s="50" t="s">
        <v>649</v>
      </c>
      <c r="H31" s="50" t="e">
        <f ca="1">Calcu!AE35</f>
        <v>#N/A</v>
      </c>
      <c r="J31" s="340" t="e">
        <f ca="1">Calcu!AC35</f>
        <v>#N/A</v>
      </c>
      <c r="K31" s="340" t="e">
        <f ca="1">Calcu!AD35</f>
        <v>#N/A</v>
      </c>
      <c r="L31" s="340" t="str">
        <f>LEFT(Calcu!AF35)</f>
        <v/>
      </c>
      <c r="M31" s="340" t="s">
        <v>650</v>
      </c>
      <c r="N31" s="340" t="s">
        <v>650</v>
      </c>
      <c r="O31" s="340" t="s">
        <v>651</v>
      </c>
      <c r="Q31" s="340" t="e">
        <f ca="1">Calcu!AG35</f>
        <v>#N/A</v>
      </c>
    </row>
    <row r="32" spans="1:17" ht="15" customHeight="1">
      <c r="A32" s="44" t="str">
        <f>IF(Calcu!B36=TRUE,"","삭제")</f>
        <v>삭제</v>
      </c>
      <c r="B32" s="43"/>
      <c r="C32" s="43"/>
      <c r="D32" s="43"/>
      <c r="E32" s="43"/>
      <c r="F32" s="50" t="e">
        <f ca="1">Calcu!AB36</f>
        <v>#N/A</v>
      </c>
      <c r="G32" s="50" t="s">
        <v>649</v>
      </c>
      <c r="H32" s="50" t="e">
        <f ca="1">Calcu!AE36</f>
        <v>#N/A</v>
      </c>
      <c r="J32" s="340" t="e">
        <f ca="1">Calcu!AC36</f>
        <v>#N/A</v>
      </c>
      <c r="K32" s="340" t="e">
        <f ca="1">Calcu!AD36</f>
        <v>#N/A</v>
      </c>
      <c r="L32" s="340" t="str">
        <f>LEFT(Calcu!AF36)</f>
        <v/>
      </c>
      <c r="M32" s="340" t="s">
        <v>650</v>
      </c>
      <c r="N32" s="340" t="s">
        <v>650</v>
      </c>
      <c r="O32" s="340" t="s">
        <v>651</v>
      </c>
      <c r="Q32" s="340" t="e">
        <f ca="1">Calcu!AG36</f>
        <v>#N/A</v>
      </c>
    </row>
    <row r="33" spans="1:17" ht="15" customHeight="1">
      <c r="A33" s="44" t="str">
        <f>IF(Calcu!B37=TRUE,"","삭제")</f>
        <v>삭제</v>
      </c>
      <c r="B33" s="43"/>
      <c r="C33" s="43"/>
      <c r="D33" s="43"/>
      <c r="E33" s="43"/>
      <c r="F33" s="50" t="e">
        <f ca="1">Calcu!AB37</f>
        <v>#N/A</v>
      </c>
      <c r="G33" s="50" t="s">
        <v>649</v>
      </c>
      <c r="H33" s="50" t="e">
        <f ca="1">Calcu!AE37</f>
        <v>#N/A</v>
      </c>
      <c r="J33" s="340" t="e">
        <f ca="1">Calcu!AC37</f>
        <v>#N/A</v>
      </c>
      <c r="K33" s="340" t="e">
        <f ca="1">Calcu!AD37</f>
        <v>#N/A</v>
      </c>
      <c r="L33" s="340" t="str">
        <f>LEFT(Calcu!AF37)</f>
        <v/>
      </c>
      <c r="M33" s="340" t="s">
        <v>650</v>
      </c>
      <c r="N33" s="340" t="s">
        <v>650</v>
      </c>
      <c r="O33" s="340" t="s">
        <v>651</v>
      </c>
      <c r="Q33" s="340" t="e">
        <f ca="1">Calcu!AG37</f>
        <v>#N/A</v>
      </c>
    </row>
    <row r="34" spans="1:17" ht="15" customHeight="1">
      <c r="A34" s="44" t="str">
        <f>IF(Calcu!B38=TRUE,"","삭제")</f>
        <v>삭제</v>
      </c>
      <c r="B34" s="43"/>
      <c r="C34" s="43"/>
      <c r="D34" s="43"/>
      <c r="E34" s="43"/>
      <c r="F34" s="50" t="e">
        <f ca="1">Calcu!AB38</f>
        <v>#N/A</v>
      </c>
      <c r="G34" s="50" t="s">
        <v>649</v>
      </c>
      <c r="H34" s="50" t="e">
        <f ca="1">Calcu!AE38</f>
        <v>#N/A</v>
      </c>
      <c r="J34" s="340" t="e">
        <f ca="1">Calcu!AC38</f>
        <v>#N/A</v>
      </c>
      <c r="K34" s="340" t="e">
        <f ca="1">Calcu!AD38</f>
        <v>#N/A</v>
      </c>
      <c r="L34" s="340" t="str">
        <f>LEFT(Calcu!AF38)</f>
        <v/>
      </c>
      <c r="M34" s="340" t="s">
        <v>650</v>
      </c>
      <c r="N34" s="340" t="s">
        <v>650</v>
      </c>
      <c r="O34" s="340" t="s">
        <v>651</v>
      </c>
      <c r="Q34" s="340" t="e">
        <f ca="1">Calcu!AG38</f>
        <v>#N/A</v>
      </c>
    </row>
    <row r="35" spans="1:17" ht="15" customHeight="1">
      <c r="A35" s="44" t="str">
        <f>IF(Calcu!B39=TRUE,"","삭제")</f>
        <v>삭제</v>
      </c>
      <c r="B35" s="43"/>
      <c r="C35" s="43"/>
      <c r="D35" s="43"/>
      <c r="E35" s="43"/>
      <c r="F35" s="50" t="e">
        <f ca="1">Calcu!AB39</f>
        <v>#N/A</v>
      </c>
      <c r="G35" s="50" t="s">
        <v>649</v>
      </c>
      <c r="H35" s="50" t="e">
        <f ca="1">Calcu!AE39</f>
        <v>#N/A</v>
      </c>
      <c r="J35" s="340" t="e">
        <f ca="1">Calcu!AC39</f>
        <v>#N/A</v>
      </c>
      <c r="K35" s="340" t="e">
        <f ca="1">Calcu!AD39</f>
        <v>#N/A</v>
      </c>
      <c r="L35" s="340" t="str">
        <f>LEFT(Calcu!AF39)</f>
        <v/>
      </c>
      <c r="M35" s="340" t="s">
        <v>650</v>
      </c>
      <c r="N35" s="340" t="s">
        <v>650</v>
      </c>
      <c r="O35" s="340" t="s">
        <v>651</v>
      </c>
      <c r="Q35" s="340" t="e">
        <f ca="1">Calcu!AG39</f>
        <v>#N/A</v>
      </c>
    </row>
    <row r="36" spans="1:17" ht="15" customHeight="1">
      <c r="A36" s="44" t="str">
        <f>IF(Calcu!B40=TRUE,"","삭제")</f>
        <v>삭제</v>
      </c>
      <c r="B36" s="43"/>
      <c r="C36" s="43"/>
      <c r="D36" s="43"/>
      <c r="E36" s="43"/>
      <c r="F36" s="50" t="e">
        <f ca="1">Calcu!AB40</f>
        <v>#N/A</v>
      </c>
      <c r="G36" s="50" t="s">
        <v>649</v>
      </c>
      <c r="H36" s="50" t="e">
        <f ca="1">Calcu!AE40</f>
        <v>#N/A</v>
      </c>
      <c r="J36" s="340" t="e">
        <f ca="1">Calcu!AC40</f>
        <v>#N/A</v>
      </c>
      <c r="K36" s="340" t="e">
        <f ca="1">Calcu!AD40</f>
        <v>#N/A</v>
      </c>
      <c r="L36" s="340" t="str">
        <f>LEFT(Calcu!AF40)</f>
        <v/>
      </c>
      <c r="M36" s="340" t="s">
        <v>650</v>
      </c>
      <c r="N36" s="340" t="s">
        <v>650</v>
      </c>
      <c r="O36" s="340" t="s">
        <v>651</v>
      </c>
      <c r="Q36" s="340" t="e">
        <f ca="1">Calcu!AG40</f>
        <v>#N/A</v>
      </c>
    </row>
    <row r="37" spans="1:17" ht="15" customHeight="1">
      <c r="A37" s="44" t="str">
        <f>IF(Calcu!B41=TRUE,"","삭제")</f>
        <v>삭제</v>
      </c>
      <c r="B37" s="43"/>
      <c r="C37" s="43"/>
      <c r="D37" s="43"/>
      <c r="E37" s="43"/>
      <c r="F37" s="50" t="e">
        <f ca="1">Calcu!AB41</f>
        <v>#N/A</v>
      </c>
      <c r="G37" s="50" t="s">
        <v>649</v>
      </c>
      <c r="H37" s="50" t="e">
        <f ca="1">Calcu!AE41</f>
        <v>#N/A</v>
      </c>
      <c r="J37" s="340" t="e">
        <f ca="1">Calcu!AC41</f>
        <v>#N/A</v>
      </c>
      <c r="K37" s="340" t="e">
        <f ca="1">Calcu!AD41</f>
        <v>#N/A</v>
      </c>
      <c r="L37" s="340" t="str">
        <f>LEFT(Calcu!AF41)</f>
        <v/>
      </c>
      <c r="M37" s="340" t="s">
        <v>650</v>
      </c>
      <c r="N37" s="340" t="s">
        <v>650</v>
      </c>
      <c r="O37" s="340" t="s">
        <v>651</v>
      </c>
      <c r="Q37" s="340" t="e">
        <f ca="1">Calcu!AG41</f>
        <v>#N/A</v>
      </c>
    </row>
    <row r="38" spans="1:17" ht="15" customHeight="1">
      <c r="A38" s="44"/>
      <c r="F38" s="50"/>
      <c r="G38" s="50"/>
      <c r="H38" s="50"/>
    </row>
    <row r="39" spans="1:17" ht="15" customHeight="1">
      <c r="A39" s="44"/>
      <c r="G39" s="52" t="e">
        <f>IF(Calcu!E71="사다리꼴","※ 신뢰수준 95 %,","※ 신뢰수준 약 95 %,")</f>
        <v>#N/A</v>
      </c>
      <c r="H39" s="409" t="e">
        <f ca="1">Calcu!E72&amp;IF(Calcu!E71="사다리꼴",", 사다리꼴 확률분포","")</f>
        <v>#N/A</v>
      </c>
      <c r="K39" s="49"/>
      <c r="Q39" s="52"/>
    </row>
    <row r="40" spans="1:17" ht="15" customHeight="1"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3"/>
    </row>
  </sheetData>
  <mergeCells count="13">
    <mergeCell ref="M15:O15"/>
    <mergeCell ref="P15:P16"/>
    <mergeCell ref="Q15:Q16"/>
    <mergeCell ref="A1:Q2"/>
    <mergeCell ref="B15:B16"/>
    <mergeCell ref="C15:C16"/>
    <mergeCell ref="D15:D16"/>
    <mergeCell ref="E15:E16"/>
    <mergeCell ref="F15:F16"/>
    <mergeCell ref="G15:G16"/>
    <mergeCell ref="H15:H16"/>
    <mergeCell ref="I15:I16"/>
    <mergeCell ref="J15:L15"/>
  </mergeCells>
  <phoneticPr fontId="4" type="noConversion"/>
  <printOptions horizontalCentered="1"/>
  <pageMargins left="0" right="0" top="0.35433070866141736" bottom="0.59055118110236227" header="0" footer="0"/>
  <pageSetup paperSize="9" fitToHeight="0" orientation="portrait" horizontalDpi="4294967292" verticalDpi="300" r:id="rId1"/>
  <headerFooter alignWithMargins="0">
    <oddHeader xml:space="preserve">&amp;R&amp;10
 페이지(page)    &amp;P  of   &amp;N         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32"/>
  <sheetViews>
    <sheetView showGridLines="0" showWhiteSpace="0" zoomScaleNormal="100" zoomScaleSheetLayoutView="100" workbookViewId="0">
      <selection activeCell="E9" sqref="E9"/>
    </sheetView>
  </sheetViews>
  <sheetFormatPr defaultColWidth="10.77734375" defaultRowHeight="15" customHeight="1"/>
  <cols>
    <col min="1" max="4" width="4.77734375" style="37" customWidth="1"/>
    <col min="5" max="8" width="9.77734375" style="37" customWidth="1"/>
    <col min="9" max="11" width="4.77734375" style="37" customWidth="1"/>
    <col min="12" max="12" width="4.77734375" style="91" customWidth="1"/>
    <col min="13" max="13" width="6.77734375" style="105" customWidth="1"/>
    <col min="14" max="16384" width="10.77734375" style="91"/>
  </cols>
  <sheetData>
    <row r="1" spans="1:13" s="78" customFormat="1" ht="33" customHeight="1">
      <c r="A1" s="501" t="s">
        <v>73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80"/>
    </row>
    <row r="2" spans="1:13" s="78" customFormat="1" ht="33" customHeight="1">
      <c r="A2" s="501"/>
      <c r="B2" s="501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80"/>
    </row>
    <row r="3" spans="1:13" s="78" customFormat="1" ht="12.75" customHeight="1">
      <c r="A3" s="47"/>
      <c r="B3" s="47"/>
      <c r="C3" s="47"/>
      <c r="D3" s="22"/>
      <c r="E3" s="22"/>
      <c r="F3" s="22"/>
      <c r="G3" s="22"/>
      <c r="H3" s="22"/>
      <c r="I3" s="22"/>
      <c r="J3" s="22"/>
      <c r="K3" s="22"/>
      <c r="L3" s="79"/>
      <c r="M3" s="104"/>
    </row>
    <row r="4" spans="1:13" s="80" customFormat="1" ht="13.5" customHeight="1">
      <c r="A4" s="88"/>
      <c r="B4" s="88"/>
      <c r="C4" s="88"/>
      <c r="D4" s="89"/>
      <c r="E4" s="89"/>
      <c r="F4" s="97"/>
      <c r="G4" s="89"/>
      <c r="H4" s="89"/>
      <c r="I4" s="98"/>
      <c r="J4" s="90"/>
      <c r="K4" s="97"/>
      <c r="L4" s="88"/>
      <c r="M4" s="36"/>
    </row>
    <row r="5" spans="1:13" s="81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</row>
    <row r="6" spans="1:13" s="83" customFormat="1" ht="15" customHeight="1">
      <c r="A6" s="43"/>
      <c r="D6" s="43"/>
      <c r="E6" s="38" t="s">
        <v>206</v>
      </c>
      <c r="F6" s="37"/>
      <c r="G6" s="51"/>
      <c r="H6" s="51"/>
      <c r="I6" s="51"/>
      <c r="J6" s="50"/>
      <c r="K6" s="37"/>
      <c r="L6" s="92"/>
    </row>
    <row r="7" spans="1:13" s="83" customFormat="1" ht="15" customHeight="1">
      <c r="A7" s="43"/>
      <c r="D7" s="43"/>
      <c r="E7" s="159" t="s">
        <v>163</v>
      </c>
      <c r="F7" s="159" t="s">
        <v>99</v>
      </c>
      <c r="G7" s="368" t="s">
        <v>98</v>
      </c>
      <c r="H7" s="499" t="s">
        <v>100</v>
      </c>
      <c r="I7" s="50"/>
    </row>
    <row r="8" spans="1:13" s="83" customFormat="1" ht="15" customHeight="1">
      <c r="A8" s="43"/>
      <c r="D8" s="43"/>
      <c r="E8" s="158" t="s">
        <v>207</v>
      </c>
      <c r="F8" s="158" t="s">
        <v>207</v>
      </c>
      <c r="G8" s="158" t="s">
        <v>207</v>
      </c>
      <c r="H8" s="500"/>
      <c r="I8" s="50"/>
    </row>
    <row r="9" spans="1:13" s="83" customFormat="1" ht="15" customHeight="1">
      <c r="A9" s="43" t="str">
        <f>IF(Calcu!B21=TRUE,"","삭제")</f>
        <v>삭제</v>
      </c>
      <c r="D9" s="43"/>
      <c r="E9" s="159" t="e">
        <f ca="1">Calcu!AB21</f>
        <v>#N/A</v>
      </c>
      <c r="F9" s="159" t="e">
        <f ca="1">Calcu!AC21</f>
        <v>#N/A</v>
      </c>
      <c r="G9" s="159" t="e">
        <f ca="1">Calcu!AE21</f>
        <v>#N/A</v>
      </c>
      <c r="H9" s="161" t="str">
        <f>Calcu!AF21</f>
        <v/>
      </c>
      <c r="I9" s="50"/>
    </row>
    <row r="10" spans="1:13" s="83" customFormat="1" ht="15" customHeight="1">
      <c r="A10" s="43" t="str">
        <f>IF(Calcu!B22=TRUE,"","삭제")</f>
        <v>삭제</v>
      </c>
      <c r="D10" s="43"/>
      <c r="E10" s="159" t="e">
        <f ca="1">Calcu!AB22</f>
        <v>#N/A</v>
      </c>
      <c r="F10" s="159" t="e">
        <f ca="1">Calcu!AC22</f>
        <v>#N/A</v>
      </c>
      <c r="G10" s="159" t="e">
        <f ca="1">Calcu!AE22</f>
        <v>#N/A</v>
      </c>
      <c r="H10" s="161" t="str">
        <f>Calcu!AF22</f>
        <v/>
      </c>
      <c r="I10" s="50"/>
    </row>
    <row r="11" spans="1:13" s="83" customFormat="1" ht="15" customHeight="1">
      <c r="A11" s="43" t="str">
        <f>IF(Calcu!B23=TRUE,"","삭제")</f>
        <v>삭제</v>
      </c>
      <c r="D11" s="43"/>
      <c r="E11" s="159" t="e">
        <f ca="1">Calcu!AB23</f>
        <v>#N/A</v>
      </c>
      <c r="F11" s="159" t="e">
        <f ca="1">Calcu!AC23</f>
        <v>#N/A</v>
      </c>
      <c r="G11" s="159" t="e">
        <f ca="1">Calcu!AE23</f>
        <v>#N/A</v>
      </c>
      <c r="H11" s="161" t="str">
        <f>Calcu!AF23</f>
        <v/>
      </c>
      <c r="I11" s="50"/>
    </row>
    <row r="12" spans="1:13" s="83" customFormat="1" ht="15" customHeight="1">
      <c r="A12" s="43" t="str">
        <f>IF(Calcu!B24=TRUE,"","삭제")</f>
        <v>삭제</v>
      </c>
      <c r="D12" s="43"/>
      <c r="E12" s="159" t="e">
        <f ca="1">Calcu!AB24</f>
        <v>#N/A</v>
      </c>
      <c r="F12" s="159" t="e">
        <f ca="1">Calcu!AC24</f>
        <v>#N/A</v>
      </c>
      <c r="G12" s="159" t="e">
        <f ca="1">Calcu!AE24</f>
        <v>#N/A</v>
      </c>
      <c r="H12" s="161" t="str">
        <f>Calcu!AF24</f>
        <v/>
      </c>
      <c r="I12" s="50"/>
    </row>
    <row r="13" spans="1:13" s="83" customFormat="1" ht="15" customHeight="1">
      <c r="A13" s="43" t="str">
        <f>IF(Calcu!B25=TRUE,"","삭제")</f>
        <v>삭제</v>
      </c>
      <c r="D13" s="43"/>
      <c r="E13" s="159" t="e">
        <f ca="1">Calcu!AB25</f>
        <v>#N/A</v>
      </c>
      <c r="F13" s="159" t="e">
        <f ca="1">Calcu!AC25</f>
        <v>#N/A</v>
      </c>
      <c r="G13" s="159" t="e">
        <f ca="1">Calcu!AE25</f>
        <v>#N/A</v>
      </c>
      <c r="H13" s="161" t="str">
        <f>Calcu!AF25</f>
        <v/>
      </c>
      <c r="I13" s="50"/>
    </row>
    <row r="14" spans="1:13" s="83" customFormat="1" ht="15" customHeight="1">
      <c r="A14" s="43" t="str">
        <f>IF(Calcu!B26=TRUE,"","삭제")</f>
        <v>삭제</v>
      </c>
      <c r="D14" s="43"/>
      <c r="E14" s="159" t="e">
        <f ca="1">Calcu!AB26</f>
        <v>#N/A</v>
      </c>
      <c r="F14" s="159" t="e">
        <f ca="1">Calcu!AC26</f>
        <v>#N/A</v>
      </c>
      <c r="G14" s="159" t="e">
        <f ca="1">Calcu!AE26</f>
        <v>#N/A</v>
      </c>
      <c r="H14" s="161" t="str">
        <f>Calcu!AF26</f>
        <v/>
      </c>
      <c r="I14" s="50"/>
    </row>
    <row r="15" spans="1:13" s="83" customFormat="1" ht="15" customHeight="1">
      <c r="A15" s="43" t="str">
        <f>IF(Calcu!B27=TRUE,"","삭제")</f>
        <v>삭제</v>
      </c>
      <c r="D15" s="43"/>
      <c r="E15" s="159" t="e">
        <f ca="1">Calcu!AB27</f>
        <v>#N/A</v>
      </c>
      <c r="F15" s="159" t="e">
        <f ca="1">Calcu!AC27</f>
        <v>#N/A</v>
      </c>
      <c r="G15" s="159" t="e">
        <f ca="1">Calcu!AE27</f>
        <v>#N/A</v>
      </c>
      <c r="H15" s="161" t="str">
        <f>Calcu!AF27</f>
        <v/>
      </c>
      <c r="I15" s="50"/>
    </row>
    <row r="16" spans="1:13" s="83" customFormat="1" ht="15" customHeight="1">
      <c r="A16" s="43" t="str">
        <f>IF(Calcu!B28=TRUE,"","삭제")</f>
        <v>삭제</v>
      </c>
      <c r="D16" s="43"/>
      <c r="E16" s="159" t="e">
        <f ca="1">Calcu!AB28</f>
        <v>#N/A</v>
      </c>
      <c r="F16" s="159" t="e">
        <f ca="1">Calcu!AC28</f>
        <v>#N/A</v>
      </c>
      <c r="G16" s="159" t="e">
        <f ca="1">Calcu!AE28</f>
        <v>#N/A</v>
      </c>
      <c r="H16" s="161" t="str">
        <f>Calcu!AF28</f>
        <v/>
      </c>
      <c r="I16" s="50"/>
    </row>
    <row r="17" spans="1:13" s="83" customFormat="1" ht="15" customHeight="1">
      <c r="A17" s="43" t="str">
        <f>IF(Calcu!B29=TRUE,"","삭제")</f>
        <v>삭제</v>
      </c>
      <c r="D17" s="43"/>
      <c r="E17" s="159" t="e">
        <f ca="1">Calcu!AB29</f>
        <v>#N/A</v>
      </c>
      <c r="F17" s="159" t="e">
        <f ca="1">Calcu!AC29</f>
        <v>#N/A</v>
      </c>
      <c r="G17" s="159" t="e">
        <f ca="1">Calcu!AE29</f>
        <v>#N/A</v>
      </c>
      <c r="H17" s="161" t="str">
        <f>Calcu!AF29</f>
        <v/>
      </c>
      <c r="I17" s="50"/>
    </row>
    <row r="18" spans="1:13" s="83" customFormat="1" ht="15" customHeight="1">
      <c r="A18" s="43" t="str">
        <f>IF(Calcu!B30=TRUE,"","삭제")</f>
        <v>삭제</v>
      </c>
      <c r="D18" s="43"/>
      <c r="E18" s="159" t="e">
        <f ca="1">Calcu!AB30</f>
        <v>#N/A</v>
      </c>
      <c r="F18" s="159" t="e">
        <f ca="1">Calcu!AC30</f>
        <v>#N/A</v>
      </c>
      <c r="G18" s="159" t="e">
        <f ca="1">Calcu!AE30</f>
        <v>#N/A</v>
      </c>
      <c r="H18" s="161" t="str">
        <f>Calcu!AF30</f>
        <v/>
      </c>
      <c r="I18" s="50"/>
    </row>
    <row r="19" spans="1:13" s="83" customFormat="1" ht="15" customHeight="1">
      <c r="A19" s="43" t="str">
        <f>IF(Calcu!B31=TRUE,"","삭제")</f>
        <v>삭제</v>
      </c>
      <c r="D19" s="43"/>
      <c r="E19" s="159" t="e">
        <f ca="1">Calcu!AB31</f>
        <v>#N/A</v>
      </c>
      <c r="F19" s="159" t="e">
        <f ca="1">Calcu!AC31</f>
        <v>#N/A</v>
      </c>
      <c r="G19" s="159" t="e">
        <f ca="1">Calcu!AE31</f>
        <v>#N/A</v>
      </c>
      <c r="H19" s="161" t="str">
        <f>Calcu!AF31</f>
        <v/>
      </c>
      <c r="I19" s="50"/>
    </row>
    <row r="20" spans="1:13" s="83" customFormat="1" ht="15" customHeight="1">
      <c r="A20" s="43" t="str">
        <f>IF(Calcu!B32=TRUE,"","삭제")</f>
        <v>삭제</v>
      </c>
      <c r="D20" s="43"/>
      <c r="E20" s="159" t="e">
        <f ca="1">Calcu!AB32</f>
        <v>#N/A</v>
      </c>
      <c r="F20" s="159" t="e">
        <f ca="1">Calcu!AC32</f>
        <v>#N/A</v>
      </c>
      <c r="G20" s="159" t="e">
        <f ca="1">Calcu!AE32</f>
        <v>#N/A</v>
      </c>
      <c r="H20" s="161" t="str">
        <f>Calcu!AF32</f>
        <v/>
      </c>
      <c r="I20" s="50"/>
    </row>
    <row r="21" spans="1:13" s="83" customFormat="1" ht="15" customHeight="1">
      <c r="A21" s="43" t="str">
        <f>IF(Calcu!B33=TRUE,"","삭제")</f>
        <v>삭제</v>
      </c>
      <c r="D21" s="43"/>
      <c r="E21" s="159" t="e">
        <f ca="1">Calcu!AB33</f>
        <v>#N/A</v>
      </c>
      <c r="F21" s="159" t="e">
        <f ca="1">Calcu!AC33</f>
        <v>#N/A</v>
      </c>
      <c r="G21" s="159" t="e">
        <f ca="1">Calcu!AE33</f>
        <v>#N/A</v>
      </c>
      <c r="H21" s="161" t="str">
        <f>Calcu!AF33</f>
        <v/>
      </c>
      <c r="I21" s="50"/>
    </row>
    <row r="22" spans="1:13" s="83" customFormat="1" ht="15" customHeight="1">
      <c r="A22" s="43" t="str">
        <f>IF(Calcu!B34=TRUE,"","삭제")</f>
        <v>삭제</v>
      </c>
      <c r="D22" s="43"/>
      <c r="E22" s="159" t="e">
        <f ca="1">Calcu!AB34</f>
        <v>#N/A</v>
      </c>
      <c r="F22" s="159" t="e">
        <f ca="1">Calcu!AC34</f>
        <v>#N/A</v>
      </c>
      <c r="G22" s="159" t="e">
        <f ca="1">Calcu!AE34</f>
        <v>#N/A</v>
      </c>
      <c r="H22" s="161" t="str">
        <f>Calcu!AF34</f>
        <v/>
      </c>
      <c r="I22" s="50"/>
    </row>
    <row r="23" spans="1:13" s="83" customFormat="1" ht="15" customHeight="1">
      <c r="A23" s="43" t="str">
        <f>IF(Calcu!B35=TRUE,"","삭제")</f>
        <v>삭제</v>
      </c>
      <c r="D23" s="43"/>
      <c r="E23" s="159" t="e">
        <f ca="1">Calcu!AB35</f>
        <v>#N/A</v>
      </c>
      <c r="F23" s="159" t="e">
        <f ca="1">Calcu!AC35</f>
        <v>#N/A</v>
      </c>
      <c r="G23" s="159" t="e">
        <f ca="1">Calcu!AE35</f>
        <v>#N/A</v>
      </c>
      <c r="H23" s="161" t="str">
        <f>Calcu!AF35</f>
        <v/>
      </c>
      <c r="I23" s="50"/>
    </row>
    <row r="24" spans="1:13" s="83" customFormat="1" ht="15" customHeight="1">
      <c r="A24" s="43" t="str">
        <f>IF(Calcu!B36=TRUE,"","삭제")</f>
        <v>삭제</v>
      </c>
      <c r="D24" s="43"/>
      <c r="E24" s="159" t="e">
        <f ca="1">Calcu!AB36</f>
        <v>#N/A</v>
      </c>
      <c r="F24" s="159" t="e">
        <f ca="1">Calcu!AC36</f>
        <v>#N/A</v>
      </c>
      <c r="G24" s="159" t="e">
        <f ca="1">Calcu!AE36</f>
        <v>#N/A</v>
      </c>
      <c r="H24" s="161" t="str">
        <f>Calcu!AF36</f>
        <v/>
      </c>
      <c r="I24" s="50"/>
    </row>
    <row r="25" spans="1:13" s="83" customFormat="1" ht="15" customHeight="1">
      <c r="A25" s="43" t="str">
        <f>IF(Calcu!B37=TRUE,"","삭제")</f>
        <v>삭제</v>
      </c>
      <c r="D25" s="43"/>
      <c r="E25" s="159" t="e">
        <f ca="1">Calcu!AB37</f>
        <v>#N/A</v>
      </c>
      <c r="F25" s="159" t="e">
        <f ca="1">Calcu!AC37</f>
        <v>#N/A</v>
      </c>
      <c r="G25" s="159" t="e">
        <f ca="1">Calcu!AE37</f>
        <v>#N/A</v>
      </c>
      <c r="H25" s="161" t="str">
        <f>Calcu!AF37</f>
        <v/>
      </c>
      <c r="I25" s="50"/>
    </row>
    <row r="26" spans="1:13" s="83" customFormat="1" ht="15" customHeight="1">
      <c r="A26" s="43" t="str">
        <f>IF(Calcu!B38=TRUE,"","삭제")</f>
        <v>삭제</v>
      </c>
      <c r="D26" s="43"/>
      <c r="E26" s="159" t="e">
        <f ca="1">Calcu!AB38</f>
        <v>#N/A</v>
      </c>
      <c r="F26" s="159" t="e">
        <f ca="1">Calcu!AC38</f>
        <v>#N/A</v>
      </c>
      <c r="G26" s="159" t="e">
        <f ca="1">Calcu!AE38</f>
        <v>#N/A</v>
      </c>
      <c r="H26" s="161" t="str">
        <f>Calcu!AF38</f>
        <v/>
      </c>
      <c r="I26" s="50"/>
    </row>
    <row r="27" spans="1:13" s="83" customFormat="1" ht="15" customHeight="1">
      <c r="A27" s="43" t="str">
        <f>IF(Calcu!B39=TRUE,"","삭제")</f>
        <v>삭제</v>
      </c>
      <c r="D27" s="43"/>
      <c r="E27" s="159" t="e">
        <f ca="1">Calcu!AB39</f>
        <v>#N/A</v>
      </c>
      <c r="F27" s="159" t="e">
        <f ca="1">Calcu!AC39</f>
        <v>#N/A</v>
      </c>
      <c r="G27" s="159" t="e">
        <f ca="1">Calcu!AE39</f>
        <v>#N/A</v>
      </c>
      <c r="H27" s="161" t="str">
        <f>Calcu!AF39</f>
        <v/>
      </c>
      <c r="I27" s="50"/>
    </row>
    <row r="28" spans="1:13" s="83" customFormat="1" ht="15" customHeight="1">
      <c r="A28" s="43" t="str">
        <f>IF(Calcu!B40=TRUE,"","삭제")</f>
        <v>삭제</v>
      </c>
      <c r="D28" s="43"/>
      <c r="E28" s="159" t="e">
        <f ca="1">Calcu!AB40</f>
        <v>#N/A</v>
      </c>
      <c r="F28" s="159" t="e">
        <f ca="1">Calcu!AC40</f>
        <v>#N/A</v>
      </c>
      <c r="G28" s="159" t="e">
        <f ca="1">Calcu!AE40</f>
        <v>#N/A</v>
      </c>
      <c r="H28" s="161" t="str">
        <f>Calcu!AF40</f>
        <v/>
      </c>
    </row>
    <row r="29" spans="1:13" s="83" customFormat="1" ht="15" customHeight="1">
      <c r="A29" s="43" t="str">
        <f>IF(Calcu!B41=TRUE,"","삭제")</f>
        <v>삭제</v>
      </c>
      <c r="D29" s="43"/>
      <c r="E29" s="159" t="e">
        <f ca="1">Calcu!AB41</f>
        <v>#N/A</v>
      </c>
      <c r="F29" s="159" t="e">
        <f ca="1">Calcu!AC41</f>
        <v>#N/A</v>
      </c>
      <c r="G29" s="159" t="e">
        <f ca="1">Calcu!AE41</f>
        <v>#N/A</v>
      </c>
      <c r="H29" s="160" t="str">
        <f>Calcu!AF41</f>
        <v/>
      </c>
    </row>
    <row r="30" spans="1:13" ht="15" customHeight="1">
      <c r="B30" s="91"/>
      <c r="C30" s="91"/>
      <c r="D30" s="72"/>
      <c r="E30" s="106"/>
      <c r="F30" s="106"/>
      <c r="G30" s="106"/>
      <c r="H30" s="106"/>
      <c r="I30" s="72"/>
      <c r="J30" s="105"/>
      <c r="K30" s="91"/>
      <c r="M30" s="91"/>
    </row>
    <row r="31" spans="1:13" ht="15" customHeight="1">
      <c r="J31" s="91"/>
      <c r="K31" s="105"/>
      <c r="M31" s="91"/>
    </row>
    <row r="32" spans="1:13" ht="15" customHeight="1">
      <c r="J32" s="91"/>
      <c r="K32" s="105"/>
      <c r="M32" s="91"/>
    </row>
  </sheetData>
  <mergeCells count="2">
    <mergeCell ref="H7:H8"/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>
    <oddHeader xml:space="preserve">&amp;R&amp;10
 페이지(page)    &amp;P  of   &amp;N         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showGridLines="0" showWhiteSpace="0" zoomScaleSheetLayoutView="100" workbookViewId="0">
      <selection sqref="A1:L2"/>
    </sheetView>
  </sheetViews>
  <sheetFormatPr defaultColWidth="10.77734375" defaultRowHeight="15" customHeight="1"/>
  <cols>
    <col min="1" max="2" width="5" style="37" customWidth="1"/>
    <col min="3" max="10" width="7.5546875" style="37" customWidth="1"/>
    <col min="11" max="11" width="5" style="37" customWidth="1"/>
    <col min="12" max="12" width="5" style="91" customWidth="1"/>
    <col min="13" max="16384" width="10.77734375" style="83"/>
  </cols>
  <sheetData>
    <row r="1" spans="1:12" s="78" customFormat="1" ht="33" customHeight="1">
      <c r="A1" s="501" t="s">
        <v>59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</row>
    <row r="2" spans="1:12" s="78" customFormat="1" ht="33" customHeight="1">
      <c r="A2" s="501"/>
      <c r="B2" s="501"/>
      <c r="C2" s="501"/>
      <c r="D2" s="501"/>
      <c r="E2" s="501"/>
      <c r="F2" s="501"/>
      <c r="G2" s="501"/>
      <c r="H2" s="501"/>
      <c r="I2" s="501"/>
      <c r="J2" s="501"/>
      <c r="K2" s="501"/>
      <c r="L2" s="501"/>
    </row>
    <row r="3" spans="1:12" s="78" customFormat="1" ht="12.75" customHeight="1">
      <c r="A3" s="47"/>
      <c r="B3" s="47"/>
      <c r="C3" s="22"/>
      <c r="D3" s="22"/>
      <c r="E3" s="22"/>
      <c r="F3" s="22"/>
      <c r="G3" s="22"/>
      <c r="H3" s="22"/>
      <c r="I3" s="22"/>
      <c r="J3" s="22"/>
      <c r="K3" s="22"/>
      <c r="L3" s="79"/>
    </row>
    <row r="4" spans="1:12" s="80" customFormat="1" ht="13.5" customHeight="1">
      <c r="A4" s="88"/>
      <c r="B4" s="88"/>
      <c r="C4" s="89"/>
      <c r="D4" s="89"/>
      <c r="E4" s="97"/>
      <c r="F4" s="89"/>
      <c r="G4" s="89"/>
      <c r="H4" s="98"/>
      <c r="I4" s="90"/>
      <c r="J4" s="97"/>
      <c r="K4" s="97"/>
      <c r="L4" s="88"/>
    </row>
    <row r="5" spans="1:12" s="82" customFormat="1" ht="15" customHeight="1">
      <c r="A5" s="36"/>
      <c r="B5" s="36"/>
      <c r="C5" s="36"/>
      <c r="D5" s="36"/>
      <c r="E5" s="36"/>
      <c r="F5" s="36"/>
      <c r="G5" s="36"/>
      <c r="H5" s="36"/>
      <c r="I5" s="36"/>
      <c r="J5" s="36"/>
      <c r="K5" s="36"/>
      <c r="L5" s="81"/>
    </row>
    <row r="6" spans="1:12" s="37" customFormat="1" ht="15" customHeight="1">
      <c r="C6" s="53" t="str">
        <f>"○ 품명 : "&amp;기본정보!C$5</f>
        <v xml:space="preserve">○ 품명 : </v>
      </c>
      <c r="L6" s="91"/>
    </row>
    <row r="7" spans="1:12" s="37" customFormat="1" ht="15" customHeight="1">
      <c r="C7" s="53" t="str">
        <f>"○ 제작회사 : "&amp;기본정보!C$6</f>
        <v xml:space="preserve">○ 제작회사 : </v>
      </c>
      <c r="L7" s="91"/>
    </row>
    <row r="8" spans="1:12" s="37" customFormat="1" ht="15" customHeight="1">
      <c r="C8" s="53" t="str">
        <f>"○ 형식 : "&amp;기본정보!C$7</f>
        <v xml:space="preserve">○ 형식 : </v>
      </c>
      <c r="L8" s="91"/>
    </row>
    <row r="9" spans="1:12" s="37" customFormat="1" ht="15" customHeight="1">
      <c r="C9" s="53" t="str">
        <f>"○ 기기번호 : "&amp;기본정보!C$8</f>
        <v xml:space="preserve">○ 기기번호 : </v>
      </c>
      <c r="L9" s="91"/>
    </row>
    <row r="10" spans="1:12" s="37" customFormat="1" ht="15" customHeight="1">
      <c r="L10" s="91"/>
    </row>
    <row r="11" spans="1:12" ht="15" customHeight="1">
      <c r="B11" s="72"/>
      <c r="C11" s="106"/>
      <c r="D11" s="106"/>
      <c r="E11" s="106"/>
      <c r="F11" s="106"/>
      <c r="G11" s="106"/>
      <c r="H11" s="107"/>
      <c r="I11" s="107"/>
      <c r="J11" s="106"/>
      <c r="K11" s="72"/>
    </row>
  </sheetData>
  <mergeCells count="1">
    <mergeCell ref="A1:L2"/>
  </mergeCells>
  <phoneticPr fontId="4" type="noConversion"/>
  <printOptions horizontalCentered="1"/>
  <pageMargins left="0" right="0" top="0.35433070866141736" bottom="0.59055118110236227" header="0" footer="0"/>
  <pageSetup paperSize="9" orientation="portrait" horizontalDpi="4294967292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47"/>
  <sheetViews>
    <sheetView showGridLines="0" zoomScaleNormal="100" workbookViewId="0"/>
  </sheetViews>
  <sheetFormatPr defaultColWidth="8.88671875" defaultRowHeight="13.5" customHeight="1"/>
  <cols>
    <col min="1" max="1" width="3.77734375" style="30" customWidth="1"/>
    <col min="2" max="2" width="8.77734375" style="30" customWidth="1"/>
    <col min="3" max="4" width="8.77734375" style="31" customWidth="1"/>
    <col min="5" max="5" width="8.77734375" style="26" customWidth="1"/>
    <col min="6" max="8" width="8.77734375" style="27" customWidth="1"/>
    <col min="9" max="9" width="10.44140625" style="27" customWidth="1"/>
    <col min="10" max="10" width="3.77734375" style="45" customWidth="1"/>
    <col min="11" max="12" width="10.44140625" style="45" customWidth="1"/>
    <col min="13" max="16" width="8.88671875" style="45" customWidth="1"/>
    <col min="17" max="19" width="8.88671875" style="45"/>
    <col min="20" max="16384" width="8.88671875" style="29"/>
  </cols>
  <sheetData>
    <row r="1" spans="1:30" s="65" customFormat="1" ht="25.5">
      <c r="A1" s="62" t="s">
        <v>534</v>
      </c>
      <c r="B1" s="31"/>
      <c r="C1" s="31"/>
      <c r="D1" s="31"/>
      <c r="E1" s="63"/>
      <c r="F1" s="27"/>
      <c r="G1" s="27"/>
      <c r="H1" s="27"/>
      <c r="I1" s="27"/>
      <c r="J1" s="27"/>
      <c r="K1" s="64"/>
      <c r="L1" s="360"/>
      <c r="M1" s="360"/>
      <c r="N1" s="360"/>
      <c r="O1" s="360"/>
      <c r="P1" s="360"/>
      <c r="Q1" s="360"/>
      <c r="R1" s="360"/>
      <c r="S1" s="360"/>
      <c r="T1" s="360"/>
      <c r="U1" s="360"/>
      <c r="V1" s="360"/>
      <c r="W1" s="360"/>
      <c r="X1" s="360"/>
      <c r="Y1" s="360"/>
      <c r="Z1" s="360"/>
      <c r="AA1" s="360"/>
      <c r="AB1" s="360"/>
      <c r="AC1" s="360"/>
      <c r="AD1" s="360"/>
    </row>
    <row r="2" spans="1:30" s="28" customFormat="1" ht="15" customHeight="1">
      <c r="A2" s="25"/>
      <c r="B2" s="25"/>
      <c r="C2" s="25"/>
      <c r="D2" s="25"/>
      <c r="E2" s="25"/>
      <c r="F2" s="25"/>
      <c r="G2" s="25"/>
      <c r="H2" s="25"/>
      <c r="I2" s="25"/>
    </row>
    <row r="3" spans="1:30" s="28" customFormat="1" ht="15" customHeight="1">
      <c r="A3" s="361"/>
      <c r="B3" s="362" t="s">
        <v>535</v>
      </c>
      <c r="C3" s="100">
        <f>기본정보!C3</f>
        <v>0</v>
      </c>
      <c r="D3" s="362" t="s">
        <v>536</v>
      </c>
      <c r="E3" s="504">
        <f>기본정보!H3</f>
        <v>0</v>
      </c>
      <c r="F3" s="505"/>
      <c r="G3" s="362" t="s">
        <v>537</v>
      </c>
      <c r="H3" s="102">
        <f>기본정보!H8</f>
        <v>0</v>
      </c>
      <c r="I3" s="25"/>
    </row>
    <row r="4" spans="1:30" s="28" customFormat="1" ht="15" customHeight="1">
      <c r="A4" s="361"/>
      <c r="B4" s="362" t="s">
        <v>538</v>
      </c>
      <c r="C4" s="101">
        <f>기본정보!C8</f>
        <v>0</v>
      </c>
      <c r="D4" s="362" t="s">
        <v>539</v>
      </c>
      <c r="E4" s="502">
        <f>기본정보!H4</f>
        <v>0</v>
      </c>
      <c r="F4" s="503"/>
      <c r="G4" s="362" t="s">
        <v>540</v>
      </c>
      <c r="H4" s="102">
        <f>기본정보!H9</f>
        <v>0</v>
      </c>
      <c r="I4" s="25"/>
    </row>
    <row r="5" spans="1:30" s="28" customFormat="1" ht="15" customHeight="1">
      <c r="A5" s="361"/>
      <c r="D5" s="25"/>
      <c r="E5" s="25"/>
      <c r="F5" s="25"/>
      <c r="G5" s="25"/>
      <c r="H5" s="25"/>
      <c r="I5" s="25"/>
    </row>
    <row r="6" spans="1:30" s="28" customFormat="1" ht="15" customHeight="1">
      <c r="A6" s="361"/>
      <c r="B6" s="361" t="s">
        <v>567</v>
      </c>
      <c r="D6" s="25"/>
      <c r="E6" s="25"/>
      <c r="F6" s="25"/>
      <c r="G6" s="25"/>
      <c r="H6" s="25"/>
      <c r="I6" s="25"/>
    </row>
    <row r="7" spans="1:30" s="28" customFormat="1" ht="15" customHeight="1">
      <c r="A7" s="361"/>
      <c r="B7" s="362" t="s">
        <v>541</v>
      </c>
      <c r="C7" s="362" t="s">
        <v>542</v>
      </c>
      <c r="D7" s="362" t="s">
        <v>543</v>
      </c>
      <c r="E7" s="25"/>
      <c r="F7" s="25"/>
      <c r="G7" s="25"/>
      <c r="H7" s="25"/>
      <c r="I7" s="25"/>
    </row>
    <row r="8" spans="1:30" s="28" customFormat="1" ht="15" customHeight="1">
      <c r="A8" s="361"/>
      <c r="B8" s="100">
        <f>Calcu!E3</f>
        <v>0</v>
      </c>
      <c r="C8" s="100">
        <f>Calcu!F3</f>
        <v>0</v>
      </c>
      <c r="D8" s="100">
        <f>Calcu!H3</f>
        <v>0</v>
      </c>
      <c r="E8" s="25"/>
      <c r="F8" s="25"/>
      <c r="G8" s="25"/>
      <c r="H8" s="25"/>
      <c r="I8" s="25"/>
    </row>
    <row r="9" spans="1:30" s="28" customFormat="1" ht="15" customHeight="1">
      <c r="A9" s="361"/>
      <c r="B9" s="25"/>
      <c r="C9" s="25"/>
      <c r="D9" s="25"/>
      <c r="E9" s="25"/>
      <c r="F9" s="25"/>
      <c r="G9" s="25"/>
      <c r="H9" s="25"/>
      <c r="I9" s="25"/>
    </row>
    <row r="10" spans="1:30" s="28" customFormat="1" ht="15" customHeight="1">
      <c r="A10" s="361"/>
      <c r="B10" s="103" t="s">
        <v>544</v>
      </c>
      <c r="C10" s="25"/>
      <c r="D10" s="25"/>
      <c r="E10" s="25"/>
      <c r="F10" s="25"/>
      <c r="G10" s="25"/>
      <c r="H10" s="25"/>
      <c r="I10" s="25"/>
    </row>
    <row r="11" spans="1:30" s="28" customFormat="1" ht="15" customHeight="1">
      <c r="A11" s="361"/>
      <c r="B11" s="103" t="s">
        <v>545</v>
      </c>
      <c r="C11" s="25"/>
      <c r="D11" s="25"/>
      <c r="E11" s="25"/>
      <c r="F11" s="25"/>
      <c r="G11" s="25"/>
      <c r="H11" s="25"/>
      <c r="I11" s="25"/>
    </row>
    <row r="12" spans="1:30" s="28" customFormat="1" ht="15" customHeight="1">
      <c r="A12" s="361"/>
      <c r="B12" s="511" t="s">
        <v>546</v>
      </c>
      <c r="C12" s="513" t="s">
        <v>547</v>
      </c>
      <c r="D12" s="514"/>
      <c r="E12" s="25"/>
      <c r="F12" s="25"/>
      <c r="G12" s="25"/>
      <c r="H12" s="25"/>
      <c r="I12" s="25"/>
    </row>
    <row r="13" spans="1:30" s="28" customFormat="1" ht="15" customHeight="1">
      <c r="A13" s="361"/>
      <c r="B13" s="512"/>
      <c r="C13" s="362" t="s">
        <v>548</v>
      </c>
      <c r="D13" s="362" t="s">
        <v>549</v>
      </c>
      <c r="E13" s="25"/>
      <c r="F13" s="25"/>
      <c r="G13" s="25"/>
      <c r="H13" s="25"/>
      <c r="I13" s="25"/>
    </row>
    <row r="14" spans="1:30" s="28" customFormat="1" ht="15" customHeight="1">
      <c r="A14" s="361"/>
      <c r="B14" s="100" t="s">
        <v>550</v>
      </c>
      <c r="C14" s="100">
        <f>Calcu!C7</f>
        <v>0</v>
      </c>
      <c r="D14" s="100">
        <f>Calcu!D7</f>
        <v>0</v>
      </c>
      <c r="E14" s="25"/>
      <c r="F14" s="25"/>
      <c r="G14" s="25"/>
      <c r="H14" s="25"/>
      <c r="I14" s="25"/>
    </row>
    <row r="15" spans="1:30" s="28" customFormat="1" ht="15" customHeight="1">
      <c r="A15" s="361"/>
      <c r="B15" s="100" t="s">
        <v>551</v>
      </c>
      <c r="C15" s="100">
        <f>Calcu!C8</f>
        <v>0</v>
      </c>
      <c r="D15" s="100">
        <f>Calcu!D8</f>
        <v>0</v>
      </c>
      <c r="E15" s="25"/>
      <c r="F15" s="25"/>
      <c r="G15" s="25"/>
      <c r="H15" s="25"/>
      <c r="I15" s="25"/>
    </row>
    <row r="16" spans="1:30" s="28" customFormat="1" ht="15" customHeight="1">
      <c r="A16" s="361"/>
      <c r="B16" s="103"/>
      <c r="C16" s="25"/>
      <c r="D16" s="25"/>
      <c r="E16" s="25"/>
      <c r="F16" s="25"/>
      <c r="G16" s="25"/>
      <c r="H16" s="25"/>
      <c r="I16" s="25"/>
    </row>
    <row r="17" spans="1:13" s="28" customFormat="1" ht="15" customHeight="1">
      <c r="A17" s="361"/>
      <c r="B17" s="103" t="s">
        <v>566</v>
      </c>
      <c r="C17" s="25"/>
      <c r="D17" s="25"/>
      <c r="E17" s="25"/>
      <c r="F17" s="25"/>
      <c r="G17" s="25"/>
      <c r="H17" s="25"/>
      <c r="I17" s="25"/>
    </row>
    <row r="18" spans="1:13" s="28" customFormat="1" ht="15" customHeight="1">
      <c r="A18" s="361"/>
      <c r="B18" s="511" t="s">
        <v>546</v>
      </c>
      <c r="C18" s="513" t="s">
        <v>552</v>
      </c>
      <c r="D18" s="515"/>
      <c r="E18" s="515"/>
      <c r="F18" s="514"/>
      <c r="G18" s="25"/>
      <c r="H18" s="25"/>
      <c r="I18" s="25"/>
    </row>
    <row r="19" spans="1:13" s="28" customFormat="1" ht="22.5">
      <c r="A19" s="361"/>
      <c r="B19" s="512"/>
      <c r="C19" s="363" t="s">
        <v>553</v>
      </c>
      <c r="D19" s="363" t="s">
        <v>554</v>
      </c>
      <c r="E19" s="363" t="s">
        <v>555</v>
      </c>
      <c r="F19" s="363" t="s">
        <v>556</v>
      </c>
      <c r="G19" s="25"/>
      <c r="H19" s="25"/>
      <c r="I19" s="25"/>
    </row>
    <row r="20" spans="1:13" s="28" customFormat="1" ht="15" customHeight="1">
      <c r="A20" s="361"/>
      <c r="B20" s="100" t="s">
        <v>557</v>
      </c>
      <c r="C20" s="100">
        <f>Calcu!C12</f>
        <v>0</v>
      </c>
      <c r="D20" s="100">
        <f>Calcu!D12</f>
        <v>0</v>
      </c>
      <c r="E20" s="100">
        <f>Calcu!E12</f>
        <v>0</v>
      </c>
      <c r="F20" s="100">
        <f>Calcu!F12</f>
        <v>0</v>
      </c>
      <c r="G20" s="25"/>
      <c r="H20" s="25"/>
      <c r="I20" s="25"/>
    </row>
    <row r="21" spans="1:13" s="28" customFormat="1" ht="15" customHeight="1">
      <c r="A21" s="361"/>
      <c r="B21" s="100" t="s">
        <v>558</v>
      </c>
      <c r="C21" s="100">
        <f>Calcu!C13</f>
        <v>0</v>
      </c>
      <c r="D21" s="100">
        <f>Calcu!D13</f>
        <v>0</v>
      </c>
      <c r="E21" s="100">
        <f>Calcu!E13</f>
        <v>0</v>
      </c>
      <c r="F21" s="100">
        <f>Calcu!F13</f>
        <v>0</v>
      </c>
      <c r="G21" s="25"/>
      <c r="H21" s="25"/>
      <c r="I21" s="25"/>
    </row>
    <row r="22" spans="1:13" s="28" customFormat="1" ht="15" customHeight="1">
      <c r="A22" s="361"/>
      <c r="B22" s="103"/>
      <c r="C22" s="25"/>
      <c r="D22" s="25"/>
      <c r="E22" s="25"/>
      <c r="F22" s="25"/>
      <c r="G22" s="25"/>
      <c r="H22" s="25"/>
      <c r="I22" s="25"/>
    </row>
    <row r="23" spans="1:13" ht="13.5" customHeight="1">
      <c r="A23" s="29"/>
      <c r="B23" s="103" t="s">
        <v>568</v>
      </c>
      <c r="F23" s="25"/>
      <c r="G23" s="25"/>
      <c r="H23" s="25"/>
      <c r="I23" s="25"/>
      <c r="J23" s="28"/>
      <c r="K23" s="28"/>
      <c r="L23" s="28"/>
      <c r="M23" s="28"/>
    </row>
    <row r="24" spans="1:13" ht="13.5" customHeight="1">
      <c r="B24" s="506" t="s">
        <v>559</v>
      </c>
      <c r="C24" s="508" t="s">
        <v>560</v>
      </c>
      <c r="D24" s="509"/>
      <c r="E24" s="509"/>
      <c r="F24" s="509"/>
      <c r="G24" s="510"/>
      <c r="H24" s="25"/>
      <c r="I24" s="25"/>
      <c r="J24" s="28"/>
      <c r="K24" s="28"/>
      <c r="L24" s="28"/>
      <c r="M24" s="28"/>
    </row>
    <row r="25" spans="1:13" ht="13.5" customHeight="1">
      <c r="B25" s="507"/>
      <c r="C25" s="362" t="s">
        <v>561</v>
      </c>
      <c r="D25" s="362" t="s">
        <v>562</v>
      </c>
      <c r="E25" s="362" t="s">
        <v>563</v>
      </c>
      <c r="F25" s="362" t="s">
        <v>564</v>
      </c>
      <c r="G25" s="362" t="s">
        <v>565</v>
      </c>
      <c r="H25" s="25"/>
      <c r="I25" s="25"/>
      <c r="J25" s="28"/>
      <c r="K25" s="28"/>
      <c r="L25" s="28"/>
      <c r="M25" s="28"/>
    </row>
    <row r="26" spans="1:13" ht="13.5" customHeight="1">
      <c r="B26" s="362">
        <f>D8</f>
        <v>0</v>
      </c>
      <c r="C26" s="362">
        <f t="shared" ref="C26:G26" si="0">B26</f>
        <v>0</v>
      </c>
      <c r="D26" s="362">
        <f t="shared" si="0"/>
        <v>0</v>
      </c>
      <c r="E26" s="362">
        <f t="shared" si="0"/>
        <v>0</v>
      </c>
      <c r="F26" s="362">
        <f t="shared" si="0"/>
        <v>0</v>
      </c>
      <c r="G26" s="362">
        <f t="shared" si="0"/>
        <v>0</v>
      </c>
      <c r="H26" s="25"/>
      <c r="I26" s="25"/>
      <c r="J26" s="28"/>
      <c r="K26" s="28"/>
      <c r="L26" s="28"/>
      <c r="M26" s="28"/>
    </row>
    <row r="27" spans="1:13" ht="13.5" customHeight="1">
      <c r="B27" s="100" t="str">
        <f>Calcu!C21</f>
        <v/>
      </c>
      <c r="C27" s="100" t="str">
        <f>IF(Calcu!$B21=FALSE,"",TEXT(Calcu!E21,Calcu!$Q$61))</f>
        <v/>
      </c>
      <c r="D27" s="100" t="str">
        <f>IF(Calcu!$B21=FALSE,"",TEXT(Calcu!F21,Calcu!$Q$61))</f>
        <v/>
      </c>
      <c r="E27" s="100" t="str">
        <f>IF(Calcu!$B21=FALSE,"",TEXT(Calcu!G21,Calcu!$Q$61))</f>
        <v/>
      </c>
      <c r="F27" s="100" t="str">
        <f>IF(Calcu!$B21=FALSE,"",TEXT(Calcu!H21,Calcu!$Q$61))</f>
        <v/>
      </c>
      <c r="G27" s="100" t="str">
        <f>IF(Calcu!$B21=FALSE,"",TEXT(Calcu!I21,Calcu!$Q$61))</f>
        <v/>
      </c>
      <c r="H27" s="25"/>
      <c r="I27" s="25"/>
      <c r="J27" s="28"/>
      <c r="K27" s="28"/>
      <c r="L27" s="28"/>
      <c r="M27" s="28"/>
    </row>
    <row r="28" spans="1:13" ht="13.5" customHeight="1">
      <c r="B28" s="100" t="str">
        <f>Calcu!C22</f>
        <v/>
      </c>
      <c r="C28" s="100" t="str">
        <f>IF(Calcu!$B22=FALSE,"",TEXT(Calcu!E22,Calcu!$Q$61))</f>
        <v/>
      </c>
      <c r="D28" s="100" t="str">
        <f>IF(Calcu!$B22=FALSE,"",TEXT(Calcu!F22,Calcu!$Q$61))</f>
        <v/>
      </c>
      <c r="E28" s="100" t="str">
        <f>IF(Calcu!$B22=FALSE,"",TEXT(Calcu!G22,Calcu!$Q$61))</f>
        <v/>
      </c>
      <c r="F28" s="100" t="str">
        <f>IF(Calcu!$B22=FALSE,"",TEXT(Calcu!H22,Calcu!$Q$61))</f>
        <v/>
      </c>
      <c r="G28" s="100" t="str">
        <f>IF(Calcu!$B22=FALSE,"",TEXT(Calcu!I22,Calcu!$Q$61))</f>
        <v/>
      </c>
      <c r="H28" s="25"/>
      <c r="I28" s="25"/>
      <c r="J28" s="28"/>
      <c r="K28" s="28"/>
      <c r="L28" s="28"/>
      <c r="M28" s="28"/>
    </row>
    <row r="29" spans="1:13" ht="13.5" customHeight="1">
      <c r="B29" s="100" t="str">
        <f>Calcu!C23</f>
        <v/>
      </c>
      <c r="C29" s="100" t="str">
        <f>IF(Calcu!$B23=FALSE,"",TEXT(Calcu!E23,Calcu!$Q$61))</f>
        <v/>
      </c>
      <c r="D29" s="100" t="str">
        <f>IF(Calcu!$B23=FALSE,"",TEXT(Calcu!F23,Calcu!$Q$61))</f>
        <v/>
      </c>
      <c r="E29" s="100" t="str">
        <f>IF(Calcu!$B23=FALSE,"",TEXT(Calcu!G23,Calcu!$Q$61))</f>
        <v/>
      </c>
      <c r="F29" s="100" t="str">
        <f>IF(Calcu!$B23=FALSE,"",TEXT(Calcu!H23,Calcu!$Q$61))</f>
        <v/>
      </c>
      <c r="G29" s="100" t="str">
        <f>IF(Calcu!$B23=FALSE,"",TEXT(Calcu!I23,Calcu!$Q$61))</f>
        <v/>
      </c>
      <c r="H29" s="25"/>
      <c r="I29" s="25"/>
      <c r="J29" s="28"/>
      <c r="K29" s="28"/>
      <c r="L29" s="28"/>
      <c r="M29" s="28"/>
    </row>
    <row r="30" spans="1:13" ht="13.5" customHeight="1">
      <c r="B30" s="100" t="str">
        <f>Calcu!C24</f>
        <v/>
      </c>
      <c r="C30" s="100" t="str">
        <f>IF(Calcu!$B24=FALSE,"",TEXT(Calcu!E24,Calcu!$Q$61))</f>
        <v/>
      </c>
      <c r="D30" s="100" t="str">
        <f>IF(Calcu!$B24=FALSE,"",TEXT(Calcu!F24,Calcu!$Q$61))</f>
        <v/>
      </c>
      <c r="E30" s="100" t="str">
        <f>IF(Calcu!$B24=FALSE,"",TEXT(Calcu!G24,Calcu!$Q$61))</f>
        <v/>
      </c>
      <c r="F30" s="100" t="str">
        <f>IF(Calcu!$B24=FALSE,"",TEXT(Calcu!H24,Calcu!$Q$61))</f>
        <v/>
      </c>
      <c r="G30" s="100" t="str">
        <f>IF(Calcu!$B24=FALSE,"",TEXT(Calcu!I24,Calcu!$Q$61))</f>
        <v/>
      </c>
      <c r="H30" s="25"/>
      <c r="I30" s="25"/>
      <c r="J30" s="28"/>
      <c r="K30" s="28"/>
      <c r="L30" s="28"/>
      <c r="M30" s="28"/>
    </row>
    <row r="31" spans="1:13" ht="13.5" customHeight="1">
      <c r="B31" s="100" t="str">
        <f>Calcu!C25</f>
        <v/>
      </c>
      <c r="C31" s="100" t="str">
        <f>IF(Calcu!$B25=FALSE,"",TEXT(Calcu!E25,Calcu!$Q$61))</f>
        <v/>
      </c>
      <c r="D31" s="100" t="str">
        <f>IF(Calcu!$B25=FALSE,"",TEXT(Calcu!F25,Calcu!$Q$61))</f>
        <v/>
      </c>
      <c r="E31" s="100" t="str">
        <f>IF(Calcu!$B25=FALSE,"",TEXT(Calcu!G25,Calcu!$Q$61))</f>
        <v/>
      </c>
      <c r="F31" s="100" t="str">
        <f>IF(Calcu!$B25=FALSE,"",TEXT(Calcu!H25,Calcu!$Q$61))</f>
        <v/>
      </c>
      <c r="G31" s="100" t="str">
        <f>IF(Calcu!$B25=FALSE,"",TEXT(Calcu!I25,Calcu!$Q$61))</f>
        <v/>
      </c>
      <c r="H31" s="25"/>
      <c r="I31" s="25"/>
      <c r="J31" s="28"/>
      <c r="K31" s="28"/>
      <c r="L31" s="28"/>
      <c r="M31" s="28"/>
    </row>
    <row r="32" spans="1:13" ht="13.5" customHeight="1">
      <c r="B32" s="100" t="str">
        <f>Calcu!C26</f>
        <v/>
      </c>
      <c r="C32" s="100" t="str">
        <f>IF(Calcu!$B26=FALSE,"",TEXT(Calcu!E26,Calcu!$Q$61))</f>
        <v/>
      </c>
      <c r="D32" s="100" t="str">
        <f>IF(Calcu!$B26=FALSE,"",TEXT(Calcu!F26,Calcu!$Q$61))</f>
        <v/>
      </c>
      <c r="E32" s="100" t="str">
        <f>IF(Calcu!$B26=FALSE,"",TEXT(Calcu!G26,Calcu!$Q$61))</f>
        <v/>
      </c>
      <c r="F32" s="100" t="str">
        <f>IF(Calcu!$B26=FALSE,"",TEXT(Calcu!H26,Calcu!$Q$61))</f>
        <v/>
      </c>
      <c r="G32" s="100" t="str">
        <f>IF(Calcu!$B26=FALSE,"",TEXT(Calcu!I26,Calcu!$Q$61))</f>
        <v/>
      </c>
      <c r="H32" s="25"/>
      <c r="I32" s="25"/>
      <c r="J32" s="28"/>
      <c r="K32" s="28"/>
      <c r="L32" s="28"/>
      <c r="M32" s="28"/>
    </row>
    <row r="33" spans="2:7" ht="13.5" customHeight="1">
      <c r="B33" s="100" t="str">
        <f>Calcu!C27</f>
        <v/>
      </c>
      <c r="C33" s="100" t="str">
        <f>IF(Calcu!$B27=FALSE,"",TEXT(Calcu!E27,Calcu!$Q$61))</f>
        <v/>
      </c>
      <c r="D33" s="100" t="str">
        <f>IF(Calcu!$B27=FALSE,"",TEXT(Calcu!F27,Calcu!$Q$61))</f>
        <v/>
      </c>
      <c r="E33" s="100" t="str">
        <f>IF(Calcu!$B27=FALSE,"",TEXT(Calcu!G27,Calcu!$Q$61))</f>
        <v/>
      </c>
      <c r="F33" s="100" t="str">
        <f>IF(Calcu!$B27=FALSE,"",TEXT(Calcu!H27,Calcu!$Q$61))</f>
        <v/>
      </c>
      <c r="G33" s="100" t="str">
        <f>IF(Calcu!$B27=FALSE,"",TEXT(Calcu!I27,Calcu!$Q$61))</f>
        <v/>
      </c>
    </row>
    <row r="34" spans="2:7" ht="13.5" customHeight="1">
      <c r="B34" s="100" t="str">
        <f>Calcu!C28</f>
        <v/>
      </c>
      <c r="C34" s="100" t="str">
        <f>IF(Calcu!$B28=FALSE,"",TEXT(Calcu!E28,Calcu!$Q$61))</f>
        <v/>
      </c>
      <c r="D34" s="100" t="str">
        <f>IF(Calcu!$B28=FALSE,"",TEXT(Calcu!F28,Calcu!$Q$61))</f>
        <v/>
      </c>
      <c r="E34" s="100" t="str">
        <f>IF(Calcu!$B28=FALSE,"",TEXT(Calcu!G28,Calcu!$Q$61))</f>
        <v/>
      </c>
      <c r="F34" s="100" t="str">
        <f>IF(Calcu!$B28=FALSE,"",TEXT(Calcu!H28,Calcu!$Q$61))</f>
        <v/>
      </c>
      <c r="G34" s="100" t="str">
        <f>IF(Calcu!$B28=FALSE,"",TEXT(Calcu!I28,Calcu!$Q$61))</f>
        <v/>
      </c>
    </row>
    <row r="35" spans="2:7" ht="13.5" customHeight="1">
      <c r="B35" s="100" t="str">
        <f>Calcu!C29</f>
        <v/>
      </c>
      <c r="C35" s="100" t="str">
        <f>IF(Calcu!$B29=FALSE,"",TEXT(Calcu!E29,Calcu!$Q$61))</f>
        <v/>
      </c>
      <c r="D35" s="100" t="str">
        <f>IF(Calcu!$B29=FALSE,"",TEXT(Calcu!F29,Calcu!$Q$61))</f>
        <v/>
      </c>
      <c r="E35" s="100" t="str">
        <f>IF(Calcu!$B29=FALSE,"",TEXT(Calcu!G29,Calcu!$Q$61))</f>
        <v/>
      </c>
      <c r="F35" s="100" t="str">
        <f>IF(Calcu!$B29=FALSE,"",TEXT(Calcu!H29,Calcu!$Q$61))</f>
        <v/>
      </c>
      <c r="G35" s="100" t="str">
        <f>IF(Calcu!$B29=FALSE,"",TEXT(Calcu!I29,Calcu!$Q$61))</f>
        <v/>
      </c>
    </row>
    <row r="36" spans="2:7" ht="13.5" customHeight="1">
      <c r="B36" s="100" t="str">
        <f>Calcu!C30</f>
        <v/>
      </c>
      <c r="C36" s="100" t="str">
        <f>IF(Calcu!$B30=FALSE,"",TEXT(Calcu!E30,Calcu!$Q$61))</f>
        <v/>
      </c>
      <c r="D36" s="100" t="str">
        <f>IF(Calcu!$B30=FALSE,"",TEXT(Calcu!F30,Calcu!$Q$61))</f>
        <v/>
      </c>
      <c r="E36" s="100" t="str">
        <f>IF(Calcu!$B30=FALSE,"",TEXT(Calcu!G30,Calcu!$Q$61))</f>
        <v/>
      </c>
      <c r="F36" s="100" t="str">
        <f>IF(Calcu!$B30=FALSE,"",TEXT(Calcu!H30,Calcu!$Q$61))</f>
        <v/>
      </c>
      <c r="G36" s="100" t="str">
        <f>IF(Calcu!$B30=FALSE,"",TEXT(Calcu!I30,Calcu!$Q$61))</f>
        <v/>
      </c>
    </row>
    <row r="37" spans="2:7" ht="13.5" customHeight="1">
      <c r="B37" s="100" t="str">
        <f>Calcu!C31</f>
        <v/>
      </c>
      <c r="C37" s="100" t="str">
        <f>IF(Calcu!$B31=FALSE,"",TEXT(Calcu!E31,Calcu!$Q$61))</f>
        <v/>
      </c>
      <c r="D37" s="100" t="str">
        <f>IF(Calcu!$B31=FALSE,"",TEXT(Calcu!F31,Calcu!$Q$61))</f>
        <v/>
      </c>
      <c r="E37" s="100" t="str">
        <f>IF(Calcu!$B31=FALSE,"",TEXT(Calcu!G31,Calcu!$Q$61))</f>
        <v/>
      </c>
      <c r="F37" s="100" t="str">
        <f>IF(Calcu!$B31=FALSE,"",TEXT(Calcu!H31,Calcu!$Q$61))</f>
        <v/>
      </c>
      <c r="G37" s="100" t="str">
        <f>IF(Calcu!$B31=FALSE,"",TEXT(Calcu!I31,Calcu!$Q$61))</f>
        <v/>
      </c>
    </row>
    <row r="38" spans="2:7" ht="13.5" customHeight="1">
      <c r="B38" s="100" t="str">
        <f>Calcu!C32</f>
        <v/>
      </c>
      <c r="C38" s="100" t="str">
        <f>IF(Calcu!$B32=FALSE,"",TEXT(Calcu!E32,Calcu!$Q$61))</f>
        <v/>
      </c>
      <c r="D38" s="100" t="str">
        <f>IF(Calcu!$B32=FALSE,"",TEXT(Calcu!F32,Calcu!$Q$61))</f>
        <v/>
      </c>
      <c r="E38" s="100" t="str">
        <f>IF(Calcu!$B32=FALSE,"",TEXT(Calcu!G32,Calcu!$Q$61))</f>
        <v/>
      </c>
      <c r="F38" s="100" t="str">
        <f>IF(Calcu!$B32=FALSE,"",TEXT(Calcu!H32,Calcu!$Q$61))</f>
        <v/>
      </c>
      <c r="G38" s="100" t="str">
        <f>IF(Calcu!$B32=FALSE,"",TEXT(Calcu!I32,Calcu!$Q$61))</f>
        <v/>
      </c>
    </row>
    <row r="39" spans="2:7" ht="13.5" customHeight="1">
      <c r="B39" s="100" t="str">
        <f>Calcu!C33</f>
        <v/>
      </c>
      <c r="C39" s="100" t="str">
        <f>IF(Calcu!$B33=FALSE,"",TEXT(Calcu!E33,Calcu!$Q$61))</f>
        <v/>
      </c>
      <c r="D39" s="100" t="str">
        <f>IF(Calcu!$B33=FALSE,"",TEXT(Calcu!F33,Calcu!$Q$61))</f>
        <v/>
      </c>
      <c r="E39" s="100" t="str">
        <f>IF(Calcu!$B33=FALSE,"",TEXT(Calcu!G33,Calcu!$Q$61))</f>
        <v/>
      </c>
      <c r="F39" s="100" t="str">
        <f>IF(Calcu!$B33=FALSE,"",TEXT(Calcu!H33,Calcu!$Q$61))</f>
        <v/>
      </c>
      <c r="G39" s="100" t="str">
        <f>IF(Calcu!$B33=FALSE,"",TEXT(Calcu!I33,Calcu!$Q$61))</f>
        <v/>
      </c>
    </row>
    <row r="40" spans="2:7" ht="13.5" customHeight="1">
      <c r="B40" s="100" t="str">
        <f>Calcu!C34</f>
        <v/>
      </c>
      <c r="C40" s="100" t="str">
        <f>IF(Calcu!$B34=FALSE,"",TEXT(Calcu!E34,Calcu!$Q$61))</f>
        <v/>
      </c>
      <c r="D40" s="100" t="str">
        <f>IF(Calcu!$B34=FALSE,"",TEXT(Calcu!F34,Calcu!$Q$61))</f>
        <v/>
      </c>
      <c r="E40" s="100" t="str">
        <f>IF(Calcu!$B34=FALSE,"",TEXT(Calcu!G34,Calcu!$Q$61))</f>
        <v/>
      </c>
      <c r="F40" s="100" t="str">
        <f>IF(Calcu!$B34=FALSE,"",TEXT(Calcu!H34,Calcu!$Q$61))</f>
        <v/>
      </c>
      <c r="G40" s="100" t="str">
        <f>IF(Calcu!$B34=FALSE,"",TEXT(Calcu!I34,Calcu!$Q$61))</f>
        <v/>
      </c>
    </row>
    <row r="41" spans="2:7" ht="13.5" customHeight="1">
      <c r="B41" s="100" t="str">
        <f>Calcu!C35</f>
        <v/>
      </c>
      <c r="C41" s="100" t="str">
        <f>IF(Calcu!$B35=FALSE,"",TEXT(Calcu!E35,Calcu!$Q$61))</f>
        <v/>
      </c>
      <c r="D41" s="100" t="str">
        <f>IF(Calcu!$B35=FALSE,"",TEXT(Calcu!F35,Calcu!$Q$61))</f>
        <v/>
      </c>
      <c r="E41" s="100" t="str">
        <f>IF(Calcu!$B35=FALSE,"",TEXT(Calcu!G35,Calcu!$Q$61))</f>
        <v/>
      </c>
      <c r="F41" s="100" t="str">
        <f>IF(Calcu!$B35=FALSE,"",TEXT(Calcu!H35,Calcu!$Q$61))</f>
        <v/>
      </c>
      <c r="G41" s="100" t="str">
        <f>IF(Calcu!$B35=FALSE,"",TEXT(Calcu!I35,Calcu!$Q$61))</f>
        <v/>
      </c>
    </row>
    <row r="42" spans="2:7" ht="13.5" customHeight="1">
      <c r="B42" s="100" t="str">
        <f>Calcu!C36</f>
        <v/>
      </c>
      <c r="C42" s="100" t="str">
        <f>IF(Calcu!$B36=FALSE,"",TEXT(Calcu!E36,Calcu!$Q$61))</f>
        <v/>
      </c>
      <c r="D42" s="100" t="str">
        <f>IF(Calcu!$B36=FALSE,"",TEXT(Calcu!F36,Calcu!$Q$61))</f>
        <v/>
      </c>
      <c r="E42" s="100" t="str">
        <f>IF(Calcu!$B36=FALSE,"",TEXT(Calcu!G36,Calcu!$Q$61))</f>
        <v/>
      </c>
      <c r="F42" s="100" t="str">
        <f>IF(Calcu!$B36=FALSE,"",TEXT(Calcu!H36,Calcu!$Q$61))</f>
        <v/>
      </c>
      <c r="G42" s="100" t="str">
        <f>IF(Calcu!$B36=FALSE,"",TEXT(Calcu!I36,Calcu!$Q$61))</f>
        <v/>
      </c>
    </row>
    <row r="43" spans="2:7" ht="13.5" customHeight="1">
      <c r="B43" s="100" t="str">
        <f>Calcu!C37</f>
        <v/>
      </c>
      <c r="C43" s="100" t="str">
        <f>IF(Calcu!$B37=FALSE,"",TEXT(Calcu!E37,Calcu!$Q$61))</f>
        <v/>
      </c>
      <c r="D43" s="100" t="str">
        <f>IF(Calcu!$B37=FALSE,"",TEXT(Calcu!F37,Calcu!$Q$61))</f>
        <v/>
      </c>
      <c r="E43" s="100" t="str">
        <f>IF(Calcu!$B37=FALSE,"",TEXT(Calcu!G37,Calcu!$Q$61))</f>
        <v/>
      </c>
      <c r="F43" s="100" t="str">
        <f>IF(Calcu!$B37=FALSE,"",TEXT(Calcu!H37,Calcu!$Q$61))</f>
        <v/>
      </c>
      <c r="G43" s="100" t="str">
        <f>IF(Calcu!$B37=FALSE,"",TEXT(Calcu!I37,Calcu!$Q$61))</f>
        <v/>
      </c>
    </row>
    <row r="44" spans="2:7" ht="13.5" customHeight="1">
      <c r="B44" s="100" t="str">
        <f>Calcu!C38</f>
        <v/>
      </c>
      <c r="C44" s="100" t="str">
        <f>IF(Calcu!$B38=FALSE,"",TEXT(Calcu!E38,Calcu!$Q$61))</f>
        <v/>
      </c>
      <c r="D44" s="100" t="str">
        <f>IF(Calcu!$B38=FALSE,"",TEXT(Calcu!F38,Calcu!$Q$61))</f>
        <v/>
      </c>
      <c r="E44" s="100" t="str">
        <f>IF(Calcu!$B38=FALSE,"",TEXT(Calcu!G38,Calcu!$Q$61))</f>
        <v/>
      </c>
      <c r="F44" s="100" t="str">
        <f>IF(Calcu!$B38=FALSE,"",TEXT(Calcu!H38,Calcu!$Q$61))</f>
        <v/>
      </c>
      <c r="G44" s="100" t="str">
        <f>IF(Calcu!$B38=FALSE,"",TEXT(Calcu!I38,Calcu!$Q$61))</f>
        <v/>
      </c>
    </row>
    <row r="45" spans="2:7" ht="13.5" customHeight="1">
      <c r="B45" s="100" t="str">
        <f>Calcu!C39</f>
        <v/>
      </c>
      <c r="C45" s="100" t="str">
        <f>IF(Calcu!$B39=FALSE,"",TEXT(Calcu!E39,Calcu!$Q$61))</f>
        <v/>
      </c>
      <c r="D45" s="100" t="str">
        <f>IF(Calcu!$B39=FALSE,"",TEXT(Calcu!F39,Calcu!$Q$61))</f>
        <v/>
      </c>
      <c r="E45" s="100" t="str">
        <f>IF(Calcu!$B39=FALSE,"",TEXT(Calcu!G39,Calcu!$Q$61))</f>
        <v/>
      </c>
      <c r="F45" s="100" t="str">
        <f>IF(Calcu!$B39=FALSE,"",TEXT(Calcu!H39,Calcu!$Q$61))</f>
        <v/>
      </c>
      <c r="G45" s="100" t="str">
        <f>IF(Calcu!$B39=FALSE,"",TEXT(Calcu!I39,Calcu!$Q$61))</f>
        <v/>
      </c>
    </row>
    <row r="46" spans="2:7" ht="13.5" customHeight="1">
      <c r="B46" s="100" t="str">
        <f>Calcu!C40</f>
        <v/>
      </c>
      <c r="C46" s="100" t="str">
        <f>IF(Calcu!$B40=FALSE,"",TEXT(Calcu!E40,Calcu!$Q$61))</f>
        <v/>
      </c>
      <c r="D46" s="100" t="str">
        <f>IF(Calcu!$B40=FALSE,"",TEXT(Calcu!F40,Calcu!$Q$61))</f>
        <v/>
      </c>
      <c r="E46" s="100" t="str">
        <f>IF(Calcu!$B40=FALSE,"",TEXT(Calcu!G40,Calcu!$Q$61))</f>
        <v/>
      </c>
      <c r="F46" s="100" t="str">
        <f>IF(Calcu!$B40=FALSE,"",TEXT(Calcu!H40,Calcu!$Q$61))</f>
        <v/>
      </c>
      <c r="G46" s="100" t="str">
        <f>IF(Calcu!$B40=FALSE,"",TEXT(Calcu!I40,Calcu!$Q$61))</f>
        <v/>
      </c>
    </row>
    <row r="47" spans="2:7" ht="13.5" customHeight="1">
      <c r="B47" s="100" t="str">
        <f>Calcu!C41</f>
        <v/>
      </c>
      <c r="C47" s="100" t="str">
        <f>IF(Calcu!$B41=FALSE,"",TEXT(Calcu!E41,Calcu!$Q$61))</f>
        <v/>
      </c>
      <c r="D47" s="100" t="str">
        <f>IF(Calcu!$B41=FALSE,"",TEXT(Calcu!F41,Calcu!$Q$61))</f>
        <v/>
      </c>
      <c r="E47" s="100" t="str">
        <f>IF(Calcu!$B41=FALSE,"",TEXT(Calcu!G41,Calcu!$Q$61))</f>
        <v/>
      </c>
      <c r="F47" s="100" t="str">
        <f>IF(Calcu!$B41=FALSE,"",TEXT(Calcu!H41,Calcu!$Q$61))</f>
        <v/>
      </c>
      <c r="G47" s="100" t="str">
        <f>IF(Calcu!$B41=FALSE,"",TEXT(Calcu!I41,Calcu!$Q$61))</f>
        <v/>
      </c>
    </row>
  </sheetData>
  <sortState ref="T5:U14">
    <sortCondition descending="1" ref="T5"/>
  </sortState>
  <mergeCells count="8">
    <mergeCell ref="E4:F4"/>
    <mergeCell ref="E3:F3"/>
    <mergeCell ref="B24:B25"/>
    <mergeCell ref="C24:G24"/>
    <mergeCell ref="B18:B19"/>
    <mergeCell ref="C12:D12"/>
    <mergeCell ref="B12:B13"/>
    <mergeCell ref="C18:F18"/>
  </mergeCells>
  <phoneticPr fontId="4" type="noConversion"/>
  <pageMargins left="0.39370078740157483" right="0.39370078740157483" top="0.39370078740157483" bottom="0.39370078740157483" header="0.19685039370078741" footer="0.19685039370078741"/>
  <pageSetup paperSize="9" orientation="portrait" r:id="rId1"/>
  <headerFooter alignWithMargins="0">
    <oddFooter>&amp;L&amp;"Tahoma,보통"&amp;9F-02P-02-001 (Rev.01)&amp;C&amp;9&amp;P of &amp;N&amp;R&amp;"돋움,굵게"&amp;9(주)에이치시티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E277"/>
  <sheetViews>
    <sheetView showGridLines="0" zoomScaleNormal="100" zoomScaleSheetLayoutView="100" workbookViewId="0"/>
  </sheetViews>
  <sheetFormatPr defaultColWidth="1.77734375" defaultRowHeight="18.75" customHeight="1"/>
  <cols>
    <col min="1" max="8" width="1.77734375" style="55"/>
    <col min="9" max="9" width="1.77734375" style="55" customWidth="1"/>
    <col min="10" max="10" width="1.77734375" style="55"/>
    <col min="11" max="12" width="1.77734375" style="55" customWidth="1"/>
    <col min="13" max="26" width="1.77734375" style="55"/>
    <col min="27" max="27" width="1.77734375" style="55" customWidth="1"/>
    <col min="28" max="28" width="1.77734375" style="55"/>
    <col min="29" max="29" width="1.77734375" style="55" customWidth="1"/>
    <col min="30" max="16384" width="1.77734375" style="55"/>
  </cols>
  <sheetData>
    <row r="1" spans="1:63" s="67" customFormat="1" ht="31.5">
      <c r="A1" s="66" t="s">
        <v>76</v>
      </c>
    </row>
    <row r="2" spans="1:63" s="67" customFormat="1" ht="18.75" customHeight="1"/>
    <row r="3" spans="1:63" s="67" customFormat="1" ht="18.75" customHeight="1">
      <c r="A3" s="68" t="s">
        <v>208</v>
      </c>
    </row>
    <row r="4" spans="1:63" s="67" customFormat="1" ht="18.75" customHeight="1">
      <c r="B4" s="710" t="s">
        <v>60</v>
      </c>
      <c r="C4" s="710"/>
      <c r="D4" s="710"/>
      <c r="E4" s="710"/>
      <c r="F4" s="710"/>
      <c r="G4" s="710"/>
      <c r="H4" s="711" t="s">
        <v>77</v>
      </c>
      <c r="I4" s="711"/>
      <c r="J4" s="711"/>
      <c r="K4" s="711"/>
      <c r="L4" s="711"/>
      <c r="M4" s="711"/>
    </row>
    <row r="5" spans="1:63" s="67" customFormat="1" ht="18.75" customHeight="1">
      <c r="B5" s="712">
        <f>Calcu!H3</f>
        <v>0</v>
      </c>
      <c r="C5" s="712"/>
      <c r="D5" s="712"/>
      <c r="E5" s="712"/>
      <c r="F5" s="712"/>
      <c r="G5" s="712"/>
      <c r="H5" s="713">
        <f>Calcu!I3</f>
        <v>1</v>
      </c>
      <c r="I5" s="713"/>
      <c r="J5" s="713"/>
      <c r="K5" s="713"/>
      <c r="L5" s="713"/>
      <c r="M5" s="713"/>
    </row>
    <row r="6" spans="1:63" s="67" customFormat="1" ht="18.75" customHeight="1"/>
    <row r="7" spans="1:63" s="67" customFormat="1" ht="18.75" customHeight="1">
      <c r="A7" s="68" t="s">
        <v>399</v>
      </c>
      <c r="B7" s="226"/>
      <c r="C7" s="226"/>
      <c r="D7" s="226"/>
      <c r="E7" s="226"/>
      <c r="F7" s="226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  <c r="AB7" s="227"/>
      <c r="AC7" s="227"/>
      <c r="AD7" s="227"/>
      <c r="AE7" s="227"/>
      <c r="AF7" s="228"/>
      <c r="AG7" s="228"/>
      <c r="AH7" s="228"/>
      <c r="AI7" s="228"/>
      <c r="AJ7" s="228"/>
      <c r="AK7" s="228"/>
      <c r="AL7" s="229"/>
      <c r="AM7" s="230"/>
      <c r="AN7" s="230"/>
      <c r="AO7" s="230"/>
      <c r="AP7" s="230"/>
      <c r="AQ7" s="230"/>
      <c r="AR7" s="231"/>
      <c r="AS7" s="230"/>
      <c r="AT7" s="230"/>
      <c r="AU7" s="230"/>
      <c r="AV7" s="230"/>
      <c r="AW7" s="230"/>
      <c r="AX7" s="230"/>
      <c r="AY7" s="232"/>
      <c r="AZ7" s="233"/>
      <c r="BA7" s="233"/>
      <c r="BB7" s="233"/>
      <c r="BC7" s="233"/>
      <c r="BD7" s="233"/>
      <c r="BE7" s="247"/>
      <c r="BF7" s="247"/>
    </row>
    <row r="8" spans="1:63" s="67" customFormat="1" ht="18.75" customHeight="1">
      <c r="A8" s="247"/>
      <c r="B8" s="689" t="s">
        <v>400</v>
      </c>
      <c r="C8" s="689"/>
      <c r="D8" s="689"/>
      <c r="E8" s="689"/>
      <c r="F8" s="689"/>
      <c r="G8" s="688" t="s">
        <v>401</v>
      </c>
      <c r="H8" s="688"/>
      <c r="I8" s="688"/>
      <c r="J8" s="688"/>
      <c r="K8" s="688"/>
      <c r="L8" s="688"/>
      <c r="M8" s="688"/>
      <c r="N8" s="688"/>
      <c r="O8" s="688"/>
      <c r="P8" s="688"/>
      <c r="Q8" s="689" t="s">
        <v>402</v>
      </c>
      <c r="R8" s="688"/>
      <c r="S8" s="688"/>
      <c r="T8" s="688"/>
      <c r="U8" s="688"/>
      <c r="V8" s="688" t="s">
        <v>403</v>
      </c>
      <c r="W8" s="688"/>
      <c r="X8" s="688"/>
      <c r="Y8" s="688"/>
      <c r="Z8" s="688"/>
      <c r="AA8" s="23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29"/>
      <c r="AM8" s="230"/>
      <c r="AN8" s="230"/>
      <c r="AO8" s="230"/>
      <c r="AP8" s="230"/>
      <c r="AQ8" s="230"/>
      <c r="AR8" s="231"/>
      <c r="AS8" s="230"/>
      <c r="AT8" s="230"/>
      <c r="AU8" s="230"/>
      <c r="AV8" s="230"/>
      <c r="AW8" s="230"/>
      <c r="AX8" s="230"/>
      <c r="AY8" s="232"/>
      <c r="AZ8" s="233"/>
      <c r="BA8" s="233"/>
      <c r="BB8" s="233"/>
      <c r="BC8" s="233"/>
      <c r="BD8" s="233"/>
      <c r="BE8" s="247"/>
      <c r="BF8" s="247"/>
    </row>
    <row r="9" spans="1:63" s="67" customFormat="1" ht="18.75" customHeight="1">
      <c r="A9" s="247"/>
      <c r="B9" s="689"/>
      <c r="C9" s="689"/>
      <c r="D9" s="689"/>
      <c r="E9" s="689"/>
      <c r="F9" s="689"/>
      <c r="G9" s="688" t="s">
        <v>404</v>
      </c>
      <c r="H9" s="688"/>
      <c r="I9" s="688"/>
      <c r="J9" s="688"/>
      <c r="K9" s="688"/>
      <c r="L9" s="688" t="s">
        <v>405</v>
      </c>
      <c r="M9" s="688"/>
      <c r="N9" s="688"/>
      <c r="O9" s="688"/>
      <c r="P9" s="688"/>
      <c r="Q9" s="688"/>
      <c r="R9" s="688"/>
      <c r="S9" s="688"/>
      <c r="T9" s="688"/>
      <c r="U9" s="688"/>
      <c r="V9" s="688"/>
      <c r="W9" s="688"/>
      <c r="X9" s="688"/>
      <c r="Y9" s="688"/>
      <c r="Z9" s="688"/>
      <c r="AA9" s="23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29"/>
      <c r="AM9" s="230"/>
      <c r="AN9" s="230"/>
      <c r="AO9" s="230"/>
      <c r="AP9" s="230"/>
      <c r="AQ9" s="230"/>
      <c r="AR9" s="231"/>
      <c r="AS9" s="230"/>
      <c r="AT9" s="230"/>
      <c r="AU9" s="230"/>
      <c r="AV9" s="230"/>
      <c r="AW9" s="230"/>
      <c r="AX9" s="230"/>
      <c r="AY9" s="232"/>
      <c r="AZ9" s="233"/>
      <c r="BA9" s="233"/>
      <c r="BB9" s="233"/>
      <c r="BC9" s="233"/>
      <c r="BD9" s="233"/>
      <c r="BE9" s="247"/>
      <c r="BF9" s="247"/>
    </row>
    <row r="10" spans="1:63" s="67" customFormat="1" ht="18.75" customHeight="1">
      <c r="A10" s="247"/>
      <c r="B10" s="686" t="s">
        <v>406</v>
      </c>
      <c r="C10" s="686"/>
      <c r="D10" s="686"/>
      <c r="E10" s="686"/>
      <c r="F10" s="686"/>
      <c r="G10" s="708">
        <f>Calcu!C7</f>
        <v>0</v>
      </c>
      <c r="H10" s="708"/>
      <c r="I10" s="708"/>
      <c r="J10" s="708"/>
      <c r="K10" s="708"/>
      <c r="L10" s="708">
        <f>Calcu!D7</f>
        <v>0</v>
      </c>
      <c r="M10" s="708"/>
      <c r="N10" s="708"/>
      <c r="O10" s="708"/>
      <c r="P10" s="708"/>
      <c r="Q10" s="690">
        <v>0.59</v>
      </c>
      <c r="R10" s="690"/>
      <c r="S10" s="690"/>
      <c r="T10" s="690"/>
      <c r="U10" s="690"/>
      <c r="V10" s="709" t="e">
        <f>L10/G10*Q10/2</f>
        <v>#DIV/0!</v>
      </c>
      <c r="W10" s="709"/>
      <c r="X10" s="709"/>
      <c r="Y10" s="709"/>
      <c r="Z10" s="709"/>
      <c r="AA10" s="235"/>
      <c r="AB10" s="236"/>
      <c r="AC10" s="236"/>
      <c r="AD10" s="236"/>
      <c r="AE10" s="236"/>
      <c r="AF10" s="237"/>
      <c r="AG10" s="237"/>
      <c r="AH10" s="237"/>
      <c r="AI10" s="237"/>
      <c r="AJ10" s="237"/>
      <c r="AK10" s="237"/>
      <c r="AL10" s="229"/>
      <c r="AM10" s="230"/>
      <c r="AN10" s="230"/>
      <c r="AO10" s="230"/>
      <c r="AP10" s="230"/>
      <c r="AQ10" s="230"/>
      <c r="AR10" s="231"/>
      <c r="AS10" s="230"/>
      <c r="AT10" s="230"/>
      <c r="AU10" s="230"/>
      <c r="AV10" s="230"/>
      <c r="AW10" s="230"/>
      <c r="AX10" s="230"/>
      <c r="AY10" s="232"/>
      <c r="AZ10" s="233"/>
      <c r="BA10" s="233"/>
      <c r="BB10" s="233"/>
      <c r="BC10" s="233"/>
      <c r="BD10" s="233"/>
      <c r="BE10" s="247"/>
      <c r="BF10" s="247"/>
    </row>
    <row r="11" spans="1:63" s="67" customFormat="1" ht="18.75" customHeight="1">
      <c r="A11" s="247"/>
      <c r="B11" s="686" t="s">
        <v>407</v>
      </c>
      <c r="C11" s="686"/>
      <c r="D11" s="686"/>
      <c r="E11" s="686"/>
      <c r="F11" s="686"/>
      <c r="G11" s="708">
        <f>Calcu!C8</f>
        <v>0</v>
      </c>
      <c r="H11" s="708"/>
      <c r="I11" s="708"/>
      <c r="J11" s="708"/>
      <c r="K11" s="708"/>
      <c r="L11" s="708">
        <f>Calcu!D8</f>
        <v>0</v>
      </c>
      <c r="M11" s="708"/>
      <c r="N11" s="708"/>
      <c r="O11" s="708"/>
      <c r="P11" s="708"/>
      <c r="Q11" s="690"/>
      <c r="R11" s="690"/>
      <c r="S11" s="690"/>
      <c r="T11" s="690"/>
      <c r="U11" s="690"/>
      <c r="V11" s="709" t="e">
        <f>L11/G11*Q10/2</f>
        <v>#DIV/0!</v>
      </c>
      <c r="W11" s="709"/>
      <c r="X11" s="709"/>
      <c r="Y11" s="709"/>
      <c r="Z11" s="709"/>
      <c r="AA11" s="238"/>
      <c r="AB11" s="227"/>
      <c r="AC11" s="227"/>
      <c r="AD11" s="227"/>
      <c r="AE11" s="227"/>
      <c r="AF11" s="228"/>
      <c r="AG11" s="228"/>
      <c r="AH11" s="228"/>
      <c r="AI11" s="228"/>
      <c r="AJ11" s="228"/>
      <c r="AK11" s="228"/>
      <c r="AL11" s="229"/>
      <c r="AM11" s="230"/>
      <c r="AN11" s="230"/>
      <c r="AO11" s="230"/>
      <c r="AP11" s="230"/>
      <c r="AQ11" s="230"/>
      <c r="AR11" s="231"/>
      <c r="AS11" s="230"/>
      <c r="AT11" s="230"/>
      <c r="AU11" s="230"/>
      <c r="AV11" s="230"/>
      <c r="AW11" s="230"/>
      <c r="AX11" s="230"/>
      <c r="AY11" s="232"/>
      <c r="AZ11" s="233"/>
      <c r="BA11" s="233"/>
      <c r="BB11" s="233"/>
      <c r="BC11" s="233"/>
      <c r="BD11" s="233"/>
      <c r="BE11" s="247"/>
      <c r="BF11" s="247"/>
    </row>
    <row r="12" spans="1:63" s="67" customFormat="1" ht="18.75" customHeight="1">
      <c r="A12" s="247"/>
      <c r="B12" s="226"/>
      <c r="C12" s="226"/>
      <c r="D12" s="226"/>
      <c r="E12" s="226"/>
      <c r="F12" s="226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  <c r="AD12" s="227"/>
      <c r="AE12" s="227"/>
      <c r="AF12" s="228"/>
      <c r="AG12" s="228"/>
      <c r="AH12" s="228"/>
      <c r="AI12" s="228"/>
      <c r="AJ12" s="228"/>
      <c r="AK12" s="228"/>
      <c r="AL12" s="229"/>
      <c r="AM12" s="230"/>
      <c r="AN12" s="230"/>
      <c r="AO12" s="230"/>
      <c r="AP12" s="230"/>
      <c r="AQ12" s="230"/>
      <c r="AR12" s="231"/>
      <c r="AS12" s="230"/>
      <c r="AT12" s="230"/>
      <c r="AU12" s="230"/>
      <c r="AV12" s="230"/>
      <c r="AW12" s="230"/>
      <c r="AX12" s="230"/>
      <c r="AY12" s="232"/>
      <c r="AZ12" s="233"/>
      <c r="BA12" s="233"/>
      <c r="BB12" s="233"/>
      <c r="BC12" s="233"/>
      <c r="BD12" s="233"/>
      <c r="BE12" s="247"/>
      <c r="BF12" s="247"/>
    </row>
    <row r="13" spans="1:63" s="67" customFormat="1" ht="18.75" customHeight="1">
      <c r="A13" s="239" t="s">
        <v>408</v>
      </c>
      <c r="B13" s="226"/>
      <c r="C13" s="226"/>
      <c r="D13" s="226"/>
      <c r="E13" s="226"/>
      <c r="F13" s="226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8"/>
      <c r="AG13" s="228"/>
      <c r="AH13" s="228"/>
      <c r="AI13" s="228"/>
      <c r="AJ13" s="228"/>
      <c r="AK13" s="228"/>
      <c r="AL13" s="229"/>
      <c r="AM13" s="230"/>
      <c r="AN13" s="230"/>
      <c r="AO13" s="230"/>
      <c r="AP13" s="230"/>
      <c r="AQ13" s="230"/>
      <c r="AR13" s="230"/>
      <c r="AS13" s="230"/>
      <c r="AT13" s="230"/>
      <c r="AU13" s="230"/>
      <c r="AV13" s="230"/>
      <c r="AW13" s="230"/>
      <c r="AX13" s="230"/>
      <c r="AY13" s="230"/>
      <c r="AZ13" s="230"/>
      <c r="BA13" s="230"/>
      <c r="BB13" s="230"/>
      <c r="BC13" s="233"/>
      <c r="BD13" s="233"/>
      <c r="BE13" s="247"/>
      <c r="BF13" s="247"/>
      <c r="BG13" s="247"/>
      <c r="BH13" s="247"/>
      <c r="BI13" s="247"/>
      <c r="BJ13" s="247"/>
      <c r="BK13" s="247"/>
    </row>
    <row r="14" spans="1:63" s="67" customFormat="1" ht="18.75" customHeight="1">
      <c r="A14" s="240"/>
      <c r="B14" s="689" t="s">
        <v>400</v>
      </c>
      <c r="C14" s="689"/>
      <c r="D14" s="689"/>
      <c r="E14" s="689"/>
      <c r="F14" s="689"/>
      <c r="G14" s="688" t="s">
        <v>409</v>
      </c>
      <c r="H14" s="688"/>
      <c r="I14" s="688"/>
      <c r="J14" s="688"/>
      <c r="K14" s="688"/>
      <c r="L14" s="688"/>
      <c r="M14" s="688"/>
      <c r="N14" s="688"/>
      <c r="O14" s="688"/>
      <c r="P14" s="688"/>
      <c r="Q14" s="688"/>
      <c r="R14" s="688"/>
      <c r="S14" s="688"/>
      <c r="T14" s="688"/>
      <c r="U14" s="688"/>
      <c r="V14" s="688"/>
      <c r="W14" s="688"/>
      <c r="X14" s="688"/>
      <c r="Y14" s="688"/>
      <c r="Z14" s="688"/>
      <c r="AA14" s="688"/>
      <c r="AB14" s="688"/>
      <c r="AC14" s="688"/>
      <c r="AD14" s="688"/>
      <c r="AE14" s="689" t="s">
        <v>402</v>
      </c>
      <c r="AF14" s="688"/>
      <c r="AG14" s="688"/>
      <c r="AH14" s="688"/>
      <c r="AI14" s="688"/>
      <c r="AJ14" s="680" t="s">
        <v>410</v>
      </c>
      <c r="AK14" s="681"/>
      <c r="AL14" s="681"/>
      <c r="AM14" s="681"/>
      <c r="AN14" s="682"/>
      <c r="AO14" s="230"/>
      <c r="AP14" s="230"/>
      <c r="AQ14" s="230"/>
      <c r="AR14" s="230"/>
      <c r="AS14" s="230"/>
      <c r="AT14" s="230"/>
      <c r="AU14" s="230"/>
      <c r="AV14" s="230"/>
      <c r="AW14" s="230"/>
      <c r="AX14" s="230"/>
      <c r="AY14" s="230"/>
      <c r="AZ14" s="230"/>
      <c r="BA14" s="230"/>
      <c r="BB14" s="230"/>
      <c r="BC14" s="233"/>
      <c r="BD14" s="233"/>
      <c r="BE14" s="247"/>
      <c r="BF14" s="247"/>
      <c r="BG14" s="247"/>
      <c r="BH14" s="247"/>
      <c r="BI14" s="247"/>
      <c r="BJ14" s="247"/>
      <c r="BK14" s="247"/>
    </row>
    <row r="15" spans="1:63" s="67" customFormat="1" ht="18.75" customHeight="1">
      <c r="A15" s="240"/>
      <c r="B15" s="689"/>
      <c r="C15" s="689"/>
      <c r="D15" s="689"/>
      <c r="E15" s="689"/>
      <c r="F15" s="689"/>
      <c r="G15" s="688" t="s">
        <v>411</v>
      </c>
      <c r="H15" s="688"/>
      <c r="I15" s="688"/>
      <c r="J15" s="688"/>
      <c r="K15" s="688"/>
      <c r="L15" s="688"/>
      <c r="M15" s="688" t="s">
        <v>412</v>
      </c>
      <c r="N15" s="688"/>
      <c r="O15" s="688"/>
      <c r="P15" s="688"/>
      <c r="Q15" s="688"/>
      <c r="R15" s="688"/>
      <c r="S15" s="688" t="s">
        <v>413</v>
      </c>
      <c r="T15" s="688"/>
      <c r="U15" s="688"/>
      <c r="V15" s="688"/>
      <c r="W15" s="688"/>
      <c r="X15" s="688"/>
      <c r="Y15" s="688" t="s">
        <v>414</v>
      </c>
      <c r="Z15" s="688"/>
      <c r="AA15" s="688"/>
      <c r="AB15" s="688"/>
      <c r="AC15" s="688"/>
      <c r="AD15" s="688"/>
      <c r="AE15" s="688"/>
      <c r="AF15" s="688"/>
      <c r="AG15" s="688"/>
      <c r="AH15" s="688"/>
      <c r="AI15" s="688"/>
      <c r="AJ15" s="683"/>
      <c r="AK15" s="684"/>
      <c r="AL15" s="684"/>
      <c r="AM15" s="684"/>
      <c r="AN15" s="685"/>
      <c r="AO15" s="230"/>
      <c r="AP15" s="230"/>
      <c r="AQ15" s="230"/>
      <c r="AR15" s="230"/>
      <c r="AS15" s="230"/>
      <c r="AT15" s="230"/>
      <c r="AU15" s="230"/>
      <c r="AV15" s="230"/>
      <c r="AW15" s="230"/>
      <c r="AX15" s="230"/>
      <c r="AY15" s="230"/>
      <c r="AZ15" s="230"/>
      <c r="BA15" s="230"/>
      <c r="BB15" s="230"/>
      <c r="BC15" s="233"/>
      <c r="BD15" s="233"/>
      <c r="BE15" s="247"/>
      <c r="BF15" s="247"/>
      <c r="BG15" s="247"/>
      <c r="BH15" s="247"/>
      <c r="BI15" s="247"/>
      <c r="BJ15" s="247"/>
      <c r="BK15" s="247"/>
    </row>
    <row r="16" spans="1:63" s="67" customFormat="1" ht="18.75" customHeight="1">
      <c r="A16" s="240"/>
      <c r="B16" s="686" t="s">
        <v>406</v>
      </c>
      <c r="C16" s="686"/>
      <c r="D16" s="686"/>
      <c r="E16" s="686"/>
      <c r="F16" s="686"/>
      <c r="G16" s="557">
        <f>Calcu!C12</f>
        <v>0</v>
      </c>
      <c r="H16" s="557"/>
      <c r="I16" s="557"/>
      <c r="J16" s="557"/>
      <c r="K16" s="557"/>
      <c r="L16" s="557"/>
      <c r="M16" s="557">
        <f>Calcu!D12</f>
        <v>0</v>
      </c>
      <c r="N16" s="557"/>
      <c r="O16" s="557"/>
      <c r="P16" s="557"/>
      <c r="Q16" s="557"/>
      <c r="R16" s="557"/>
      <c r="S16" s="557">
        <f>Calcu!E12</f>
        <v>0</v>
      </c>
      <c r="T16" s="557"/>
      <c r="U16" s="557"/>
      <c r="V16" s="557"/>
      <c r="W16" s="557"/>
      <c r="X16" s="557"/>
      <c r="Y16" s="557">
        <f>Calcu!F12</f>
        <v>0</v>
      </c>
      <c r="Z16" s="557"/>
      <c r="AA16" s="557"/>
      <c r="AB16" s="557"/>
      <c r="AC16" s="557"/>
      <c r="AD16" s="557"/>
      <c r="AE16" s="690">
        <v>0.59</v>
      </c>
      <c r="AF16" s="690"/>
      <c r="AG16" s="690"/>
      <c r="AH16" s="690"/>
      <c r="AI16" s="690"/>
      <c r="AJ16" s="701">
        <f>MAX(G19:AD19)</f>
        <v>0</v>
      </c>
      <c r="AK16" s="547"/>
      <c r="AL16" s="547"/>
      <c r="AM16" s="547"/>
      <c r="AN16" s="702"/>
      <c r="AO16" s="230"/>
      <c r="AP16" s="230"/>
      <c r="AQ16" s="230"/>
      <c r="AR16" s="230"/>
      <c r="AS16" s="230"/>
      <c r="AT16" s="230"/>
      <c r="AU16" s="230"/>
      <c r="AV16" s="230"/>
      <c r="AW16" s="230"/>
      <c r="AX16" s="230"/>
      <c r="AY16" s="230"/>
      <c r="AZ16" s="230"/>
      <c r="BA16" s="230"/>
      <c r="BB16" s="230"/>
      <c r="BC16" s="233"/>
      <c r="BD16" s="233"/>
      <c r="BE16" s="247"/>
      <c r="BF16" s="247"/>
      <c r="BG16" s="247"/>
      <c r="BH16" s="247"/>
      <c r="BI16" s="247"/>
      <c r="BJ16" s="247"/>
      <c r="BK16" s="247"/>
    </row>
    <row r="17" spans="1:63" s="67" customFormat="1" ht="18.75" customHeight="1">
      <c r="A17" s="240"/>
      <c r="B17" s="686" t="s">
        <v>407</v>
      </c>
      <c r="C17" s="686"/>
      <c r="D17" s="686"/>
      <c r="E17" s="686"/>
      <c r="F17" s="686"/>
      <c r="G17" s="557">
        <f>Calcu!C13</f>
        <v>0</v>
      </c>
      <c r="H17" s="557"/>
      <c r="I17" s="557"/>
      <c r="J17" s="557"/>
      <c r="K17" s="557"/>
      <c r="L17" s="557"/>
      <c r="M17" s="557">
        <f>Calcu!D13</f>
        <v>0</v>
      </c>
      <c r="N17" s="557"/>
      <c r="O17" s="557"/>
      <c r="P17" s="557"/>
      <c r="Q17" s="557"/>
      <c r="R17" s="557"/>
      <c r="S17" s="557">
        <f>Calcu!E13</f>
        <v>0</v>
      </c>
      <c r="T17" s="557"/>
      <c r="U17" s="557"/>
      <c r="V17" s="557"/>
      <c r="W17" s="557"/>
      <c r="X17" s="557"/>
      <c r="Y17" s="557">
        <f>Calcu!F13</f>
        <v>0</v>
      </c>
      <c r="Z17" s="557"/>
      <c r="AA17" s="557"/>
      <c r="AB17" s="557"/>
      <c r="AC17" s="557"/>
      <c r="AD17" s="557"/>
      <c r="AE17" s="690"/>
      <c r="AF17" s="690"/>
      <c r="AG17" s="690"/>
      <c r="AH17" s="690"/>
      <c r="AI17" s="690"/>
      <c r="AJ17" s="703"/>
      <c r="AK17" s="556"/>
      <c r="AL17" s="556"/>
      <c r="AM17" s="556"/>
      <c r="AN17" s="704"/>
      <c r="AO17" s="230"/>
      <c r="AP17" s="230"/>
      <c r="AQ17" s="230"/>
      <c r="AR17" s="230"/>
      <c r="AS17" s="230"/>
      <c r="AT17" s="230"/>
      <c r="AU17" s="230"/>
      <c r="AV17" s="230"/>
      <c r="AW17" s="230"/>
      <c r="AX17" s="230"/>
      <c r="AY17" s="230"/>
      <c r="AZ17" s="230"/>
      <c r="BA17" s="230"/>
      <c r="BB17" s="230"/>
      <c r="BC17" s="233"/>
      <c r="BD17" s="233"/>
      <c r="BE17" s="247"/>
      <c r="BF17" s="247"/>
      <c r="BG17" s="247"/>
      <c r="BH17" s="247"/>
      <c r="BI17" s="247"/>
      <c r="BJ17" s="247"/>
      <c r="BK17" s="247"/>
    </row>
    <row r="18" spans="1:63" s="67" customFormat="1" ht="18.75" customHeight="1">
      <c r="A18" s="240"/>
      <c r="B18" s="686" t="s">
        <v>302</v>
      </c>
      <c r="C18" s="686"/>
      <c r="D18" s="686"/>
      <c r="E18" s="686"/>
      <c r="F18" s="686"/>
      <c r="G18" s="557">
        <f>SUM(G16:L17)</f>
        <v>0</v>
      </c>
      <c r="H18" s="557"/>
      <c r="I18" s="557"/>
      <c r="J18" s="557"/>
      <c r="K18" s="557"/>
      <c r="L18" s="557"/>
      <c r="M18" s="557">
        <f>SUM(M16:R17)</f>
        <v>0</v>
      </c>
      <c r="N18" s="557"/>
      <c r="O18" s="557"/>
      <c r="P18" s="557"/>
      <c r="Q18" s="557"/>
      <c r="R18" s="557"/>
      <c r="S18" s="557">
        <f>SUM(S16:X17)</f>
        <v>0</v>
      </c>
      <c r="T18" s="557"/>
      <c r="U18" s="557"/>
      <c r="V18" s="557"/>
      <c r="W18" s="557"/>
      <c r="X18" s="557"/>
      <c r="Y18" s="557">
        <f>SUM(Y16:AD17)</f>
        <v>0</v>
      </c>
      <c r="Z18" s="557"/>
      <c r="AA18" s="557"/>
      <c r="AB18" s="557"/>
      <c r="AC18" s="557"/>
      <c r="AD18" s="557"/>
      <c r="AE18" s="690"/>
      <c r="AF18" s="690"/>
      <c r="AG18" s="690"/>
      <c r="AH18" s="690"/>
      <c r="AI18" s="690"/>
      <c r="AJ18" s="703"/>
      <c r="AK18" s="556"/>
      <c r="AL18" s="556"/>
      <c r="AM18" s="556"/>
      <c r="AN18" s="704"/>
      <c r="AO18" s="230"/>
      <c r="AP18" s="230"/>
      <c r="AQ18" s="230"/>
      <c r="AR18" s="230"/>
      <c r="AS18" s="230"/>
      <c r="AT18" s="230"/>
      <c r="AU18" s="230"/>
      <c r="AV18" s="230"/>
      <c r="AW18" s="230"/>
      <c r="AX18" s="230"/>
      <c r="AY18" s="230"/>
      <c r="AZ18" s="230"/>
      <c r="BA18" s="230"/>
      <c r="BB18" s="230"/>
      <c r="BC18" s="233"/>
      <c r="BD18" s="233"/>
      <c r="BE18" s="247"/>
      <c r="BF18" s="247"/>
      <c r="BG18" s="247"/>
      <c r="BH18" s="247"/>
      <c r="BI18" s="247"/>
      <c r="BJ18" s="247"/>
      <c r="BK18" s="247"/>
    </row>
    <row r="19" spans="1:63" s="67" customFormat="1" ht="18.75" customHeight="1">
      <c r="A19" s="240"/>
      <c r="B19" s="686" t="s">
        <v>356</v>
      </c>
      <c r="C19" s="686"/>
      <c r="D19" s="686"/>
      <c r="E19" s="686"/>
      <c r="F19" s="686"/>
      <c r="G19" s="691">
        <f>G18*AE16/2</f>
        <v>0</v>
      </c>
      <c r="H19" s="691"/>
      <c r="I19" s="691"/>
      <c r="J19" s="691"/>
      <c r="K19" s="691"/>
      <c r="L19" s="691"/>
      <c r="M19" s="691">
        <f>M18*AE16/2</f>
        <v>0</v>
      </c>
      <c r="N19" s="691"/>
      <c r="O19" s="691"/>
      <c r="P19" s="691"/>
      <c r="Q19" s="691"/>
      <c r="R19" s="691"/>
      <c r="S19" s="691">
        <f>S18*AE16/2</f>
        <v>0</v>
      </c>
      <c r="T19" s="691"/>
      <c r="U19" s="691"/>
      <c r="V19" s="691"/>
      <c r="W19" s="691"/>
      <c r="X19" s="691"/>
      <c r="Y19" s="691">
        <f>Y18*AE16/2</f>
        <v>0</v>
      </c>
      <c r="Z19" s="691"/>
      <c r="AA19" s="691"/>
      <c r="AB19" s="691"/>
      <c r="AC19" s="691"/>
      <c r="AD19" s="691"/>
      <c r="AE19" s="690"/>
      <c r="AF19" s="690"/>
      <c r="AG19" s="690"/>
      <c r="AH19" s="690"/>
      <c r="AI19" s="690"/>
      <c r="AJ19" s="705"/>
      <c r="AK19" s="706"/>
      <c r="AL19" s="706"/>
      <c r="AM19" s="706"/>
      <c r="AN19" s="707"/>
      <c r="AO19" s="230"/>
      <c r="AP19" s="230"/>
      <c r="AQ19" s="230"/>
      <c r="AR19" s="230"/>
      <c r="AS19" s="230"/>
      <c r="AT19" s="230"/>
      <c r="AU19" s="230"/>
      <c r="AV19" s="230"/>
      <c r="AW19" s="230"/>
      <c r="AX19" s="230"/>
      <c r="AY19" s="230"/>
      <c r="AZ19" s="230"/>
      <c r="BA19" s="230"/>
      <c r="BB19" s="230"/>
      <c r="BC19" s="233"/>
      <c r="BD19" s="233"/>
      <c r="BE19" s="247"/>
      <c r="BF19" s="247"/>
      <c r="BG19" s="247"/>
      <c r="BH19" s="247"/>
      <c r="BI19" s="247"/>
      <c r="BJ19" s="247"/>
      <c r="BK19" s="247"/>
    </row>
    <row r="20" spans="1:63" s="67" customFormat="1" ht="18.75" customHeight="1">
      <c r="A20" s="247"/>
      <c r="B20" s="241"/>
      <c r="C20" s="241"/>
      <c r="D20" s="241"/>
      <c r="E20" s="241"/>
      <c r="F20" s="229"/>
      <c r="G20" s="229"/>
      <c r="H20" s="229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  <c r="AA20" s="229"/>
      <c r="AB20" s="229"/>
      <c r="AC20" s="229"/>
      <c r="AD20" s="229"/>
      <c r="AE20" s="229"/>
      <c r="AF20" s="229"/>
      <c r="AG20" s="229"/>
      <c r="AH20" s="229"/>
      <c r="AI20" s="230"/>
      <c r="AJ20" s="230"/>
      <c r="AK20" s="230"/>
      <c r="AL20" s="230"/>
      <c r="AM20" s="230"/>
      <c r="AN20" s="230"/>
      <c r="AO20" s="230"/>
      <c r="AP20" s="230"/>
      <c r="AQ20" s="230"/>
      <c r="AR20" s="230"/>
      <c r="AS20" s="230"/>
      <c r="AT20" s="230"/>
      <c r="AU20" s="230"/>
      <c r="AV20" s="230"/>
      <c r="AW20" s="230"/>
      <c r="AX20" s="230"/>
      <c r="AY20" s="230"/>
      <c r="AZ20" s="230"/>
      <c r="BA20" s="230"/>
      <c r="BB20" s="230"/>
      <c r="BC20" s="247"/>
      <c r="BD20" s="247"/>
      <c r="BE20" s="247"/>
      <c r="BF20" s="247"/>
    </row>
    <row r="21" spans="1:63" ht="18.75" customHeight="1">
      <c r="A21" s="57" t="s">
        <v>209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</row>
    <row r="22" spans="1:63" ht="18.75" customHeight="1">
      <c r="A22" s="57"/>
      <c r="B22" s="692" t="s">
        <v>531</v>
      </c>
      <c r="C22" s="693"/>
      <c r="D22" s="693"/>
      <c r="E22" s="693"/>
      <c r="F22" s="694"/>
      <c r="G22" s="698" t="s">
        <v>415</v>
      </c>
      <c r="H22" s="699"/>
      <c r="I22" s="699"/>
      <c r="J22" s="699"/>
      <c r="K22" s="699"/>
      <c r="L22" s="699"/>
      <c r="M22" s="699"/>
      <c r="N22" s="699"/>
      <c r="O22" s="699"/>
      <c r="P22" s="699"/>
      <c r="Q22" s="699"/>
      <c r="R22" s="699"/>
      <c r="S22" s="699"/>
      <c r="T22" s="699"/>
      <c r="U22" s="699"/>
      <c r="V22" s="699"/>
      <c r="W22" s="699"/>
      <c r="X22" s="699"/>
      <c r="Y22" s="699"/>
      <c r="Z22" s="699"/>
      <c r="AA22" s="699"/>
      <c r="AB22" s="699"/>
      <c r="AC22" s="699"/>
      <c r="AD22" s="699"/>
      <c r="AE22" s="700"/>
      <c r="AF22" s="692" t="s">
        <v>210</v>
      </c>
      <c r="AG22" s="693"/>
      <c r="AH22" s="693"/>
      <c r="AI22" s="693"/>
      <c r="AJ22" s="694"/>
      <c r="AK22" s="692" t="s">
        <v>78</v>
      </c>
      <c r="AL22" s="693"/>
      <c r="AM22" s="693"/>
      <c r="AN22" s="693"/>
      <c r="AO22" s="694"/>
      <c r="AP22" s="692" t="s">
        <v>569</v>
      </c>
      <c r="AQ22" s="693"/>
      <c r="AR22" s="693"/>
      <c r="AS22" s="693"/>
      <c r="AT22" s="694"/>
      <c r="AU22" s="727" t="s">
        <v>570</v>
      </c>
      <c r="AV22" s="728"/>
      <c r="AW22" s="728"/>
      <c r="AX22" s="728"/>
      <c r="AY22" s="729"/>
    </row>
    <row r="23" spans="1:63" ht="18.75" customHeight="1">
      <c r="A23" s="57"/>
      <c r="B23" s="695"/>
      <c r="C23" s="696"/>
      <c r="D23" s="696"/>
      <c r="E23" s="696"/>
      <c r="F23" s="697"/>
      <c r="G23" s="698" t="s">
        <v>96</v>
      </c>
      <c r="H23" s="699"/>
      <c r="I23" s="699"/>
      <c r="J23" s="699"/>
      <c r="K23" s="700"/>
      <c r="L23" s="698" t="s">
        <v>133</v>
      </c>
      <c r="M23" s="699"/>
      <c r="N23" s="699"/>
      <c r="O23" s="699"/>
      <c r="P23" s="700"/>
      <c r="Q23" s="698" t="s">
        <v>211</v>
      </c>
      <c r="R23" s="699"/>
      <c r="S23" s="699"/>
      <c r="T23" s="699"/>
      <c r="U23" s="700"/>
      <c r="V23" s="698" t="s">
        <v>212</v>
      </c>
      <c r="W23" s="699"/>
      <c r="X23" s="699"/>
      <c r="Y23" s="699"/>
      <c r="Z23" s="700"/>
      <c r="AA23" s="698" t="s">
        <v>213</v>
      </c>
      <c r="AB23" s="699"/>
      <c r="AC23" s="699"/>
      <c r="AD23" s="699"/>
      <c r="AE23" s="700"/>
      <c r="AF23" s="695"/>
      <c r="AG23" s="696"/>
      <c r="AH23" s="696"/>
      <c r="AI23" s="696"/>
      <c r="AJ23" s="697"/>
      <c r="AK23" s="695"/>
      <c r="AL23" s="696"/>
      <c r="AM23" s="696"/>
      <c r="AN23" s="696"/>
      <c r="AO23" s="697"/>
      <c r="AP23" s="695"/>
      <c r="AQ23" s="696"/>
      <c r="AR23" s="696"/>
      <c r="AS23" s="696"/>
      <c r="AT23" s="697"/>
      <c r="AU23" s="695"/>
      <c r="AV23" s="696"/>
      <c r="AW23" s="696"/>
      <c r="AX23" s="696"/>
      <c r="AY23" s="697"/>
    </row>
    <row r="24" spans="1:63" ht="18.75" customHeight="1">
      <c r="A24" s="57"/>
      <c r="B24" s="698" t="s">
        <v>168</v>
      </c>
      <c r="C24" s="699"/>
      <c r="D24" s="699"/>
      <c r="E24" s="699"/>
      <c r="F24" s="700"/>
      <c r="G24" s="698" t="str">
        <f>B24</f>
        <v>mm</v>
      </c>
      <c r="H24" s="699"/>
      <c r="I24" s="699"/>
      <c r="J24" s="699"/>
      <c r="K24" s="700"/>
      <c r="L24" s="698" t="str">
        <f>G24</f>
        <v>mm</v>
      </c>
      <c r="M24" s="699"/>
      <c r="N24" s="699"/>
      <c r="O24" s="699"/>
      <c r="P24" s="700"/>
      <c r="Q24" s="698" t="str">
        <f>L24</f>
        <v>mm</v>
      </c>
      <c r="R24" s="699"/>
      <c r="S24" s="699"/>
      <c r="T24" s="699"/>
      <c r="U24" s="700"/>
      <c r="V24" s="698" t="str">
        <f>Q24</f>
        <v>mm</v>
      </c>
      <c r="W24" s="699"/>
      <c r="X24" s="699"/>
      <c r="Y24" s="699"/>
      <c r="Z24" s="700"/>
      <c r="AA24" s="698" t="str">
        <f>V24</f>
        <v>mm</v>
      </c>
      <c r="AB24" s="699"/>
      <c r="AC24" s="699"/>
      <c r="AD24" s="699"/>
      <c r="AE24" s="700"/>
      <c r="AF24" s="698" t="s">
        <v>168</v>
      </c>
      <c r="AG24" s="699"/>
      <c r="AH24" s="699"/>
      <c r="AI24" s="699"/>
      <c r="AJ24" s="700"/>
      <c r="AK24" s="698" t="s">
        <v>130</v>
      </c>
      <c r="AL24" s="699"/>
      <c r="AM24" s="699"/>
      <c r="AN24" s="699"/>
      <c r="AO24" s="700"/>
      <c r="AP24" s="698" t="s">
        <v>130</v>
      </c>
      <c r="AQ24" s="699"/>
      <c r="AR24" s="699"/>
      <c r="AS24" s="699"/>
      <c r="AT24" s="700"/>
      <c r="AU24" s="730" t="s">
        <v>571</v>
      </c>
      <c r="AV24" s="731"/>
      <c r="AW24" s="731"/>
      <c r="AX24" s="731"/>
      <c r="AY24" s="732"/>
    </row>
    <row r="25" spans="1:63" ht="18.75" customHeight="1">
      <c r="A25" s="57"/>
      <c r="B25" s="590" t="str">
        <f>Calcu!U21</f>
        <v/>
      </c>
      <c r="C25" s="591"/>
      <c r="D25" s="591"/>
      <c r="E25" s="591"/>
      <c r="F25" s="592"/>
      <c r="G25" s="590" t="str">
        <f>IF(Calcu!B21=TRUE,Calcu!E21*$H$5,"")</f>
        <v/>
      </c>
      <c r="H25" s="591"/>
      <c r="I25" s="591"/>
      <c r="J25" s="591"/>
      <c r="K25" s="592"/>
      <c r="L25" s="590" t="str">
        <f>IF(Calcu!B21=TRUE,Calcu!F21*H$5,"")</f>
        <v/>
      </c>
      <c r="M25" s="591"/>
      <c r="N25" s="591"/>
      <c r="O25" s="591"/>
      <c r="P25" s="592"/>
      <c r="Q25" s="590" t="str">
        <f>IF(Calcu!B21=TRUE,Calcu!G21*H$5,"")</f>
        <v/>
      </c>
      <c r="R25" s="591"/>
      <c r="S25" s="591"/>
      <c r="T25" s="591"/>
      <c r="U25" s="592"/>
      <c r="V25" s="590" t="str">
        <f>IF(Calcu!B21=TRUE,Calcu!H21*H$5,"")</f>
        <v/>
      </c>
      <c r="W25" s="591"/>
      <c r="X25" s="591"/>
      <c r="Y25" s="591"/>
      <c r="Z25" s="592"/>
      <c r="AA25" s="590" t="str">
        <f>IF(Calcu!B21=TRUE,Calcu!I21*H$5,"")</f>
        <v/>
      </c>
      <c r="AB25" s="591"/>
      <c r="AC25" s="591"/>
      <c r="AD25" s="591"/>
      <c r="AE25" s="592"/>
      <c r="AF25" s="590" t="str">
        <f>Calcu!M21</f>
        <v/>
      </c>
      <c r="AG25" s="591"/>
      <c r="AH25" s="591"/>
      <c r="AI25" s="591"/>
      <c r="AJ25" s="592"/>
      <c r="AK25" s="590" t="str">
        <f>IF(B25="","",Calcu!K21*1000)</f>
        <v/>
      </c>
      <c r="AL25" s="591"/>
      <c r="AM25" s="591"/>
      <c r="AN25" s="591"/>
      <c r="AO25" s="592"/>
      <c r="AP25" s="590" t="str">
        <f>IF(B25="","",AK25/SQRT(5))</f>
        <v/>
      </c>
      <c r="AQ25" s="591"/>
      <c r="AR25" s="591"/>
      <c r="AS25" s="591"/>
      <c r="AT25" s="592"/>
      <c r="AU25" s="733" t="str">
        <f>IF(B25="","",(Calcu!L21-B25)*1000)</f>
        <v/>
      </c>
      <c r="AV25" s="734"/>
      <c r="AW25" s="734"/>
      <c r="AX25" s="734"/>
      <c r="AY25" s="735"/>
    </row>
    <row r="26" spans="1:63" ht="18.75" customHeight="1">
      <c r="A26" s="57"/>
      <c r="B26" s="590" t="str">
        <f>Calcu!U22</f>
        <v/>
      </c>
      <c r="C26" s="591"/>
      <c r="D26" s="591"/>
      <c r="E26" s="591"/>
      <c r="F26" s="592"/>
      <c r="G26" s="590" t="str">
        <f>IF(Calcu!B22=TRUE,Calcu!E22*$H$5,"")</f>
        <v/>
      </c>
      <c r="H26" s="591"/>
      <c r="I26" s="591"/>
      <c r="J26" s="591"/>
      <c r="K26" s="592"/>
      <c r="L26" s="590" t="str">
        <f>IF(Calcu!B22=TRUE,Calcu!F22*H$5,"")</f>
        <v/>
      </c>
      <c r="M26" s="591"/>
      <c r="N26" s="591"/>
      <c r="O26" s="591"/>
      <c r="P26" s="592"/>
      <c r="Q26" s="590" t="str">
        <f>IF(Calcu!B22=TRUE,Calcu!G22*H$5,"")</f>
        <v/>
      </c>
      <c r="R26" s="591"/>
      <c r="S26" s="591"/>
      <c r="T26" s="591"/>
      <c r="U26" s="592"/>
      <c r="V26" s="590" t="str">
        <f>IF(Calcu!B22=TRUE,Calcu!H22*H$5,"")</f>
        <v/>
      </c>
      <c r="W26" s="591"/>
      <c r="X26" s="591"/>
      <c r="Y26" s="591"/>
      <c r="Z26" s="592"/>
      <c r="AA26" s="590" t="str">
        <f>IF(Calcu!B22=TRUE,Calcu!I22*H$5,"")</f>
        <v/>
      </c>
      <c r="AB26" s="591"/>
      <c r="AC26" s="591"/>
      <c r="AD26" s="591"/>
      <c r="AE26" s="592"/>
      <c r="AF26" s="590" t="str">
        <f>Calcu!M22</f>
        <v/>
      </c>
      <c r="AG26" s="591"/>
      <c r="AH26" s="591"/>
      <c r="AI26" s="591"/>
      <c r="AJ26" s="592"/>
      <c r="AK26" s="590" t="str">
        <f>IF(B26="","",Calcu!K22*1000)</f>
        <v/>
      </c>
      <c r="AL26" s="591"/>
      <c r="AM26" s="591"/>
      <c r="AN26" s="591"/>
      <c r="AO26" s="592"/>
      <c r="AP26" s="590" t="str">
        <f t="shared" ref="AP26:AP45" si="0">IF(B26="","",AK26/SQRT(5))</f>
        <v/>
      </c>
      <c r="AQ26" s="591"/>
      <c r="AR26" s="591"/>
      <c r="AS26" s="591"/>
      <c r="AT26" s="592"/>
      <c r="AU26" s="733" t="str">
        <f>IF(B26="","",(Calcu!L22-B26)*1000)</f>
        <v/>
      </c>
      <c r="AV26" s="734"/>
      <c r="AW26" s="734"/>
      <c r="AX26" s="734"/>
      <c r="AY26" s="735"/>
    </row>
    <row r="27" spans="1:63" ht="18.75" customHeight="1">
      <c r="A27" s="57"/>
      <c r="B27" s="590" t="str">
        <f>Calcu!U23</f>
        <v/>
      </c>
      <c r="C27" s="591"/>
      <c r="D27" s="591"/>
      <c r="E27" s="591"/>
      <c r="F27" s="592"/>
      <c r="G27" s="590" t="str">
        <f>IF(Calcu!B23=TRUE,Calcu!E23*$H$5,"")</f>
        <v/>
      </c>
      <c r="H27" s="591"/>
      <c r="I27" s="591"/>
      <c r="J27" s="591"/>
      <c r="K27" s="592"/>
      <c r="L27" s="590" t="str">
        <f>IF(Calcu!B23=TRUE,Calcu!F23*H$5,"")</f>
        <v/>
      </c>
      <c r="M27" s="591"/>
      <c r="N27" s="591"/>
      <c r="O27" s="591"/>
      <c r="P27" s="592"/>
      <c r="Q27" s="590" t="str">
        <f>IF(Calcu!B23=TRUE,Calcu!G23*H$5,"")</f>
        <v/>
      </c>
      <c r="R27" s="591"/>
      <c r="S27" s="591"/>
      <c r="T27" s="591"/>
      <c r="U27" s="592"/>
      <c r="V27" s="590" t="str">
        <f>IF(Calcu!B23=TRUE,Calcu!H23*H$5,"")</f>
        <v/>
      </c>
      <c r="W27" s="591"/>
      <c r="X27" s="591"/>
      <c r="Y27" s="591"/>
      <c r="Z27" s="592"/>
      <c r="AA27" s="590" t="str">
        <f>IF(Calcu!B23=TRUE,Calcu!I23*H$5,"")</f>
        <v/>
      </c>
      <c r="AB27" s="591"/>
      <c r="AC27" s="591"/>
      <c r="AD27" s="591"/>
      <c r="AE27" s="592"/>
      <c r="AF27" s="590" t="str">
        <f>Calcu!M23</f>
        <v/>
      </c>
      <c r="AG27" s="591"/>
      <c r="AH27" s="591"/>
      <c r="AI27" s="591"/>
      <c r="AJ27" s="592"/>
      <c r="AK27" s="590" t="str">
        <f>IF(B27="","",Calcu!K23*1000)</f>
        <v/>
      </c>
      <c r="AL27" s="591"/>
      <c r="AM27" s="591"/>
      <c r="AN27" s="591"/>
      <c r="AO27" s="592"/>
      <c r="AP27" s="590" t="str">
        <f t="shared" si="0"/>
        <v/>
      </c>
      <c r="AQ27" s="591"/>
      <c r="AR27" s="591"/>
      <c r="AS27" s="591"/>
      <c r="AT27" s="592"/>
      <c r="AU27" s="733" t="str">
        <f>IF(B27="","",(Calcu!L23-B27)*1000)</f>
        <v/>
      </c>
      <c r="AV27" s="734"/>
      <c r="AW27" s="734"/>
      <c r="AX27" s="734"/>
      <c r="AY27" s="735"/>
    </row>
    <row r="28" spans="1:63" ht="18.75" customHeight="1">
      <c r="A28" s="57"/>
      <c r="B28" s="590" t="str">
        <f>Calcu!U24</f>
        <v/>
      </c>
      <c r="C28" s="591"/>
      <c r="D28" s="591"/>
      <c r="E28" s="591"/>
      <c r="F28" s="592"/>
      <c r="G28" s="590" t="str">
        <f>IF(Calcu!B24=TRUE,Calcu!E24*$H$5,"")</f>
        <v/>
      </c>
      <c r="H28" s="591"/>
      <c r="I28" s="591"/>
      <c r="J28" s="591"/>
      <c r="K28" s="592"/>
      <c r="L28" s="590" t="str">
        <f>IF(Calcu!B24=TRUE,Calcu!F24*H$5,"")</f>
        <v/>
      </c>
      <c r="M28" s="591"/>
      <c r="N28" s="591"/>
      <c r="O28" s="591"/>
      <c r="P28" s="592"/>
      <c r="Q28" s="590" t="str">
        <f>IF(Calcu!B24=TRUE,Calcu!G24*H$5,"")</f>
        <v/>
      </c>
      <c r="R28" s="591"/>
      <c r="S28" s="591"/>
      <c r="T28" s="591"/>
      <c r="U28" s="592"/>
      <c r="V28" s="590" t="str">
        <f>IF(Calcu!B24=TRUE,Calcu!H24*H$5,"")</f>
        <v/>
      </c>
      <c r="W28" s="591"/>
      <c r="X28" s="591"/>
      <c r="Y28" s="591"/>
      <c r="Z28" s="592"/>
      <c r="AA28" s="590" t="str">
        <f>IF(Calcu!B24=TRUE,Calcu!I24*H$5,"")</f>
        <v/>
      </c>
      <c r="AB28" s="591"/>
      <c r="AC28" s="591"/>
      <c r="AD28" s="591"/>
      <c r="AE28" s="592"/>
      <c r="AF28" s="590" t="str">
        <f>Calcu!M24</f>
        <v/>
      </c>
      <c r="AG28" s="591"/>
      <c r="AH28" s="591"/>
      <c r="AI28" s="591"/>
      <c r="AJ28" s="592"/>
      <c r="AK28" s="590" t="str">
        <f>IF(B28="","",Calcu!K24*1000)</f>
        <v/>
      </c>
      <c r="AL28" s="591"/>
      <c r="AM28" s="591"/>
      <c r="AN28" s="591"/>
      <c r="AO28" s="592"/>
      <c r="AP28" s="590" t="str">
        <f t="shared" si="0"/>
        <v/>
      </c>
      <c r="AQ28" s="591"/>
      <c r="AR28" s="591"/>
      <c r="AS28" s="591"/>
      <c r="AT28" s="592"/>
      <c r="AU28" s="733" t="str">
        <f>IF(B28="","",(Calcu!L24-B28)*1000)</f>
        <v/>
      </c>
      <c r="AV28" s="734"/>
      <c r="AW28" s="734"/>
      <c r="AX28" s="734"/>
      <c r="AY28" s="735"/>
    </row>
    <row r="29" spans="1:63" ht="18.75" customHeight="1">
      <c r="A29" s="57"/>
      <c r="B29" s="590" t="str">
        <f>Calcu!U25</f>
        <v/>
      </c>
      <c r="C29" s="591"/>
      <c r="D29" s="591"/>
      <c r="E29" s="591"/>
      <c r="F29" s="592"/>
      <c r="G29" s="590" t="str">
        <f>IF(Calcu!B25=TRUE,Calcu!E25*$H$5,"")</f>
        <v/>
      </c>
      <c r="H29" s="591"/>
      <c r="I29" s="591"/>
      <c r="J29" s="591"/>
      <c r="K29" s="592"/>
      <c r="L29" s="590" t="str">
        <f>IF(Calcu!B25=TRUE,Calcu!F25*H$5,"")</f>
        <v/>
      </c>
      <c r="M29" s="591"/>
      <c r="N29" s="591"/>
      <c r="O29" s="591"/>
      <c r="P29" s="592"/>
      <c r="Q29" s="590" t="str">
        <f>IF(Calcu!B25=TRUE,Calcu!G25*H$5,"")</f>
        <v/>
      </c>
      <c r="R29" s="591"/>
      <c r="S29" s="591"/>
      <c r="T29" s="591"/>
      <c r="U29" s="592"/>
      <c r="V29" s="590" t="str">
        <f>IF(Calcu!B25=TRUE,Calcu!H25*H$5,"")</f>
        <v/>
      </c>
      <c r="W29" s="591"/>
      <c r="X29" s="591"/>
      <c r="Y29" s="591"/>
      <c r="Z29" s="592"/>
      <c r="AA29" s="590" t="str">
        <f>IF(Calcu!B25=TRUE,Calcu!I25*H$5,"")</f>
        <v/>
      </c>
      <c r="AB29" s="591"/>
      <c r="AC29" s="591"/>
      <c r="AD29" s="591"/>
      <c r="AE29" s="592"/>
      <c r="AF29" s="590" t="str">
        <f>Calcu!M25</f>
        <v/>
      </c>
      <c r="AG29" s="591"/>
      <c r="AH29" s="591"/>
      <c r="AI29" s="591"/>
      <c r="AJ29" s="592"/>
      <c r="AK29" s="590" t="str">
        <f>IF(B29="","",Calcu!K25*1000)</f>
        <v/>
      </c>
      <c r="AL29" s="591"/>
      <c r="AM29" s="591"/>
      <c r="AN29" s="591"/>
      <c r="AO29" s="592"/>
      <c r="AP29" s="590" t="str">
        <f t="shared" si="0"/>
        <v/>
      </c>
      <c r="AQ29" s="591"/>
      <c r="AR29" s="591"/>
      <c r="AS29" s="591"/>
      <c r="AT29" s="592"/>
      <c r="AU29" s="733" t="str">
        <f>IF(B29="","",(Calcu!L25-B29)*1000)</f>
        <v/>
      </c>
      <c r="AV29" s="734"/>
      <c r="AW29" s="734"/>
      <c r="AX29" s="734"/>
      <c r="AY29" s="735"/>
    </row>
    <row r="30" spans="1:63" ht="18.75" customHeight="1">
      <c r="A30" s="57"/>
      <c r="B30" s="590" t="str">
        <f>Calcu!U26</f>
        <v/>
      </c>
      <c r="C30" s="591"/>
      <c r="D30" s="591"/>
      <c r="E30" s="591"/>
      <c r="F30" s="592"/>
      <c r="G30" s="590" t="str">
        <f>IF(Calcu!B26=TRUE,Calcu!E26*$H$5,"")</f>
        <v/>
      </c>
      <c r="H30" s="591"/>
      <c r="I30" s="591"/>
      <c r="J30" s="591"/>
      <c r="K30" s="592"/>
      <c r="L30" s="590" t="str">
        <f>IF(Calcu!B26=TRUE,Calcu!F26*H$5,"")</f>
        <v/>
      </c>
      <c r="M30" s="591"/>
      <c r="N30" s="591"/>
      <c r="O30" s="591"/>
      <c r="P30" s="592"/>
      <c r="Q30" s="590" t="str">
        <f>IF(Calcu!B26=TRUE,Calcu!G26*H$5,"")</f>
        <v/>
      </c>
      <c r="R30" s="591"/>
      <c r="S30" s="591"/>
      <c r="T30" s="591"/>
      <c r="U30" s="592"/>
      <c r="V30" s="590" t="str">
        <f>IF(Calcu!B26=TRUE,Calcu!H26*H$5,"")</f>
        <v/>
      </c>
      <c r="W30" s="591"/>
      <c r="X30" s="591"/>
      <c r="Y30" s="591"/>
      <c r="Z30" s="592"/>
      <c r="AA30" s="590" t="str">
        <f>IF(Calcu!B26=TRUE,Calcu!I26*H$5,"")</f>
        <v/>
      </c>
      <c r="AB30" s="591"/>
      <c r="AC30" s="591"/>
      <c r="AD30" s="591"/>
      <c r="AE30" s="592"/>
      <c r="AF30" s="590" t="str">
        <f>Calcu!M26</f>
        <v/>
      </c>
      <c r="AG30" s="591"/>
      <c r="AH30" s="591"/>
      <c r="AI30" s="591"/>
      <c r="AJ30" s="592"/>
      <c r="AK30" s="590" t="str">
        <f>IF(B30="","",Calcu!K26*1000)</f>
        <v/>
      </c>
      <c r="AL30" s="591"/>
      <c r="AM30" s="591"/>
      <c r="AN30" s="591"/>
      <c r="AO30" s="592"/>
      <c r="AP30" s="590" t="str">
        <f t="shared" si="0"/>
        <v/>
      </c>
      <c r="AQ30" s="591"/>
      <c r="AR30" s="591"/>
      <c r="AS30" s="591"/>
      <c r="AT30" s="592"/>
      <c r="AU30" s="733" t="str">
        <f>IF(B30="","",(Calcu!L26-B30)*1000)</f>
        <v/>
      </c>
      <c r="AV30" s="734"/>
      <c r="AW30" s="734"/>
      <c r="AX30" s="734"/>
      <c r="AY30" s="735"/>
    </row>
    <row r="31" spans="1:63" ht="18.75" customHeight="1">
      <c r="A31" s="57"/>
      <c r="B31" s="590" t="str">
        <f>Calcu!U27</f>
        <v/>
      </c>
      <c r="C31" s="591"/>
      <c r="D31" s="591"/>
      <c r="E31" s="591"/>
      <c r="F31" s="592"/>
      <c r="G31" s="590" t="str">
        <f>IF(Calcu!B27=TRUE,Calcu!E27*$H$5,"")</f>
        <v/>
      </c>
      <c r="H31" s="591"/>
      <c r="I31" s="591"/>
      <c r="J31" s="591"/>
      <c r="K31" s="592"/>
      <c r="L31" s="590" t="str">
        <f>IF(Calcu!B27=TRUE,Calcu!F27*H$5,"")</f>
        <v/>
      </c>
      <c r="M31" s="591"/>
      <c r="N31" s="591"/>
      <c r="O31" s="591"/>
      <c r="P31" s="592"/>
      <c r="Q31" s="590" t="str">
        <f>IF(Calcu!B27=TRUE,Calcu!G27*H$5,"")</f>
        <v/>
      </c>
      <c r="R31" s="591"/>
      <c r="S31" s="591"/>
      <c r="T31" s="591"/>
      <c r="U31" s="592"/>
      <c r="V31" s="590" t="str">
        <f>IF(Calcu!B27=TRUE,Calcu!H27*H$5,"")</f>
        <v/>
      </c>
      <c r="W31" s="591"/>
      <c r="X31" s="591"/>
      <c r="Y31" s="591"/>
      <c r="Z31" s="592"/>
      <c r="AA31" s="590" t="str">
        <f>IF(Calcu!B27=TRUE,Calcu!I27*H$5,"")</f>
        <v/>
      </c>
      <c r="AB31" s="591"/>
      <c r="AC31" s="591"/>
      <c r="AD31" s="591"/>
      <c r="AE31" s="592"/>
      <c r="AF31" s="590" t="str">
        <f>Calcu!M27</f>
        <v/>
      </c>
      <c r="AG31" s="591"/>
      <c r="AH31" s="591"/>
      <c r="AI31" s="591"/>
      <c r="AJ31" s="592"/>
      <c r="AK31" s="590" t="str">
        <f>IF(B31="","",Calcu!K27*1000)</f>
        <v/>
      </c>
      <c r="AL31" s="591"/>
      <c r="AM31" s="591"/>
      <c r="AN31" s="591"/>
      <c r="AO31" s="592"/>
      <c r="AP31" s="590" t="str">
        <f t="shared" si="0"/>
        <v/>
      </c>
      <c r="AQ31" s="591"/>
      <c r="AR31" s="591"/>
      <c r="AS31" s="591"/>
      <c r="AT31" s="592"/>
      <c r="AU31" s="733" t="str">
        <f>IF(B31="","",(Calcu!L27-B31)*1000)</f>
        <v/>
      </c>
      <c r="AV31" s="734"/>
      <c r="AW31" s="734"/>
      <c r="AX31" s="734"/>
      <c r="AY31" s="735"/>
    </row>
    <row r="32" spans="1:63" ht="18.75" customHeight="1">
      <c r="A32" s="57"/>
      <c r="B32" s="590" t="str">
        <f>Calcu!U28</f>
        <v/>
      </c>
      <c r="C32" s="591"/>
      <c r="D32" s="591"/>
      <c r="E32" s="591"/>
      <c r="F32" s="592"/>
      <c r="G32" s="590" t="str">
        <f>IF(Calcu!B28=TRUE,Calcu!E28*$H$5,"")</f>
        <v/>
      </c>
      <c r="H32" s="591"/>
      <c r="I32" s="591"/>
      <c r="J32" s="591"/>
      <c r="K32" s="592"/>
      <c r="L32" s="590" t="str">
        <f>IF(Calcu!B28=TRUE,Calcu!F28*H$5,"")</f>
        <v/>
      </c>
      <c r="M32" s="591"/>
      <c r="N32" s="591"/>
      <c r="O32" s="591"/>
      <c r="P32" s="592"/>
      <c r="Q32" s="590" t="str">
        <f>IF(Calcu!B28=TRUE,Calcu!G28*H$5,"")</f>
        <v/>
      </c>
      <c r="R32" s="591"/>
      <c r="S32" s="591"/>
      <c r="T32" s="591"/>
      <c r="U32" s="592"/>
      <c r="V32" s="590" t="str">
        <f>IF(Calcu!B28=TRUE,Calcu!H28*H$5,"")</f>
        <v/>
      </c>
      <c r="W32" s="591"/>
      <c r="X32" s="591"/>
      <c r="Y32" s="591"/>
      <c r="Z32" s="592"/>
      <c r="AA32" s="590" t="str">
        <f>IF(Calcu!B28=TRUE,Calcu!I28*H$5,"")</f>
        <v/>
      </c>
      <c r="AB32" s="591"/>
      <c r="AC32" s="591"/>
      <c r="AD32" s="591"/>
      <c r="AE32" s="592"/>
      <c r="AF32" s="590" t="str">
        <f>Calcu!M28</f>
        <v/>
      </c>
      <c r="AG32" s="591"/>
      <c r="AH32" s="591"/>
      <c r="AI32" s="591"/>
      <c r="AJ32" s="592"/>
      <c r="AK32" s="590" t="str">
        <f>IF(B32="","",Calcu!K28*1000)</f>
        <v/>
      </c>
      <c r="AL32" s="591"/>
      <c r="AM32" s="591"/>
      <c r="AN32" s="591"/>
      <c r="AO32" s="592"/>
      <c r="AP32" s="590" t="str">
        <f t="shared" si="0"/>
        <v/>
      </c>
      <c r="AQ32" s="591"/>
      <c r="AR32" s="591"/>
      <c r="AS32" s="591"/>
      <c r="AT32" s="592"/>
      <c r="AU32" s="733" t="str">
        <f>IF(B32="","",(Calcu!L28-B32)*1000)</f>
        <v/>
      </c>
      <c r="AV32" s="734"/>
      <c r="AW32" s="734"/>
      <c r="AX32" s="734"/>
      <c r="AY32" s="735"/>
    </row>
    <row r="33" spans="1:51" ht="18.75" customHeight="1">
      <c r="A33" s="57"/>
      <c r="B33" s="590" t="str">
        <f>Calcu!U29</f>
        <v/>
      </c>
      <c r="C33" s="591"/>
      <c r="D33" s="591"/>
      <c r="E33" s="591"/>
      <c r="F33" s="592"/>
      <c r="G33" s="590" t="str">
        <f>IF(Calcu!B29=TRUE,Calcu!E29*$H$5,"")</f>
        <v/>
      </c>
      <c r="H33" s="591"/>
      <c r="I33" s="591"/>
      <c r="J33" s="591"/>
      <c r="K33" s="592"/>
      <c r="L33" s="590" t="str">
        <f>IF(Calcu!B29=TRUE,Calcu!F29*H$5,"")</f>
        <v/>
      </c>
      <c r="M33" s="591"/>
      <c r="N33" s="591"/>
      <c r="O33" s="591"/>
      <c r="P33" s="592"/>
      <c r="Q33" s="590" t="str">
        <f>IF(Calcu!B29=TRUE,Calcu!G29*H$5,"")</f>
        <v/>
      </c>
      <c r="R33" s="591"/>
      <c r="S33" s="591"/>
      <c r="T33" s="591"/>
      <c r="U33" s="592"/>
      <c r="V33" s="590" t="str">
        <f>IF(Calcu!B29=TRUE,Calcu!H29*H$5,"")</f>
        <v/>
      </c>
      <c r="W33" s="591"/>
      <c r="X33" s="591"/>
      <c r="Y33" s="591"/>
      <c r="Z33" s="592"/>
      <c r="AA33" s="590" t="str">
        <f>IF(Calcu!B29=TRUE,Calcu!I29*H$5,"")</f>
        <v/>
      </c>
      <c r="AB33" s="591"/>
      <c r="AC33" s="591"/>
      <c r="AD33" s="591"/>
      <c r="AE33" s="592"/>
      <c r="AF33" s="590" t="str">
        <f>Calcu!M29</f>
        <v/>
      </c>
      <c r="AG33" s="591"/>
      <c r="AH33" s="591"/>
      <c r="AI33" s="591"/>
      <c r="AJ33" s="592"/>
      <c r="AK33" s="590" t="str">
        <f>IF(B33="","",Calcu!K29*1000)</f>
        <v/>
      </c>
      <c r="AL33" s="591"/>
      <c r="AM33" s="591"/>
      <c r="AN33" s="591"/>
      <c r="AO33" s="592"/>
      <c r="AP33" s="590" t="str">
        <f t="shared" si="0"/>
        <v/>
      </c>
      <c r="AQ33" s="591"/>
      <c r="AR33" s="591"/>
      <c r="AS33" s="591"/>
      <c r="AT33" s="592"/>
      <c r="AU33" s="733" t="str">
        <f>IF(B33="","",(Calcu!L29-B33)*1000)</f>
        <v/>
      </c>
      <c r="AV33" s="734"/>
      <c r="AW33" s="734"/>
      <c r="AX33" s="734"/>
      <c r="AY33" s="735"/>
    </row>
    <row r="34" spans="1:51" ht="18.75" customHeight="1">
      <c r="A34" s="57"/>
      <c r="B34" s="590" t="str">
        <f>Calcu!U30</f>
        <v/>
      </c>
      <c r="C34" s="591"/>
      <c r="D34" s="591"/>
      <c r="E34" s="591"/>
      <c r="F34" s="592"/>
      <c r="G34" s="590" t="str">
        <f>IF(Calcu!B30=TRUE,Calcu!E30*$H$5,"")</f>
        <v/>
      </c>
      <c r="H34" s="591"/>
      <c r="I34" s="591"/>
      <c r="J34" s="591"/>
      <c r="K34" s="592"/>
      <c r="L34" s="590" t="str">
        <f>IF(Calcu!B30=TRUE,Calcu!F30*H$5,"")</f>
        <v/>
      </c>
      <c r="M34" s="591"/>
      <c r="N34" s="591"/>
      <c r="O34" s="591"/>
      <c r="P34" s="592"/>
      <c r="Q34" s="590" t="str">
        <f>IF(Calcu!B30=TRUE,Calcu!G30*H$5,"")</f>
        <v/>
      </c>
      <c r="R34" s="591"/>
      <c r="S34" s="591"/>
      <c r="T34" s="591"/>
      <c r="U34" s="592"/>
      <c r="V34" s="590" t="str">
        <f>IF(Calcu!B30=TRUE,Calcu!H30*H$5,"")</f>
        <v/>
      </c>
      <c r="W34" s="591"/>
      <c r="X34" s="591"/>
      <c r="Y34" s="591"/>
      <c r="Z34" s="592"/>
      <c r="AA34" s="590" t="str">
        <f>IF(Calcu!B30=TRUE,Calcu!I30*H$5,"")</f>
        <v/>
      </c>
      <c r="AB34" s="591"/>
      <c r="AC34" s="591"/>
      <c r="AD34" s="591"/>
      <c r="AE34" s="592"/>
      <c r="AF34" s="590" t="str">
        <f>Calcu!M30</f>
        <v/>
      </c>
      <c r="AG34" s="591"/>
      <c r="AH34" s="591"/>
      <c r="AI34" s="591"/>
      <c r="AJ34" s="592"/>
      <c r="AK34" s="590" t="str">
        <f>IF(B34="","",Calcu!K30*1000)</f>
        <v/>
      </c>
      <c r="AL34" s="591"/>
      <c r="AM34" s="591"/>
      <c r="AN34" s="591"/>
      <c r="AO34" s="592"/>
      <c r="AP34" s="590" t="str">
        <f t="shared" si="0"/>
        <v/>
      </c>
      <c r="AQ34" s="591"/>
      <c r="AR34" s="591"/>
      <c r="AS34" s="591"/>
      <c r="AT34" s="592"/>
      <c r="AU34" s="733" t="str">
        <f>IF(B34="","",(Calcu!L30-B34)*1000)</f>
        <v/>
      </c>
      <c r="AV34" s="734"/>
      <c r="AW34" s="734"/>
      <c r="AX34" s="734"/>
      <c r="AY34" s="735"/>
    </row>
    <row r="35" spans="1:51" ht="18.75" customHeight="1">
      <c r="A35" s="57"/>
      <c r="B35" s="590" t="str">
        <f>Calcu!U31</f>
        <v/>
      </c>
      <c r="C35" s="591"/>
      <c r="D35" s="591"/>
      <c r="E35" s="591"/>
      <c r="F35" s="592"/>
      <c r="G35" s="590" t="str">
        <f>IF(Calcu!B31=TRUE,Calcu!E31*$H$5,"")</f>
        <v/>
      </c>
      <c r="H35" s="591"/>
      <c r="I35" s="591"/>
      <c r="J35" s="591"/>
      <c r="K35" s="592"/>
      <c r="L35" s="590" t="str">
        <f>IF(Calcu!B31=TRUE,Calcu!F31*H$5,"")</f>
        <v/>
      </c>
      <c r="M35" s="591"/>
      <c r="N35" s="591"/>
      <c r="O35" s="591"/>
      <c r="P35" s="592"/>
      <c r="Q35" s="590" t="str">
        <f>IF(Calcu!B31=TRUE,Calcu!G31*H$5,"")</f>
        <v/>
      </c>
      <c r="R35" s="591"/>
      <c r="S35" s="591"/>
      <c r="T35" s="591"/>
      <c r="U35" s="592"/>
      <c r="V35" s="590" t="str">
        <f>IF(Calcu!B31=TRUE,Calcu!H31*H$5,"")</f>
        <v/>
      </c>
      <c r="W35" s="591"/>
      <c r="X35" s="591"/>
      <c r="Y35" s="591"/>
      <c r="Z35" s="592"/>
      <c r="AA35" s="590" t="str">
        <f>IF(Calcu!B31=TRUE,Calcu!I31*H$5,"")</f>
        <v/>
      </c>
      <c r="AB35" s="591"/>
      <c r="AC35" s="591"/>
      <c r="AD35" s="591"/>
      <c r="AE35" s="592"/>
      <c r="AF35" s="590" t="str">
        <f>Calcu!M31</f>
        <v/>
      </c>
      <c r="AG35" s="591"/>
      <c r="AH35" s="591"/>
      <c r="AI35" s="591"/>
      <c r="AJ35" s="592"/>
      <c r="AK35" s="590" t="str">
        <f>IF(B35="","",Calcu!K31*1000)</f>
        <v/>
      </c>
      <c r="AL35" s="591"/>
      <c r="AM35" s="591"/>
      <c r="AN35" s="591"/>
      <c r="AO35" s="592"/>
      <c r="AP35" s="590" t="str">
        <f t="shared" si="0"/>
        <v/>
      </c>
      <c r="AQ35" s="591"/>
      <c r="AR35" s="591"/>
      <c r="AS35" s="591"/>
      <c r="AT35" s="592"/>
      <c r="AU35" s="733" t="str">
        <f>IF(B35="","",(Calcu!L31-B35)*1000)</f>
        <v/>
      </c>
      <c r="AV35" s="734"/>
      <c r="AW35" s="734"/>
      <c r="AX35" s="734"/>
      <c r="AY35" s="735"/>
    </row>
    <row r="36" spans="1:51" ht="18.75" customHeight="1">
      <c r="A36" s="57"/>
      <c r="B36" s="590" t="str">
        <f>Calcu!U32</f>
        <v/>
      </c>
      <c r="C36" s="591"/>
      <c r="D36" s="591"/>
      <c r="E36" s="591"/>
      <c r="F36" s="592"/>
      <c r="G36" s="590" t="str">
        <f>IF(Calcu!B32=TRUE,Calcu!E32*$H$5,"")</f>
        <v/>
      </c>
      <c r="H36" s="591"/>
      <c r="I36" s="591"/>
      <c r="J36" s="591"/>
      <c r="K36" s="592"/>
      <c r="L36" s="590" t="str">
        <f>IF(Calcu!B32=TRUE,Calcu!F32*H$5,"")</f>
        <v/>
      </c>
      <c r="M36" s="591"/>
      <c r="N36" s="591"/>
      <c r="O36" s="591"/>
      <c r="P36" s="592"/>
      <c r="Q36" s="590" t="str">
        <f>IF(Calcu!B32=TRUE,Calcu!G32*H$5,"")</f>
        <v/>
      </c>
      <c r="R36" s="591"/>
      <c r="S36" s="591"/>
      <c r="T36" s="591"/>
      <c r="U36" s="592"/>
      <c r="V36" s="590" t="str">
        <f>IF(Calcu!B32=TRUE,Calcu!H32*H$5,"")</f>
        <v/>
      </c>
      <c r="W36" s="591"/>
      <c r="X36" s="591"/>
      <c r="Y36" s="591"/>
      <c r="Z36" s="592"/>
      <c r="AA36" s="590" t="str">
        <f>IF(Calcu!B32=TRUE,Calcu!I32*H$5,"")</f>
        <v/>
      </c>
      <c r="AB36" s="591"/>
      <c r="AC36" s="591"/>
      <c r="AD36" s="591"/>
      <c r="AE36" s="592"/>
      <c r="AF36" s="590" t="str">
        <f>Calcu!M32</f>
        <v/>
      </c>
      <c r="AG36" s="591"/>
      <c r="AH36" s="591"/>
      <c r="AI36" s="591"/>
      <c r="AJ36" s="592"/>
      <c r="AK36" s="590" t="str">
        <f>IF(B36="","",Calcu!K32*1000)</f>
        <v/>
      </c>
      <c r="AL36" s="591"/>
      <c r="AM36" s="591"/>
      <c r="AN36" s="591"/>
      <c r="AO36" s="592"/>
      <c r="AP36" s="590" t="str">
        <f t="shared" si="0"/>
        <v/>
      </c>
      <c r="AQ36" s="591"/>
      <c r="AR36" s="591"/>
      <c r="AS36" s="591"/>
      <c r="AT36" s="592"/>
      <c r="AU36" s="733" t="str">
        <f>IF(B36="","",(Calcu!L32-B36)*1000)</f>
        <v/>
      </c>
      <c r="AV36" s="734"/>
      <c r="AW36" s="734"/>
      <c r="AX36" s="734"/>
      <c r="AY36" s="735"/>
    </row>
    <row r="37" spans="1:51" ht="18.75" customHeight="1">
      <c r="A37" s="57"/>
      <c r="B37" s="590" t="str">
        <f>Calcu!U33</f>
        <v/>
      </c>
      <c r="C37" s="591"/>
      <c r="D37" s="591"/>
      <c r="E37" s="591"/>
      <c r="F37" s="592"/>
      <c r="G37" s="590" t="str">
        <f>IF(Calcu!B33=TRUE,Calcu!E33*$H$5,"")</f>
        <v/>
      </c>
      <c r="H37" s="591"/>
      <c r="I37" s="591"/>
      <c r="J37" s="591"/>
      <c r="K37" s="592"/>
      <c r="L37" s="590" t="str">
        <f>IF(Calcu!B33=TRUE,Calcu!F33*H$5,"")</f>
        <v/>
      </c>
      <c r="M37" s="591"/>
      <c r="N37" s="591"/>
      <c r="O37" s="591"/>
      <c r="P37" s="592"/>
      <c r="Q37" s="590" t="str">
        <f>IF(Calcu!B33=TRUE,Calcu!G33*H$5,"")</f>
        <v/>
      </c>
      <c r="R37" s="591"/>
      <c r="S37" s="591"/>
      <c r="T37" s="591"/>
      <c r="U37" s="592"/>
      <c r="V37" s="590" t="str">
        <f>IF(Calcu!B33=TRUE,Calcu!H33*H$5,"")</f>
        <v/>
      </c>
      <c r="W37" s="591"/>
      <c r="X37" s="591"/>
      <c r="Y37" s="591"/>
      <c r="Z37" s="592"/>
      <c r="AA37" s="590" t="str">
        <f>IF(Calcu!B33=TRUE,Calcu!I33*H$5,"")</f>
        <v/>
      </c>
      <c r="AB37" s="591"/>
      <c r="AC37" s="591"/>
      <c r="AD37" s="591"/>
      <c r="AE37" s="592"/>
      <c r="AF37" s="590" t="str">
        <f>Calcu!M33</f>
        <v/>
      </c>
      <c r="AG37" s="591"/>
      <c r="AH37" s="591"/>
      <c r="AI37" s="591"/>
      <c r="AJ37" s="592"/>
      <c r="AK37" s="590" t="str">
        <f>IF(B37="","",Calcu!K33*1000)</f>
        <v/>
      </c>
      <c r="AL37" s="591"/>
      <c r="AM37" s="591"/>
      <c r="AN37" s="591"/>
      <c r="AO37" s="592"/>
      <c r="AP37" s="590" t="str">
        <f t="shared" si="0"/>
        <v/>
      </c>
      <c r="AQ37" s="591"/>
      <c r="AR37" s="591"/>
      <c r="AS37" s="591"/>
      <c r="AT37" s="592"/>
      <c r="AU37" s="733" t="str">
        <f>IF(B37="","",(Calcu!L33-B37)*1000)</f>
        <v/>
      </c>
      <c r="AV37" s="734"/>
      <c r="AW37" s="734"/>
      <c r="AX37" s="734"/>
      <c r="AY37" s="735"/>
    </row>
    <row r="38" spans="1:51" ht="18.75" customHeight="1">
      <c r="A38" s="57"/>
      <c r="B38" s="590" t="str">
        <f>Calcu!U34</f>
        <v/>
      </c>
      <c r="C38" s="591"/>
      <c r="D38" s="591"/>
      <c r="E38" s="591"/>
      <c r="F38" s="592"/>
      <c r="G38" s="590" t="str">
        <f>IF(Calcu!B34=TRUE,Calcu!E34*$H$5,"")</f>
        <v/>
      </c>
      <c r="H38" s="591"/>
      <c r="I38" s="591"/>
      <c r="J38" s="591"/>
      <c r="K38" s="592"/>
      <c r="L38" s="590" t="str">
        <f>IF(Calcu!B34=TRUE,Calcu!F34*H$5,"")</f>
        <v/>
      </c>
      <c r="M38" s="591"/>
      <c r="N38" s="591"/>
      <c r="O38" s="591"/>
      <c r="P38" s="592"/>
      <c r="Q38" s="590" t="str">
        <f>IF(Calcu!B34=TRUE,Calcu!G34*H$5,"")</f>
        <v/>
      </c>
      <c r="R38" s="591"/>
      <c r="S38" s="591"/>
      <c r="T38" s="591"/>
      <c r="U38" s="592"/>
      <c r="V38" s="590" t="str">
        <f>IF(Calcu!B34=TRUE,Calcu!H34*H$5,"")</f>
        <v/>
      </c>
      <c r="W38" s="591"/>
      <c r="X38" s="591"/>
      <c r="Y38" s="591"/>
      <c r="Z38" s="592"/>
      <c r="AA38" s="590" t="str">
        <f>IF(Calcu!B34=TRUE,Calcu!I34*H$5,"")</f>
        <v/>
      </c>
      <c r="AB38" s="591"/>
      <c r="AC38" s="591"/>
      <c r="AD38" s="591"/>
      <c r="AE38" s="592"/>
      <c r="AF38" s="590" t="str">
        <f>Calcu!M34</f>
        <v/>
      </c>
      <c r="AG38" s="591"/>
      <c r="AH38" s="591"/>
      <c r="AI38" s="591"/>
      <c r="AJ38" s="592"/>
      <c r="AK38" s="590" t="str">
        <f>IF(B38="","",Calcu!K34*1000)</f>
        <v/>
      </c>
      <c r="AL38" s="591"/>
      <c r="AM38" s="591"/>
      <c r="AN38" s="591"/>
      <c r="AO38" s="592"/>
      <c r="AP38" s="590" t="str">
        <f t="shared" si="0"/>
        <v/>
      </c>
      <c r="AQ38" s="591"/>
      <c r="AR38" s="591"/>
      <c r="AS38" s="591"/>
      <c r="AT38" s="592"/>
      <c r="AU38" s="733" t="str">
        <f>IF(B38="","",(Calcu!L34-B38)*1000)</f>
        <v/>
      </c>
      <c r="AV38" s="734"/>
      <c r="AW38" s="734"/>
      <c r="AX38" s="734"/>
      <c r="AY38" s="735"/>
    </row>
    <row r="39" spans="1:51" ht="18.75" customHeight="1">
      <c r="A39" s="57"/>
      <c r="B39" s="590" t="str">
        <f>Calcu!U35</f>
        <v/>
      </c>
      <c r="C39" s="591"/>
      <c r="D39" s="591"/>
      <c r="E39" s="591"/>
      <c r="F39" s="592"/>
      <c r="G39" s="590" t="str">
        <f>IF(Calcu!B35=TRUE,Calcu!E35*$H$5,"")</f>
        <v/>
      </c>
      <c r="H39" s="591"/>
      <c r="I39" s="591"/>
      <c r="J39" s="591"/>
      <c r="K39" s="592"/>
      <c r="L39" s="590" t="str">
        <f>IF(Calcu!B35=TRUE,Calcu!F35*H$5,"")</f>
        <v/>
      </c>
      <c r="M39" s="591"/>
      <c r="N39" s="591"/>
      <c r="O39" s="591"/>
      <c r="P39" s="592"/>
      <c r="Q39" s="590" t="str">
        <f>IF(Calcu!B35=TRUE,Calcu!G35*H$5,"")</f>
        <v/>
      </c>
      <c r="R39" s="591"/>
      <c r="S39" s="591"/>
      <c r="T39" s="591"/>
      <c r="U39" s="592"/>
      <c r="V39" s="590" t="str">
        <f>IF(Calcu!B35=TRUE,Calcu!H35*H$5,"")</f>
        <v/>
      </c>
      <c r="W39" s="591"/>
      <c r="X39" s="591"/>
      <c r="Y39" s="591"/>
      <c r="Z39" s="592"/>
      <c r="AA39" s="590" t="str">
        <f>IF(Calcu!B35=TRUE,Calcu!I35*H$5,"")</f>
        <v/>
      </c>
      <c r="AB39" s="591"/>
      <c r="AC39" s="591"/>
      <c r="AD39" s="591"/>
      <c r="AE39" s="592"/>
      <c r="AF39" s="590" t="str">
        <f>Calcu!M35</f>
        <v/>
      </c>
      <c r="AG39" s="591"/>
      <c r="AH39" s="591"/>
      <c r="AI39" s="591"/>
      <c r="AJ39" s="592"/>
      <c r="AK39" s="590" t="str">
        <f>IF(B39="","",Calcu!K35*1000)</f>
        <v/>
      </c>
      <c r="AL39" s="591"/>
      <c r="AM39" s="591"/>
      <c r="AN39" s="591"/>
      <c r="AO39" s="592"/>
      <c r="AP39" s="590" t="str">
        <f t="shared" si="0"/>
        <v/>
      </c>
      <c r="AQ39" s="591"/>
      <c r="AR39" s="591"/>
      <c r="AS39" s="591"/>
      <c r="AT39" s="592"/>
      <c r="AU39" s="733" t="str">
        <f>IF(B39="","",(Calcu!L35-B39)*1000)</f>
        <v/>
      </c>
      <c r="AV39" s="734"/>
      <c r="AW39" s="734"/>
      <c r="AX39" s="734"/>
      <c r="AY39" s="735"/>
    </row>
    <row r="40" spans="1:51" ht="18.75" customHeight="1">
      <c r="A40" s="57"/>
      <c r="B40" s="590" t="str">
        <f>Calcu!U36</f>
        <v/>
      </c>
      <c r="C40" s="591"/>
      <c r="D40" s="591"/>
      <c r="E40" s="591"/>
      <c r="F40" s="592"/>
      <c r="G40" s="590" t="str">
        <f>IF(Calcu!B36=TRUE,Calcu!E36*$H$5,"")</f>
        <v/>
      </c>
      <c r="H40" s="591"/>
      <c r="I40" s="591"/>
      <c r="J40" s="591"/>
      <c r="K40" s="592"/>
      <c r="L40" s="590" t="str">
        <f>IF(Calcu!B36=TRUE,Calcu!F36*H$5,"")</f>
        <v/>
      </c>
      <c r="M40" s="591"/>
      <c r="N40" s="591"/>
      <c r="O40" s="591"/>
      <c r="P40" s="592"/>
      <c r="Q40" s="590" t="str">
        <f>IF(Calcu!B36=TRUE,Calcu!G36*H$5,"")</f>
        <v/>
      </c>
      <c r="R40" s="591"/>
      <c r="S40" s="591"/>
      <c r="T40" s="591"/>
      <c r="U40" s="592"/>
      <c r="V40" s="590" t="str">
        <f>IF(Calcu!B36=TRUE,Calcu!H36*H$5,"")</f>
        <v/>
      </c>
      <c r="W40" s="591"/>
      <c r="X40" s="591"/>
      <c r="Y40" s="591"/>
      <c r="Z40" s="592"/>
      <c r="AA40" s="590" t="str">
        <f>IF(Calcu!B36=TRUE,Calcu!I36*H$5,"")</f>
        <v/>
      </c>
      <c r="AB40" s="591"/>
      <c r="AC40" s="591"/>
      <c r="AD40" s="591"/>
      <c r="AE40" s="592"/>
      <c r="AF40" s="590" t="str">
        <f>Calcu!M36</f>
        <v/>
      </c>
      <c r="AG40" s="591"/>
      <c r="AH40" s="591"/>
      <c r="AI40" s="591"/>
      <c r="AJ40" s="592"/>
      <c r="AK40" s="590" t="str">
        <f>IF(B40="","",Calcu!K36*1000)</f>
        <v/>
      </c>
      <c r="AL40" s="591"/>
      <c r="AM40" s="591"/>
      <c r="AN40" s="591"/>
      <c r="AO40" s="592"/>
      <c r="AP40" s="590" t="str">
        <f t="shared" si="0"/>
        <v/>
      </c>
      <c r="AQ40" s="591"/>
      <c r="AR40" s="591"/>
      <c r="AS40" s="591"/>
      <c r="AT40" s="592"/>
      <c r="AU40" s="733" t="str">
        <f>IF(B40="","",(Calcu!L36-B40)*1000)</f>
        <v/>
      </c>
      <c r="AV40" s="734"/>
      <c r="AW40" s="734"/>
      <c r="AX40" s="734"/>
      <c r="AY40" s="735"/>
    </row>
    <row r="41" spans="1:51" ht="18.75" customHeight="1">
      <c r="A41" s="57"/>
      <c r="B41" s="590" t="str">
        <f>Calcu!U37</f>
        <v/>
      </c>
      <c r="C41" s="591"/>
      <c r="D41" s="591"/>
      <c r="E41" s="591"/>
      <c r="F41" s="592"/>
      <c r="G41" s="590" t="str">
        <f>IF(Calcu!B37=TRUE,Calcu!E37*$H$5,"")</f>
        <v/>
      </c>
      <c r="H41" s="591"/>
      <c r="I41" s="591"/>
      <c r="J41" s="591"/>
      <c r="K41" s="592"/>
      <c r="L41" s="590" t="str">
        <f>IF(Calcu!B37=TRUE,Calcu!F37*H$5,"")</f>
        <v/>
      </c>
      <c r="M41" s="591"/>
      <c r="N41" s="591"/>
      <c r="O41" s="591"/>
      <c r="P41" s="592"/>
      <c r="Q41" s="590" t="str">
        <f>IF(Calcu!B37=TRUE,Calcu!G37*H$5,"")</f>
        <v/>
      </c>
      <c r="R41" s="591"/>
      <c r="S41" s="591"/>
      <c r="T41" s="591"/>
      <c r="U41" s="592"/>
      <c r="V41" s="590" t="str">
        <f>IF(Calcu!B37=TRUE,Calcu!H37*H$5,"")</f>
        <v/>
      </c>
      <c r="W41" s="591"/>
      <c r="X41" s="591"/>
      <c r="Y41" s="591"/>
      <c r="Z41" s="592"/>
      <c r="AA41" s="590" t="str">
        <f>IF(Calcu!B37=TRUE,Calcu!I37*H$5,"")</f>
        <v/>
      </c>
      <c r="AB41" s="591"/>
      <c r="AC41" s="591"/>
      <c r="AD41" s="591"/>
      <c r="AE41" s="592"/>
      <c r="AF41" s="590" t="str">
        <f>Calcu!M37</f>
        <v/>
      </c>
      <c r="AG41" s="591"/>
      <c r="AH41" s="591"/>
      <c r="AI41" s="591"/>
      <c r="AJ41" s="592"/>
      <c r="AK41" s="590" t="str">
        <f>IF(B41="","",Calcu!K37*1000)</f>
        <v/>
      </c>
      <c r="AL41" s="591"/>
      <c r="AM41" s="591"/>
      <c r="AN41" s="591"/>
      <c r="AO41" s="592"/>
      <c r="AP41" s="590" t="str">
        <f t="shared" si="0"/>
        <v/>
      </c>
      <c r="AQ41" s="591"/>
      <c r="AR41" s="591"/>
      <c r="AS41" s="591"/>
      <c r="AT41" s="592"/>
      <c r="AU41" s="733" t="str">
        <f>IF(B41="","",(Calcu!L37-B41)*1000)</f>
        <v/>
      </c>
      <c r="AV41" s="734"/>
      <c r="AW41" s="734"/>
      <c r="AX41" s="734"/>
      <c r="AY41" s="735"/>
    </row>
    <row r="42" spans="1:51" ht="18.75" customHeight="1">
      <c r="A42" s="57"/>
      <c r="B42" s="590" t="str">
        <f>Calcu!U38</f>
        <v/>
      </c>
      <c r="C42" s="591"/>
      <c r="D42" s="591"/>
      <c r="E42" s="591"/>
      <c r="F42" s="592"/>
      <c r="G42" s="590" t="str">
        <f>IF(Calcu!B38=TRUE,Calcu!E38*$H$5,"")</f>
        <v/>
      </c>
      <c r="H42" s="591"/>
      <c r="I42" s="591"/>
      <c r="J42" s="591"/>
      <c r="K42" s="592"/>
      <c r="L42" s="590" t="str">
        <f>IF(Calcu!B38=TRUE,Calcu!F38*H$5,"")</f>
        <v/>
      </c>
      <c r="M42" s="591"/>
      <c r="N42" s="591"/>
      <c r="O42" s="591"/>
      <c r="P42" s="592"/>
      <c r="Q42" s="590" t="str">
        <f>IF(Calcu!B38=TRUE,Calcu!G38*H$5,"")</f>
        <v/>
      </c>
      <c r="R42" s="591"/>
      <c r="S42" s="591"/>
      <c r="T42" s="591"/>
      <c r="U42" s="592"/>
      <c r="V42" s="590" t="str">
        <f>IF(Calcu!B38=TRUE,Calcu!H38*H$5,"")</f>
        <v/>
      </c>
      <c r="W42" s="591"/>
      <c r="X42" s="591"/>
      <c r="Y42" s="591"/>
      <c r="Z42" s="592"/>
      <c r="AA42" s="590" t="str">
        <f>IF(Calcu!B38=TRUE,Calcu!I38*H$5,"")</f>
        <v/>
      </c>
      <c r="AB42" s="591"/>
      <c r="AC42" s="591"/>
      <c r="AD42" s="591"/>
      <c r="AE42" s="592"/>
      <c r="AF42" s="590" t="str">
        <f>Calcu!M38</f>
        <v/>
      </c>
      <c r="AG42" s="591"/>
      <c r="AH42" s="591"/>
      <c r="AI42" s="591"/>
      <c r="AJ42" s="592"/>
      <c r="AK42" s="590" t="str">
        <f>IF(B42="","",Calcu!K38*1000)</f>
        <v/>
      </c>
      <c r="AL42" s="591"/>
      <c r="AM42" s="591"/>
      <c r="AN42" s="591"/>
      <c r="AO42" s="592"/>
      <c r="AP42" s="590" t="str">
        <f t="shared" si="0"/>
        <v/>
      </c>
      <c r="AQ42" s="591"/>
      <c r="AR42" s="591"/>
      <c r="AS42" s="591"/>
      <c r="AT42" s="592"/>
      <c r="AU42" s="733" t="str">
        <f>IF(B42="","",(Calcu!L38-B42)*1000)</f>
        <v/>
      </c>
      <c r="AV42" s="734"/>
      <c r="AW42" s="734"/>
      <c r="AX42" s="734"/>
      <c r="AY42" s="735"/>
    </row>
    <row r="43" spans="1:51" ht="18.75" customHeight="1">
      <c r="A43" s="57"/>
      <c r="B43" s="590" t="str">
        <f>Calcu!U39</f>
        <v/>
      </c>
      <c r="C43" s="591"/>
      <c r="D43" s="591"/>
      <c r="E43" s="591"/>
      <c r="F43" s="592"/>
      <c r="G43" s="590" t="str">
        <f>IF(Calcu!B39=TRUE,Calcu!E39*$H$5,"")</f>
        <v/>
      </c>
      <c r="H43" s="591"/>
      <c r="I43" s="591"/>
      <c r="J43" s="591"/>
      <c r="K43" s="592"/>
      <c r="L43" s="590" t="str">
        <f>IF(Calcu!B39=TRUE,Calcu!F39*H$5,"")</f>
        <v/>
      </c>
      <c r="M43" s="591"/>
      <c r="N43" s="591"/>
      <c r="O43" s="591"/>
      <c r="P43" s="592"/>
      <c r="Q43" s="590" t="str">
        <f>IF(Calcu!B39=TRUE,Calcu!G39*H$5,"")</f>
        <v/>
      </c>
      <c r="R43" s="591"/>
      <c r="S43" s="591"/>
      <c r="T43" s="591"/>
      <c r="U43" s="592"/>
      <c r="V43" s="590" t="str">
        <f>IF(Calcu!B39=TRUE,Calcu!H39*H$5,"")</f>
        <v/>
      </c>
      <c r="W43" s="591"/>
      <c r="X43" s="591"/>
      <c r="Y43" s="591"/>
      <c r="Z43" s="592"/>
      <c r="AA43" s="590" t="str">
        <f>IF(Calcu!B39=TRUE,Calcu!I39*H$5,"")</f>
        <v/>
      </c>
      <c r="AB43" s="591"/>
      <c r="AC43" s="591"/>
      <c r="AD43" s="591"/>
      <c r="AE43" s="592"/>
      <c r="AF43" s="590" t="str">
        <f>Calcu!M39</f>
        <v/>
      </c>
      <c r="AG43" s="591"/>
      <c r="AH43" s="591"/>
      <c r="AI43" s="591"/>
      <c r="AJ43" s="592"/>
      <c r="AK43" s="590" t="str">
        <f>IF(B43="","",Calcu!K39*1000)</f>
        <v/>
      </c>
      <c r="AL43" s="591"/>
      <c r="AM43" s="591"/>
      <c r="AN43" s="591"/>
      <c r="AO43" s="592"/>
      <c r="AP43" s="590" t="str">
        <f t="shared" si="0"/>
        <v/>
      </c>
      <c r="AQ43" s="591"/>
      <c r="AR43" s="591"/>
      <c r="AS43" s="591"/>
      <c r="AT43" s="592"/>
      <c r="AU43" s="733" t="str">
        <f>IF(B43="","",(Calcu!L39-B43)*1000)</f>
        <v/>
      </c>
      <c r="AV43" s="734"/>
      <c r="AW43" s="734"/>
      <c r="AX43" s="734"/>
      <c r="AY43" s="735"/>
    </row>
    <row r="44" spans="1:51" ht="18.75" customHeight="1">
      <c r="A44" s="57"/>
      <c r="B44" s="590" t="str">
        <f>Calcu!U40</f>
        <v/>
      </c>
      <c r="C44" s="591"/>
      <c r="D44" s="591"/>
      <c r="E44" s="591"/>
      <c r="F44" s="592"/>
      <c r="G44" s="590" t="str">
        <f>IF(Calcu!B40=TRUE,Calcu!E40*$H$5,"")</f>
        <v/>
      </c>
      <c r="H44" s="591"/>
      <c r="I44" s="591"/>
      <c r="J44" s="591"/>
      <c r="K44" s="592"/>
      <c r="L44" s="590" t="str">
        <f>IF(Calcu!B40=TRUE,Calcu!F40*H$5,"")</f>
        <v/>
      </c>
      <c r="M44" s="591"/>
      <c r="N44" s="591"/>
      <c r="O44" s="591"/>
      <c r="P44" s="592"/>
      <c r="Q44" s="590" t="str">
        <f>IF(Calcu!B40=TRUE,Calcu!G40*H$5,"")</f>
        <v/>
      </c>
      <c r="R44" s="591"/>
      <c r="S44" s="591"/>
      <c r="T44" s="591"/>
      <c r="U44" s="592"/>
      <c r="V44" s="590" t="str">
        <f>IF(Calcu!B40=TRUE,Calcu!H40*H$5,"")</f>
        <v/>
      </c>
      <c r="W44" s="591"/>
      <c r="X44" s="591"/>
      <c r="Y44" s="591"/>
      <c r="Z44" s="592"/>
      <c r="AA44" s="590" t="str">
        <f>IF(Calcu!B40=TRUE,Calcu!I40*H$5,"")</f>
        <v/>
      </c>
      <c r="AB44" s="591"/>
      <c r="AC44" s="591"/>
      <c r="AD44" s="591"/>
      <c r="AE44" s="592"/>
      <c r="AF44" s="590" t="str">
        <f>Calcu!M40</f>
        <v/>
      </c>
      <c r="AG44" s="591"/>
      <c r="AH44" s="591"/>
      <c r="AI44" s="591"/>
      <c r="AJ44" s="592"/>
      <c r="AK44" s="590" t="str">
        <f>IF(B44="","",Calcu!K40*1000)</f>
        <v/>
      </c>
      <c r="AL44" s="591"/>
      <c r="AM44" s="591"/>
      <c r="AN44" s="591"/>
      <c r="AO44" s="592"/>
      <c r="AP44" s="590" t="str">
        <f t="shared" si="0"/>
        <v/>
      </c>
      <c r="AQ44" s="591"/>
      <c r="AR44" s="591"/>
      <c r="AS44" s="591"/>
      <c r="AT44" s="592"/>
      <c r="AU44" s="733" t="str">
        <f>IF(B44="","",(Calcu!L40-B44)*1000)</f>
        <v/>
      </c>
      <c r="AV44" s="734"/>
      <c r="AW44" s="734"/>
      <c r="AX44" s="734"/>
      <c r="AY44" s="735"/>
    </row>
    <row r="45" spans="1:51" ht="18.75" customHeight="1">
      <c r="A45" s="57"/>
      <c r="B45" s="590" t="str">
        <f>Calcu!U41</f>
        <v/>
      </c>
      <c r="C45" s="591"/>
      <c r="D45" s="591"/>
      <c r="E45" s="591"/>
      <c r="F45" s="592"/>
      <c r="G45" s="590" t="str">
        <f>IF(Calcu!B41=TRUE,Calcu!E41*$H$5,"")</f>
        <v/>
      </c>
      <c r="H45" s="591"/>
      <c r="I45" s="591"/>
      <c r="J45" s="591"/>
      <c r="K45" s="592"/>
      <c r="L45" s="590" t="str">
        <f>IF(Calcu!B41=TRUE,Calcu!F41*H$5,"")</f>
        <v/>
      </c>
      <c r="M45" s="591"/>
      <c r="N45" s="591"/>
      <c r="O45" s="591"/>
      <c r="P45" s="592"/>
      <c r="Q45" s="590" t="str">
        <f>IF(Calcu!B41=TRUE,Calcu!G41*H$5,"")</f>
        <v/>
      </c>
      <c r="R45" s="591"/>
      <c r="S45" s="591"/>
      <c r="T45" s="591"/>
      <c r="U45" s="592"/>
      <c r="V45" s="590" t="str">
        <f>IF(Calcu!B41=TRUE,Calcu!H41*H$5,"")</f>
        <v/>
      </c>
      <c r="W45" s="591"/>
      <c r="X45" s="591"/>
      <c r="Y45" s="591"/>
      <c r="Z45" s="592"/>
      <c r="AA45" s="590" t="str">
        <f>IF(Calcu!B41=TRUE,Calcu!I41*H$5,"")</f>
        <v/>
      </c>
      <c r="AB45" s="591"/>
      <c r="AC45" s="591"/>
      <c r="AD45" s="591"/>
      <c r="AE45" s="592"/>
      <c r="AF45" s="590" t="str">
        <f>Calcu!M41</f>
        <v/>
      </c>
      <c r="AG45" s="591"/>
      <c r="AH45" s="591"/>
      <c r="AI45" s="591"/>
      <c r="AJ45" s="592"/>
      <c r="AK45" s="590" t="str">
        <f>IF(B45="","",Calcu!K41*1000)</f>
        <v/>
      </c>
      <c r="AL45" s="591"/>
      <c r="AM45" s="591"/>
      <c r="AN45" s="591"/>
      <c r="AO45" s="592"/>
      <c r="AP45" s="590" t="str">
        <f t="shared" si="0"/>
        <v/>
      </c>
      <c r="AQ45" s="591"/>
      <c r="AR45" s="591"/>
      <c r="AS45" s="591"/>
      <c r="AT45" s="592"/>
      <c r="AU45" s="733" t="str">
        <f>IF(B45="","",(Calcu!L41-B45)*1000)</f>
        <v/>
      </c>
      <c r="AV45" s="734"/>
      <c r="AW45" s="734"/>
      <c r="AX45" s="734"/>
      <c r="AY45" s="735"/>
    </row>
    <row r="46" spans="1:51" ht="18.75" customHeight="1">
      <c r="A46" s="57"/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</row>
    <row r="47" spans="1:51" ht="18.75" customHeight="1">
      <c r="A47" s="57" t="s">
        <v>215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</row>
    <row r="48" spans="1:51" ht="18.75" customHeight="1">
      <c r="A48" s="69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</row>
    <row r="49" spans="1:69" ht="18.75" customHeight="1">
      <c r="A49" s="69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</row>
    <row r="50" spans="1:69" ht="18.75" customHeight="1">
      <c r="A50" s="69"/>
      <c r="B50" s="56"/>
      <c r="C50" s="555" t="s">
        <v>308</v>
      </c>
      <c r="D50" s="555"/>
      <c r="E50" s="555"/>
      <c r="F50" s="215" t="s">
        <v>216</v>
      </c>
      <c r="G50" s="56" t="s">
        <v>416</v>
      </c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W50" s="59"/>
      <c r="X50" s="59"/>
      <c r="Y50" s="59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</row>
    <row r="51" spans="1:69" ht="18.75" customHeight="1">
      <c r="A51" s="69"/>
      <c r="B51" s="56"/>
      <c r="C51" s="555" t="s">
        <v>218</v>
      </c>
      <c r="D51" s="555"/>
      <c r="E51" s="555"/>
      <c r="F51" s="215" t="s">
        <v>216</v>
      </c>
      <c r="G51" s="56" t="s">
        <v>417</v>
      </c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</row>
    <row r="52" spans="1:69" ht="18.75" customHeight="1">
      <c r="A52" s="69"/>
      <c r="B52" s="56"/>
      <c r="C52" s="555" t="s">
        <v>217</v>
      </c>
      <c r="D52" s="555"/>
      <c r="E52" s="555"/>
      <c r="F52" s="215" t="s">
        <v>216</v>
      </c>
      <c r="G52" s="56" t="s">
        <v>418</v>
      </c>
      <c r="H52" s="56"/>
      <c r="I52" s="56"/>
      <c r="J52" s="56"/>
      <c r="K52" s="56"/>
      <c r="L52" s="56"/>
      <c r="M52" s="56"/>
      <c r="N52" s="56"/>
      <c r="O52" s="56"/>
      <c r="P52" s="56"/>
      <c r="Q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</row>
    <row r="53" spans="1:69" ht="18.75" customHeight="1">
      <c r="A53" s="69"/>
      <c r="B53" s="56"/>
      <c r="C53" s="555" t="s">
        <v>219</v>
      </c>
      <c r="D53" s="555"/>
      <c r="E53" s="555"/>
      <c r="F53" s="215" t="s">
        <v>216</v>
      </c>
      <c r="G53" s="56" t="s">
        <v>419</v>
      </c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</row>
    <row r="54" spans="1:69" ht="18.75" customHeight="1">
      <c r="A54" s="69"/>
      <c r="B54" s="56"/>
      <c r="C54" s="555"/>
      <c r="D54" s="555"/>
      <c r="E54" s="555"/>
      <c r="F54" s="215" t="s">
        <v>216</v>
      </c>
      <c r="G54" s="56" t="s">
        <v>420</v>
      </c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</row>
    <row r="55" spans="1:69" ht="18.75" customHeight="1">
      <c r="A55" s="69"/>
      <c r="B55" s="56"/>
      <c r="C55" s="555" t="s">
        <v>135</v>
      </c>
      <c r="D55" s="555"/>
      <c r="E55" s="555"/>
      <c r="F55" s="215" t="s">
        <v>216</v>
      </c>
      <c r="G55" s="56" t="s">
        <v>421</v>
      </c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</row>
    <row r="56" spans="1:69" ht="18.75" customHeight="1">
      <c r="A56" s="69"/>
      <c r="B56" s="56"/>
      <c r="C56" s="555" t="s">
        <v>136</v>
      </c>
      <c r="D56" s="555"/>
      <c r="E56" s="555"/>
      <c r="F56" s="215" t="s">
        <v>216</v>
      </c>
      <c r="G56" s="56" t="s">
        <v>422</v>
      </c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</row>
    <row r="57" spans="1:69" ht="18.75" customHeight="1">
      <c r="A57" s="69"/>
      <c r="B57" s="56"/>
      <c r="C57" s="555" t="s">
        <v>137</v>
      </c>
      <c r="D57" s="555"/>
      <c r="E57" s="555"/>
      <c r="F57" s="215" t="s">
        <v>216</v>
      </c>
      <c r="G57" s="56" t="s">
        <v>423</v>
      </c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</row>
    <row r="58" spans="1:69" ht="18.75" customHeight="1">
      <c r="A58" s="69"/>
      <c r="B58" s="56"/>
      <c r="C58" s="555" t="s">
        <v>679</v>
      </c>
      <c r="D58" s="555"/>
      <c r="E58" s="555"/>
      <c r="F58" s="215" t="s">
        <v>216</v>
      </c>
      <c r="G58" s="56" t="s">
        <v>424</v>
      </c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</row>
    <row r="59" spans="1:69" ht="18.75" customHeight="1">
      <c r="A59" s="69"/>
      <c r="B59" s="56"/>
      <c r="C59" s="555" t="s">
        <v>680</v>
      </c>
      <c r="D59" s="555"/>
      <c r="E59" s="555"/>
      <c r="F59" s="215" t="s">
        <v>216</v>
      </c>
      <c r="G59" s="56" t="s">
        <v>425</v>
      </c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</row>
    <row r="60" spans="1:69" ht="18.75" customHeight="1">
      <c r="A60" s="69"/>
      <c r="B60" s="56"/>
      <c r="C60" s="555"/>
      <c r="D60" s="555"/>
      <c r="E60" s="555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</row>
    <row r="61" spans="1:69" ht="18.75" customHeight="1">
      <c r="A61" s="57" t="s">
        <v>220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</row>
    <row r="62" spans="1:69" ht="18.75" customHeight="1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</row>
    <row r="63" spans="1:69" ht="18.75" customHeight="1">
      <c r="A63" s="56"/>
      <c r="B63" s="56"/>
      <c r="C63" s="56" t="s">
        <v>221</v>
      </c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</row>
    <row r="64" spans="1:69" ht="18.75" customHeight="1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</row>
    <row r="65" spans="1:58" ht="18.75" customHeight="1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</row>
    <row r="66" spans="1:58" ht="18.75" customHeight="1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</row>
    <row r="67" spans="1:58" ht="18.75" customHeight="1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</row>
    <row r="68" spans="1:58" ht="18.75" customHeight="1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</row>
    <row r="69" spans="1:58" ht="18.75" customHeight="1">
      <c r="A69" s="60" t="s">
        <v>222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</row>
    <row r="70" spans="1:58" ht="18.75" customHeight="1">
      <c r="A70" s="56"/>
      <c r="B70" s="673"/>
      <c r="C70" s="675"/>
      <c r="D70" s="571"/>
      <c r="E70" s="572"/>
      <c r="F70" s="572"/>
      <c r="G70" s="573"/>
      <c r="H70" s="557">
        <v>1</v>
      </c>
      <c r="I70" s="557"/>
      <c r="J70" s="557"/>
      <c r="K70" s="557"/>
      <c r="L70" s="557"/>
      <c r="M70" s="557"/>
      <c r="N70" s="557"/>
      <c r="O70" s="571">
        <v>2</v>
      </c>
      <c r="P70" s="572"/>
      <c r="Q70" s="572"/>
      <c r="R70" s="572"/>
      <c r="S70" s="572"/>
      <c r="T70" s="572"/>
      <c r="U70" s="572"/>
      <c r="V70" s="572"/>
      <c r="W70" s="572"/>
      <c r="X70" s="572"/>
      <c r="Y70" s="572"/>
      <c r="Z70" s="572"/>
      <c r="AA70" s="573"/>
      <c r="AB70" s="557">
        <v>3</v>
      </c>
      <c r="AC70" s="557"/>
      <c r="AD70" s="557"/>
      <c r="AE70" s="557"/>
      <c r="AF70" s="557"/>
      <c r="AG70" s="571">
        <v>4</v>
      </c>
      <c r="AH70" s="572"/>
      <c r="AI70" s="572"/>
      <c r="AJ70" s="572"/>
      <c r="AK70" s="572"/>
      <c r="AL70" s="572"/>
      <c r="AM70" s="572"/>
      <c r="AN70" s="572"/>
      <c r="AO70" s="573"/>
      <c r="AP70" s="571">
        <v>5</v>
      </c>
      <c r="AQ70" s="572"/>
      <c r="AR70" s="572"/>
      <c r="AS70" s="572"/>
      <c r="AT70" s="572"/>
      <c r="AU70" s="572"/>
      <c r="AV70" s="572"/>
      <c r="AW70" s="572"/>
      <c r="AX70" s="572"/>
      <c r="AY70" s="572"/>
      <c r="AZ70" s="572"/>
      <c r="BA70" s="572"/>
      <c r="BB70" s="573"/>
      <c r="BC70" s="557">
        <v>6</v>
      </c>
      <c r="BD70" s="557"/>
      <c r="BE70" s="557"/>
      <c r="BF70" s="557"/>
    </row>
    <row r="71" spans="1:58" ht="18.75" customHeight="1">
      <c r="A71" s="56"/>
      <c r="B71" s="677"/>
      <c r="C71" s="678"/>
      <c r="D71" s="673" t="s">
        <v>158</v>
      </c>
      <c r="E71" s="674"/>
      <c r="F71" s="674"/>
      <c r="G71" s="675"/>
      <c r="H71" s="676" t="s">
        <v>223</v>
      </c>
      <c r="I71" s="676"/>
      <c r="J71" s="676"/>
      <c r="K71" s="676"/>
      <c r="L71" s="676"/>
      <c r="M71" s="676"/>
      <c r="N71" s="676"/>
      <c r="O71" s="673" t="s">
        <v>160</v>
      </c>
      <c r="P71" s="674"/>
      <c r="Q71" s="674"/>
      <c r="R71" s="674"/>
      <c r="S71" s="674"/>
      <c r="T71" s="674"/>
      <c r="U71" s="674"/>
      <c r="V71" s="674"/>
      <c r="W71" s="674"/>
      <c r="X71" s="674"/>
      <c r="Y71" s="674"/>
      <c r="Z71" s="674"/>
      <c r="AA71" s="675"/>
      <c r="AB71" s="676" t="s">
        <v>161</v>
      </c>
      <c r="AC71" s="676"/>
      <c r="AD71" s="676"/>
      <c r="AE71" s="676"/>
      <c r="AF71" s="676"/>
      <c r="AG71" s="673" t="s">
        <v>224</v>
      </c>
      <c r="AH71" s="674"/>
      <c r="AI71" s="674"/>
      <c r="AJ71" s="674"/>
      <c r="AK71" s="674"/>
      <c r="AL71" s="674"/>
      <c r="AM71" s="674"/>
      <c r="AN71" s="674"/>
      <c r="AO71" s="675"/>
      <c r="AP71" s="673" t="s">
        <v>225</v>
      </c>
      <c r="AQ71" s="674"/>
      <c r="AR71" s="674"/>
      <c r="AS71" s="674"/>
      <c r="AT71" s="674"/>
      <c r="AU71" s="674"/>
      <c r="AV71" s="674"/>
      <c r="AW71" s="674"/>
      <c r="AX71" s="674"/>
      <c r="AY71" s="674"/>
      <c r="AZ71" s="674"/>
      <c r="BA71" s="674"/>
      <c r="BB71" s="675"/>
      <c r="BC71" s="676" t="s">
        <v>162</v>
      </c>
      <c r="BD71" s="676"/>
      <c r="BE71" s="676"/>
      <c r="BF71" s="676"/>
    </row>
    <row r="72" spans="1:58" ht="18.75" customHeight="1" thickBot="1">
      <c r="A72" s="56"/>
      <c r="B72" s="677"/>
      <c r="C72" s="678"/>
      <c r="D72" s="656" t="s">
        <v>226</v>
      </c>
      <c r="E72" s="555"/>
      <c r="F72" s="555"/>
      <c r="G72" s="657"/>
      <c r="H72" s="658" t="s">
        <v>426</v>
      </c>
      <c r="I72" s="658"/>
      <c r="J72" s="658"/>
      <c r="K72" s="658"/>
      <c r="L72" s="658"/>
      <c r="M72" s="658"/>
      <c r="N72" s="658"/>
      <c r="O72" s="659" t="s">
        <v>427</v>
      </c>
      <c r="P72" s="530"/>
      <c r="Q72" s="530"/>
      <c r="R72" s="530"/>
      <c r="S72" s="530"/>
      <c r="T72" s="530"/>
      <c r="U72" s="530"/>
      <c r="V72" s="530"/>
      <c r="W72" s="530"/>
      <c r="X72" s="530"/>
      <c r="Y72" s="530"/>
      <c r="Z72" s="530"/>
      <c r="AA72" s="660"/>
      <c r="AB72" s="658"/>
      <c r="AC72" s="658"/>
      <c r="AD72" s="658"/>
      <c r="AE72" s="658"/>
      <c r="AF72" s="658"/>
      <c r="AG72" s="659" t="s">
        <v>428</v>
      </c>
      <c r="AH72" s="530"/>
      <c r="AI72" s="530"/>
      <c r="AJ72" s="530"/>
      <c r="AK72" s="530"/>
      <c r="AL72" s="530"/>
      <c r="AM72" s="530"/>
      <c r="AN72" s="530"/>
      <c r="AO72" s="660"/>
      <c r="AP72" s="659" t="s">
        <v>429</v>
      </c>
      <c r="AQ72" s="530"/>
      <c r="AR72" s="530"/>
      <c r="AS72" s="530"/>
      <c r="AT72" s="530"/>
      <c r="AU72" s="530"/>
      <c r="AV72" s="530"/>
      <c r="AW72" s="530"/>
      <c r="AX72" s="530"/>
      <c r="AY72" s="530"/>
      <c r="AZ72" s="530"/>
      <c r="BA72" s="530"/>
      <c r="BB72" s="660"/>
      <c r="BC72" s="679"/>
      <c r="BD72" s="679"/>
      <c r="BE72" s="679"/>
      <c r="BF72" s="679"/>
    </row>
    <row r="73" spans="1:58" ht="21" customHeight="1">
      <c r="A73" s="56"/>
      <c r="B73" s="662" t="s">
        <v>165</v>
      </c>
      <c r="C73" s="654"/>
      <c r="D73" s="663" t="s">
        <v>218</v>
      </c>
      <c r="E73" s="664"/>
      <c r="F73" s="664"/>
      <c r="G73" s="665"/>
      <c r="H73" s="666" t="e">
        <f ca="1">Calcu!E48</f>
        <v>#N/A</v>
      </c>
      <c r="I73" s="667"/>
      <c r="J73" s="667"/>
      <c r="K73" s="667"/>
      <c r="L73" s="667"/>
      <c r="M73" s="668" t="str">
        <f>Calcu!F48</f>
        <v>mm</v>
      </c>
      <c r="N73" s="669"/>
      <c r="O73" s="649" t="e">
        <f>Calcu!J48</f>
        <v>#N/A</v>
      </c>
      <c r="P73" s="650"/>
      <c r="Q73" s="650"/>
      <c r="R73" s="242"/>
      <c r="S73" s="651" t="e">
        <f>Calcu!K48</f>
        <v>#N/A</v>
      </c>
      <c r="T73" s="651"/>
      <c r="U73" s="651"/>
      <c r="V73" s="651"/>
      <c r="W73" s="651"/>
      <c r="X73" s="243"/>
      <c r="Y73" s="243"/>
      <c r="Z73" s="652" t="str">
        <f>Calcu!L46</f>
        <v>μm</v>
      </c>
      <c r="AA73" s="653"/>
      <c r="AB73" s="654" t="str">
        <f>Calcu!M46</f>
        <v>정규</v>
      </c>
      <c r="AC73" s="654"/>
      <c r="AD73" s="654"/>
      <c r="AE73" s="654"/>
      <c r="AF73" s="654"/>
      <c r="AG73" s="670">
        <f>Calcu!P46</f>
        <v>1</v>
      </c>
      <c r="AH73" s="671"/>
      <c r="AI73" s="671"/>
      <c r="AJ73" s="671"/>
      <c r="AK73" s="671"/>
      <c r="AL73" s="671"/>
      <c r="AM73" s="671"/>
      <c r="AN73" s="671"/>
      <c r="AO73" s="672"/>
      <c r="AP73" s="649" t="e">
        <f>Calcu!R48</f>
        <v>#N/A</v>
      </c>
      <c r="AQ73" s="650"/>
      <c r="AR73" s="650"/>
      <c r="AS73" s="242"/>
      <c r="AT73" s="651" t="e">
        <f>Calcu!S48</f>
        <v>#N/A</v>
      </c>
      <c r="AU73" s="651"/>
      <c r="AV73" s="651"/>
      <c r="AW73" s="651"/>
      <c r="AX73" s="651"/>
      <c r="AY73" s="243"/>
      <c r="AZ73" s="243"/>
      <c r="BA73" s="652" t="str">
        <f>Calcu!T46</f>
        <v>μm</v>
      </c>
      <c r="BB73" s="653"/>
      <c r="BC73" s="654" t="str">
        <f>Calcu!U46</f>
        <v>∞</v>
      </c>
      <c r="BD73" s="654"/>
      <c r="BE73" s="654"/>
      <c r="BF73" s="655"/>
    </row>
    <row r="74" spans="1:58" ht="21" customHeight="1">
      <c r="A74" s="56"/>
      <c r="B74" s="626" t="s">
        <v>166</v>
      </c>
      <c r="C74" s="573"/>
      <c r="D74" s="627" t="s">
        <v>430</v>
      </c>
      <c r="E74" s="628"/>
      <c r="F74" s="628"/>
      <c r="G74" s="629"/>
      <c r="H74" s="590" t="s">
        <v>457</v>
      </c>
      <c r="I74" s="591"/>
      <c r="J74" s="591"/>
      <c r="K74" s="591"/>
      <c r="L74" s="591"/>
      <c r="M74" s="591"/>
      <c r="N74" s="592"/>
      <c r="O74" s="565" t="e">
        <f>Calcu!J46</f>
        <v>#N/A</v>
      </c>
      <c r="P74" s="566"/>
      <c r="Q74" s="566"/>
      <c r="R74" s="317"/>
      <c r="S74" s="567" t="e">
        <f>Calcu!K46</f>
        <v>#N/A</v>
      </c>
      <c r="T74" s="567"/>
      <c r="U74" s="567"/>
      <c r="V74" s="567"/>
      <c r="W74" s="567"/>
      <c r="X74" s="318"/>
      <c r="Y74" s="318"/>
      <c r="Z74" s="569" t="str">
        <f>Calcu!L47</f>
        <v>μm</v>
      </c>
      <c r="AA74" s="570"/>
      <c r="AB74" s="630" t="str">
        <f>Calcu!M46</f>
        <v>정규</v>
      </c>
      <c r="AC74" s="630"/>
      <c r="AD74" s="630"/>
      <c r="AE74" s="630"/>
      <c r="AF74" s="630"/>
      <c r="AG74" s="631">
        <f>Calcu!P46</f>
        <v>1</v>
      </c>
      <c r="AH74" s="632"/>
      <c r="AI74" s="632"/>
      <c r="AJ74" s="632"/>
      <c r="AK74" s="632"/>
      <c r="AL74" s="632"/>
      <c r="AM74" s="632"/>
      <c r="AN74" s="632"/>
      <c r="AO74" s="633"/>
      <c r="AP74" s="565" t="e">
        <f>Calcu!R46</f>
        <v>#N/A</v>
      </c>
      <c r="AQ74" s="566"/>
      <c r="AR74" s="566"/>
      <c r="AS74" s="317"/>
      <c r="AT74" s="567" t="e">
        <f>Calcu!S46</f>
        <v>#N/A</v>
      </c>
      <c r="AU74" s="567"/>
      <c r="AV74" s="567"/>
      <c r="AW74" s="567"/>
      <c r="AX74" s="567"/>
      <c r="AY74" s="318"/>
      <c r="AZ74" s="318"/>
      <c r="BA74" s="569" t="str">
        <f>Calcu!T46</f>
        <v>μm</v>
      </c>
      <c r="BB74" s="570"/>
      <c r="BC74" s="630" t="str">
        <f>Calcu!U46</f>
        <v>∞</v>
      </c>
      <c r="BD74" s="630"/>
      <c r="BE74" s="630"/>
      <c r="BF74" s="661"/>
    </row>
    <row r="75" spans="1:58" ht="18.75" customHeight="1" thickBot="1">
      <c r="A75" s="56"/>
      <c r="B75" s="634" t="s">
        <v>227</v>
      </c>
      <c r="C75" s="635"/>
      <c r="D75" s="636" t="s">
        <v>431</v>
      </c>
      <c r="E75" s="637"/>
      <c r="F75" s="637"/>
      <c r="G75" s="638"/>
      <c r="H75" s="639" t="s">
        <v>457</v>
      </c>
      <c r="I75" s="640"/>
      <c r="J75" s="640"/>
      <c r="K75" s="640"/>
      <c r="L75" s="640"/>
      <c r="M75" s="640"/>
      <c r="N75" s="641"/>
      <c r="O75" s="642">
        <f>Calcu!J47</f>
        <v>0</v>
      </c>
      <c r="P75" s="643"/>
      <c r="Q75" s="643"/>
      <c r="R75" s="643"/>
      <c r="S75" s="643"/>
      <c r="T75" s="643"/>
      <c r="U75" s="643"/>
      <c r="V75" s="644" t="str">
        <f>Calcu!L47</f>
        <v>μm</v>
      </c>
      <c r="W75" s="644"/>
      <c r="X75" s="644"/>
      <c r="Y75" s="644"/>
      <c r="Z75" s="644"/>
      <c r="AA75" s="645"/>
      <c r="AB75" s="624" t="str">
        <f>Calcu!M47</f>
        <v>직사각형</v>
      </c>
      <c r="AC75" s="624"/>
      <c r="AD75" s="624"/>
      <c r="AE75" s="624"/>
      <c r="AF75" s="624"/>
      <c r="AG75" s="646">
        <f>Calcu!P47</f>
        <v>1</v>
      </c>
      <c r="AH75" s="647"/>
      <c r="AI75" s="647"/>
      <c r="AJ75" s="647"/>
      <c r="AK75" s="647"/>
      <c r="AL75" s="647"/>
      <c r="AM75" s="647"/>
      <c r="AN75" s="647"/>
      <c r="AO75" s="648"/>
      <c r="AP75" s="642">
        <f>Calcu!R47</f>
        <v>0</v>
      </c>
      <c r="AQ75" s="643"/>
      <c r="AR75" s="643"/>
      <c r="AS75" s="643"/>
      <c r="AT75" s="643"/>
      <c r="AU75" s="643"/>
      <c r="AV75" s="643"/>
      <c r="AW75" s="644" t="str">
        <f>Calcu!T47</f>
        <v>μm</v>
      </c>
      <c r="AX75" s="644"/>
      <c r="AY75" s="644"/>
      <c r="AZ75" s="644"/>
      <c r="BA75" s="644"/>
      <c r="BB75" s="645"/>
      <c r="BC75" s="624" t="str">
        <f>Calcu!U47</f>
        <v>∞</v>
      </c>
      <c r="BD75" s="624"/>
      <c r="BE75" s="624"/>
      <c r="BF75" s="625"/>
    </row>
    <row r="76" spans="1:58" ht="18.75" customHeight="1">
      <c r="A76" s="56"/>
      <c r="B76" s="614" t="s">
        <v>79</v>
      </c>
      <c r="C76" s="615"/>
      <c r="D76" s="616" t="s">
        <v>217</v>
      </c>
      <c r="E76" s="584"/>
      <c r="F76" s="584"/>
      <c r="G76" s="617"/>
      <c r="H76" s="618" t="e">
        <f ca="1">Calcu!E49</f>
        <v>#N/A</v>
      </c>
      <c r="I76" s="619"/>
      <c r="J76" s="619"/>
      <c r="K76" s="619"/>
      <c r="L76" s="619"/>
      <c r="M76" s="520" t="str">
        <f>Calcu!F49</f>
        <v>mm</v>
      </c>
      <c r="N76" s="620"/>
      <c r="O76" s="621">
        <f>Calcu!J49</f>
        <v>0</v>
      </c>
      <c r="P76" s="622"/>
      <c r="Q76" s="622"/>
      <c r="R76" s="622"/>
      <c r="S76" s="622"/>
      <c r="T76" s="622"/>
      <c r="U76" s="622"/>
      <c r="V76" s="611" t="str">
        <f>Calcu!L49</f>
        <v>μm</v>
      </c>
      <c r="W76" s="611"/>
      <c r="X76" s="611"/>
      <c r="Y76" s="611"/>
      <c r="Z76" s="611"/>
      <c r="AA76" s="612"/>
      <c r="AB76" s="613" t="str">
        <f>Calcu!M49</f>
        <v>직사각형</v>
      </c>
      <c r="AC76" s="613"/>
      <c r="AD76" s="613"/>
      <c r="AE76" s="613"/>
      <c r="AF76" s="613"/>
      <c r="AG76" s="614">
        <f>Calcu!P49</f>
        <v>-1</v>
      </c>
      <c r="AH76" s="623"/>
      <c r="AI76" s="623"/>
      <c r="AJ76" s="623"/>
      <c r="AK76" s="623"/>
      <c r="AL76" s="623"/>
      <c r="AM76" s="623"/>
      <c r="AN76" s="623"/>
      <c r="AO76" s="615"/>
      <c r="AP76" s="621">
        <f>Calcu!R49</f>
        <v>0</v>
      </c>
      <c r="AQ76" s="622"/>
      <c r="AR76" s="622"/>
      <c r="AS76" s="622"/>
      <c r="AT76" s="622"/>
      <c r="AU76" s="622"/>
      <c r="AV76" s="622"/>
      <c r="AW76" s="611" t="str">
        <f>Calcu!T49</f>
        <v>μm</v>
      </c>
      <c r="AX76" s="611"/>
      <c r="AY76" s="611"/>
      <c r="AZ76" s="611"/>
      <c r="BA76" s="611"/>
      <c r="BB76" s="612"/>
      <c r="BC76" s="613" t="str">
        <f>Calcu!U49</f>
        <v>∞</v>
      </c>
      <c r="BD76" s="613"/>
      <c r="BE76" s="613"/>
      <c r="BF76" s="613"/>
    </row>
    <row r="77" spans="1:58" ht="18.75" customHeight="1">
      <c r="A77" s="56"/>
      <c r="B77" s="571" t="s">
        <v>228</v>
      </c>
      <c r="C77" s="573"/>
      <c r="D77" s="574"/>
      <c r="E77" s="575"/>
      <c r="F77" s="575"/>
      <c r="G77" s="576"/>
      <c r="H77" s="607" t="e">
        <f ca="1">Calcu!E50</f>
        <v>#N/A</v>
      </c>
      <c r="I77" s="608"/>
      <c r="J77" s="608"/>
      <c r="K77" s="608"/>
      <c r="L77" s="608"/>
      <c r="M77" s="579" t="str">
        <f>Calcu!F50</f>
        <v>/℃</v>
      </c>
      <c r="N77" s="580"/>
      <c r="O77" s="609">
        <f>Calcu!K50</f>
        <v>4.0824829046386305E-7</v>
      </c>
      <c r="P77" s="610"/>
      <c r="Q77" s="610"/>
      <c r="R77" s="610"/>
      <c r="S77" s="610"/>
      <c r="T77" s="610"/>
      <c r="U77" s="610"/>
      <c r="V77" s="585" t="str">
        <f>Calcu!L50</f>
        <v>/℃</v>
      </c>
      <c r="W77" s="585"/>
      <c r="X77" s="585"/>
      <c r="Y77" s="585"/>
      <c r="Z77" s="585"/>
      <c r="AA77" s="586"/>
      <c r="AB77" s="557" t="str">
        <f>Calcu!M50</f>
        <v>삼각형</v>
      </c>
      <c r="AC77" s="557"/>
      <c r="AD77" s="557"/>
      <c r="AE77" s="557"/>
      <c r="AF77" s="557"/>
      <c r="AG77" s="596" t="e">
        <f>Calcu!P50</f>
        <v>#VALUE!</v>
      </c>
      <c r="AH77" s="597"/>
      <c r="AI77" s="597"/>
      <c r="AJ77" s="597"/>
      <c r="AK77" s="597" t="s">
        <v>458</v>
      </c>
      <c r="AL77" s="597"/>
      <c r="AM77" s="597"/>
      <c r="AN77" s="597"/>
      <c r="AO77" s="606"/>
      <c r="AP77" s="600" t="e">
        <f>Calcu!S50</f>
        <v>#VALUE!</v>
      </c>
      <c r="AQ77" s="601"/>
      <c r="AR77" s="601"/>
      <c r="AS77" s="601"/>
      <c r="AT77" s="601"/>
      <c r="AU77" s="601"/>
      <c r="AV77" s="601"/>
      <c r="AW77" s="585" t="s">
        <v>459</v>
      </c>
      <c r="AX77" s="585"/>
      <c r="AY77" s="585"/>
      <c r="AZ77" s="585"/>
      <c r="BA77" s="585"/>
      <c r="BB77" s="586"/>
      <c r="BC77" s="557">
        <f>Calcu!U50</f>
        <v>100.00000000000004</v>
      </c>
      <c r="BD77" s="557"/>
      <c r="BE77" s="557"/>
      <c r="BF77" s="557"/>
    </row>
    <row r="78" spans="1:58" ht="18.75" customHeight="1">
      <c r="A78" s="56"/>
      <c r="B78" s="571" t="s">
        <v>229</v>
      </c>
      <c r="C78" s="573"/>
      <c r="D78" s="574" t="s">
        <v>135</v>
      </c>
      <c r="E78" s="575"/>
      <c r="F78" s="575"/>
      <c r="G78" s="576"/>
      <c r="H78" s="602" t="str">
        <f>Calcu!E51</f>
        <v/>
      </c>
      <c r="I78" s="603"/>
      <c r="J78" s="603"/>
      <c r="K78" s="603"/>
      <c r="L78" s="603"/>
      <c r="M78" s="579" t="str">
        <f>Calcu!F51</f>
        <v>℃</v>
      </c>
      <c r="N78" s="580"/>
      <c r="O78" s="604">
        <f>Calcu!K51</f>
        <v>0.17320508075688773</v>
      </c>
      <c r="P78" s="605"/>
      <c r="Q78" s="605"/>
      <c r="R78" s="605"/>
      <c r="S78" s="605"/>
      <c r="T78" s="605"/>
      <c r="U78" s="605"/>
      <c r="V78" s="585" t="str">
        <f>Calcu!L51</f>
        <v>℃</v>
      </c>
      <c r="W78" s="585"/>
      <c r="X78" s="585"/>
      <c r="Y78" s="585"/>
      <c r="Z78" s="585"/>
      <c r="AA78" s="586"/>
      <c r="AB78" s="557" t="str">
        <f>Calcu!M51</f>
        <v>직사각형</v>
      </c>
      <c r="AC78" s="557"/>
      <c r="AD78" s="557"/>
      <c r="AE78" s="557"/>
      <c r="AF78" s="557"/>
      <c r="AG78" s="596" t="e">
        <f ca="1">Calcu!P51</f>
        <v>#N/A</v>
      </c>
      <c r="AH78" s="597"/>
      <c r="AI78" s="597"/>
      <c r="AJ78" s="597"/>
      <c r="AK78" s="597" t="s">
        <v>460</v>
      </c>
      <c r="AL78" s="597"/>
      <c r="AM78" s="597"/>
      <c r="AN78" s="597"/>
      <c r="AO78" s="606"/>
      <c r="AP78" s="600" t="e">
        <f ca="1">Calcu!S51</f>
        <v>#N/A</v>
      </c>
      <c r="AQ78" s="601"/>
      <c r="AR78" s="601"/>
      <c r="AS78" s="601"/>
      <c r="AT78" s="601"/>
      <c r="AU78" s="601"/>
      <c r="AV78" s="601"/>
      <c r="AW78" s="585" t="s">
        <v>459</v>
      </c>
      <c r="AX78" s="585"/>
      <c r="AY78" s="585"/>
      <c r="AZ78" s="585"/>
      <c r="BA78" s="585"/>
      <c r="BB78" s="586"/>
      <c r="BC78" s="557" t="str">
        <f>Calcu!U51</f>
        <v>∞</v>
      </c>
      <c r="BD78" s="557"/>
      <c r="BE78" s="557"/>
      <c r="BF78" s="557"/>
    </row>
    <row r="79" spans="1:58" ht="18.75" customHeight="1">
      <c r="A79" s="56"/>
      <c r="B79" s="571" t="s">
        <v>230</v>
      </c>
      <c r="C79" s="573"/>
      <c r="D79" s="574" t="s">
        <v>136</v>
      </c>
      <c r="E79" s="575"/>
      <c r="F79" s="575"/>
      <c r="G79" s="576"/>
      <c r="H79" s="607" t="e">
        <f ca="1">Calcu!E52</f>
        <v>#N/A</v>
      </c>
      <c r="I79" s="608"/>
      <c r="J79" s="608"/>
      <c r="K79" s="608"/>
      <c r="L79" s="608"/>
      <c r="M79" s="579" t="str">
        <f>Calcu!F52</f>
        <v>/℃</v>
      </c>
      <c r="N79" s="580"/>
      <c r="O79" s="609">
        <f>Calcu!K52</f>
        <v>8.1649658092772609E-7</v>
      </c>
      <c r="P79" s="610"/>
      <c r="Q79" s="610"/>
      <c r="R79" s="610"/>
      <c r="S79" s="610"/>
      <c r="T79" s="610"/>
      <c r="U79" s="610"/>
      <c r="V79" s="585" t="str">
        <f>Calcu!L52</f>
        <v>/℃</v>
      </c>
      <c r="W79" s="585"/>
      <c r="X79" s="585"/>
      <c r="Y79" s="585"/>
      <c r="Z79" s="585"/>
      <c r="AA79" s="586"/>
      <c r="AB79" s="557" t="str">
        <f>Calcu!M52</f>
        <v>삼각형</v>
      </c>
      <c r="AC79" s="557"/>
      <c r="AD79" s="557"/>
      <c r="AE79" s="557"/>
      <c r="AF79" s="557"/>
      <c r="AG79" s="596" t="e">
        <f>Calcu!P52</f>
        <v>#VALUE!</v>
      </c>
      <c r="AH79" s="597"/>
      <c r="AI79" s="597"/>
      <c r="AJ79" s="597"/>
      <c r="AK79" s="597" t="s">
        <v>458</v>
      </c>
      <c r="AL79" s="597"/>
      <c r="AM79" s="597"/>
      <c r="AN79" s="597"/>
      <c r="AO79" s="606"/>
      <c r="AP79" s="600" t="e">
        <f>Calcu!S52</f>
        <v>#VALUE!</v>
      </c>
      <c r="AQ79" s="601"/>
      <c r="AR79" s="601"/>
      <c r="AS79" s="601"/>
      <c r="AT79" s="601"/>
      <c r="AU79" s="601"/>
      <c r="AV79" s="601"/>
      <c r="AW79" s="585" t="s">
        <v>459</v>
      </c>
      <c r="AX79" s="585"/>
      <c r="AY79" s="585"/>
      <c r="AZ79" s="585"/>
      <c r="BA79" s="585"/>
      <c r="BB79" s="586"/>
      <c r="BC79" s="557">
        <f>Calcu!U52</f>
        <v>100.00000000000004</v>
      </c>
      <c r="BD79" s="557"/>
      <c r="BE79" s="557"/>
      <c r="BF79" s="557"/>
    </row>
    <row r="80" spans="1:58" ht="18.75" customHeight="1">
      <c r="A80" s="56"/>
      <c r="B80" s="571" t="s">
        <v>167</v>
      </c>
      <c r="C80" s="573"/>
      <c r="D80" s="574" t="s">
        <v>137</v>
      </c>
      <c r="E80" s="575"/>
      <c r="F80" s="575"/>
      <c r="G80" s="576"/>
      <c r="H80" s="602" t="str">
        <f>Calcu!E53</f>
        <v/>
      </c>
      <c r="I80" s="603"/>
      <c r="J80" s="603"/>
      <c r="K80" s="603"/>
      <c r="L80" s="603"/>
      <c r="M80" s="579" t="str">
        <f>Calcu!F53</f>
        <v>℃</v>
      </c>
      <c r="N80" s="580"/>
      <c r="O80" s="604">
        <f>Calcu!K53</f>
        <v>0.57735026918962584</v>
      </c>
      <c r="P80" s="605"/>
      <c r="Q80" s="605"/>
      <c r="R80" s="605"/>
      <c r="S80" s="605"/>
      <c r="T80" s="605"/>
      <c r="U80" s="605"/>
      <c r="V80" s="585" t="str">
        <f>Calcu!L53</f>
        <v>℃</v>
      </c>
      <c r="W80" s="585"/>
      <c r="X80" s="585"/>
      <c r="Y80" s="585"/>
      <c r="Z80" s="585"/>
      <c r="AA80" s="586"/>
      <c r="AB80" s="557" t="str">
        <f>Calcu!M53</f>
        <v>직사각형</v>
      </c>
      <c r="AC80" s="557"/>
      <c r="AD80" s="557"/>
      <c r="AE80" s="557"/>
      <c r="AF80" s="557"/>
      <c r="AG80" s="596" t="e">
        <f ca="1">Calcu!P53</f>
        <v>#N/A</v>
      </c>
      <c r="AH80" s="597"/>
      <c r="AI80" s="597"/>
      <c r="AJ80" s="597"/>
      <c r="AK80" s="597" t="s">
        <v>460</v>
      </c>
      <c r="AL80" s="597"/>
      <c r="AM80" s="597"/>
      <c r="AN80" s="597"/>
      <c r="AO80" s="606"/>
      <c r="AP80" s="600" t="e">
        <f ca="1">Calcu!S53</f>
        <v>#N/A</v>
      </c>
      <c r="AQ80" s="601"/>
      <c r="AR80" s="601"/>
      <c r="AS80" s="601"/>
      <c r="AT80" s="601"/>
      <c r="AU80" s="601"/>
      <c r="AV80" s="601"/>
      <c r="AW80" s="585" t="s">
        <v>459</v>
      </c>
      <c r="AX80" s="585"/>
      <c r="AY80" s="585"/>
      <c r="AZ80" s="585"/>
      <c r="BA80" s="585"/>
      <c r="BB80" s="586"/>
      <c r="BC80" s="557" t="str">
        <f>Calcu!U53</f>
        <v>∞</v>
      </c>
      <c r="BD80" s="557"/>
      <c r="BE80" s="557"/>
      <c r="BF80" s="557"/>
    </row>
    <row r="81" spans="1:61" ht="18.75" customHeight="1">
      <c r="A81" s="56"/>
      <c r="B81" s="571" t="s">
        <v>231</v>
      </c>
      <c r="C81" s="573"/>
      <c r="D81" s="574" t="s">
        <v>681</v>
      </c>
      <c r="E81" s="575"/>
      <c r="F81" s="575"/>
      <c r="G81" s="576"/>
      <c r="H81" s="602">
        <f>Calcu!E54</f>
        <v>0</v>
      </c>
      <c r="I81" s="603"/>
      <c r="J81" s="603"/>
      <c r="K81" s="603"/>
      <c r="L81" s="603"/>
      <c r="M81" s="579" t="str">
        <f>Calcu!F54</f>
        <v>mm</v>
      </c>
      <c r="N81" s="580"/>
      <c r="O81" s="565">
        <f>Calcu!J54</f>
        <v>0</v>
      </c>
      <c r="P81" s="566"/>
      <c r="Q81" s="566"/>
      <c r="R81" s="566"/>
      <c r="S81" s="566"/>
      <c r="T81" s="566"/>
      <c r="U81" s="566"/>
      <c r="V81" s="585" t="str">
        <f>Calcu!L54</f>
        <v>μm</v>
      </c>
      <c r="W81" s="585"/>
      <c r="X81" s="585"/>
      <c r="Y81" s="585"/>
      <c r="Z81" s="585"/>
      <c r="AA81" s="586"/>
      <c r="AB81" s="557" t="str">
        <f>Calcu!M54</f>
        <v>직사각형</v>
      </c>
      <c r="AC81" s="557"/>
      <c r="AD81" s="557"/>
      <c r="AE81" s="557"/>
      <c r="AF81" s="557"/>
      <c r="AG81" s="571">
        <f>Calcu!P54</f>
        <v>1</v>
      </c>
      <c r="AH81" s="572"/>
      <c r="AI81" s="572"/>
      <c r="AJ81" s="572"/>
      <c r="AK81" s="572"/>
      <c r="AL81" s="572"/>
      <c r="AM81" s="572"/>
      <c r="AN81" s="572"/>
      <c r="AO81" s="573"/>
      <c r="AP81" s="565">
        <f>Calcu!R54</f>
        <v>0</v>
      </c>
      <c r="AQ81" s="566"/>
      <c r="AR81" s="566"/>
      <c r="AS81" s="566"/>
      <c r="AT81" s="566"/>
      <c r="AU81" s="566"/>
      <c r="AV81" s="566"/>
      <c r="AW81" s="585" t="str">
        <f>Calcu!T54</f>
        <v>μm</v>
      </c>
      <c r="AX81" s="585"/>
      <c r="AY81" s="585"/>
      <c r="AZ81" s="585"/>
      <c r="BA81" s="585"/>
      <c r="BB81" s="586"/>
      <c r="BC81" s="557" t="str">
        <f>Calcu!U54</f>
        <v>∞</v>
      </c>
      <c r="BD81" s="557"/>
      <c r="BE81" s="557"/>
      <c r="BF81" s="557"/>
    </row>
    <row r="82" spans="1:61" ht="18.75" customHeight="1">
      <c r="A82" s="56"/>
      <c r="B82" s="557" t="s">
        <v>357</v>
      </c>
      <c r="C82" s="557"/>
      <c r="D82" s="574" t="s">
        <v>682</v>
      </c>
      <c r="E82" s="575"/>
      <c r="F82" s="575"/>
      <c r="G82" s="576"/>
      <c r="H82" s="602">
        <f>Calcu!E55</f>
        <v>0</v>
      </c>
      <c r="I82" s="603"/>
      <c r="J82" s="603"/>
      <c r="K82" s="603"/>
      <c r="L82" s="603"/>
      <c r="M82" s="579" t="str">
        <f>Calcu!F55</f>
        <v>mm</v>
      </c>
      <c r="N82" s="580"/>
      <c r="O82" s="565">
        <f>Calcu!J55</f>
        <v>0</v>
      </c>
      <c r="P82" s="566"/>
      <c r="Q82" s="566"/>
      <c r="R82" s="566"/>
      <c r="S82" s="566"/>
      <c r="T82" s="566"/>
      <c r="U82" s="566"/>
      <c r="V82" s="585" t="str">
        <f>Calcu!L55</f>
        <v>μm</v>
      </c>
      <c r="W82" s="585"/>
      <c r="X82" s="585"/>
      <c r="Y82" s="585"/>
      <c r="Z82" s="585"/>
      <c r="AA82" s="586"/>
      <c r="AB82" s="557" t="str">
        <f>Calcu!M55</f>
        <v>직사각형</v>
      </c>
      <c r="AC82" s="557"/>
      <c r="AD82" s="557"/>
      <c r="AE82" s="557"/>
      <c r="AF82" s="557"/>
      <c r="AG82" s="571">
        <f>Calcu!P55</f>
        <v>1</v>
      </c>
      <c r="AH82" s="572"/>
      <c r="AI82" s="572"/>
      <c r="AJ82" s="572"/>
      <c r="AK82" s="572"/>
      <c r="AL82" s="572"/>
      <c r="AM82" s="572"/>
      <c r="AN82" s="572"/>
      <c r="AO82" s="573"/>
      <c r="AP82" s="565">
        <f>Calcu!R55</f>
        <v>0</v>
      </c>
      <c r="AQ82" s="566"/>
      <c r="AR82" s="566"/>
      <c r="AS82" s="566"/>
      <c r="AT82" s="566"/>
      <c r="AU82" s="566"/>
      <c r="AV82" s="566"/>
      <c r="AW82" s="585" t="str">
        <f>Calcu!T55</f>
        <v>μm</v>
      </c>
      <c r="AX82" s="585"/>
      <c r="AY82" s="585"/>
      <c r="AZ82" s="585"/>
      <c r="BA82" s="585"/>
      <c r="BB82" s="586"/>
      <c r="BC82" s="557">
        <f>Calcu!U55</f>
        <v>12</v>
      </c>
      <c r="BD82" s="557"/>
      <c r="BE82" s="557"/>
      <c r="BF82" s="557"/>
    </row>
    <row r="83" spans="1:61" ht="18.75" customHeight="1">
      <c r="A83" s="56"/>
      <c r="B83" s="557" t="s">
        <v>359</v>
      </c>
      <c r="C83" s="557"/>
      <c r="D83" s="587" t="s">
        <v>395</v>
      </c>
      <c r="E83" s="588"/>
      <c r="F83" s="588"/>
      <c r="G83" s="589"/>
      <c r="H83" s="590" t="s">
        <v>457</v>
      </c>
      <c r="I83" s="591"/>
      <c r="J83" s="591"/>
      <c r="K83" s="591"/>
      <c r="L83" s="591"/>
      <c r="M83" s="591"/>
      <c r="N83" s="592"/>
      <c r="O83" s="593" t="e">
        <f ca="1">Calcu!J56</f>
        <v>#N/A</v>
      </c>
      <c r="P83" s="594"/>
      <c r="Q83" s="594"/>
      <c r="R83" s="594"/>
      <c r="S83" s="594"/>
      <c r="T83" s="594"/>
      <c r="U83" s="594"/>
      <c r="V83" s="594"/>
      <c r="W83" s="594"/>
      <c r="X83" s="594"/>
      <c r="Y83" s="594"/>
      <c r="Z83" s="594"/>
      <c r="AA83" s="595"/>
      <c r="AB83" s="557" t="str">
        <f>Calcu!M56</f>
        <v>정규</v>
      </c>
      <c r="AC83" s="557"/>
      <c r="AD83" s="557"/>
      <c r="AE83" s="557"/>
      <c r="AF83" s="557"/>
      <c r="AG83" s="596">
        <f>Calcu!P56</f>
        <v>1000</v>
      </c>
      <c r="AH83" s="597"/>
      <c r="AI83" s="597"/>
      <c r="AJ83" s="597"/>
      <c r="AK83" s="597"/>
      <c r="AL83" s="598" t="s">
        <v>461</v>
      </c>
      <c r="AM83" s="598"/>
      <c r="AN83" s="598"/>
      <c r="AO83" s="599"/>
      <c r="AP83" s="600">
        <f>Calcu!S56</f>
        <v>0</v>
      </c>
      <c r="AQ83" s="601"/>
      <c r="AR83" s="601"/>
      <c r="AS83" s="601"/>
      <c r="AT83" s="601"/>
      <c r="AU83" s="601"/>
      <c r="AV83" s="601"/>
      <c r="AW83" s="585" t="s">
        <v>459</v>
      </c>
      <c r="AX83" s="585"/>
      <c r="AY83" s="585"/>
      <c r="AZ83" s="585"/>
      <c r="BA83" s="585"/>
      <c r="BB83" s="586"/>
      <c r="BC83" s="557" t="str">
        <f>Calcu!U56</f>
        <v>∞</v>
      </c>
      <c r="BD83" s="557"/>
      <c r="BE83" s="557"/>
      <c r="BF83" s="557"/>
    </row>
    <row r="84" spans="1:61" ht="21" customHeight="1">
      <c r="A84" s="56"/>
      <c r="B84" s="557" t="s">
        <v>434</v>
      </c>
      <c r="C84" s="557"/>
      <c r="D84" s="574" t="s">
        <v>308</v>
      </c>
      <c r="E84" s="575"/>
      <c r="F84" s="575"/>
      <c r="G84" s="576"/>
      <c r="H84" s="577" t="e">
        <f ca="1">Calcu!E57</f>
        <v>#N/A</v>
      </c>
      <c r="I84" s="578"/>
      <c r="J84" s="578"/>
      <c r="K84" s="578"/>
      <c r="L84" s="578"/>
      <c r="M84" s="579" t="str">
        <f>Calcu!F57</f>
        <v>mm</v>
      </c>
      <c r="N84" s="580"/>
      <c r="O84" s="571" t="s">
        <v>457</v>
      </c>
      <c r="P84" s="572"/>
      <c r="Q84" s="572"/>
      <c r="R84" s="572"/>
      <c r="S84" s="572"/>
      <c r="T84" s="572"/>
      <c r="U84" s="572"/>
      <c r="V84" s="572"/>
      <c r="W84" s="572"/>
      <c r="X84" s="572"/>
      <c r="Y84" s="572"/>
      <c r="Z84" s="572"/>
      <c r="AA84" s="573"/>
      <c r="AB84" s="557" t="s">
        <v>457</v>
      </c>
      <c r="AC84" s="557"/>
      <c r="AD84" s="557"/>
      <c r="AE84" s="557"/>
      <c r="AF84" s="557"/>
      <c r="AG84" s="571" t="s">
        <v>457</v>
      </c>
      <c r="AH84" s="572"/>
      <c r="AI84" s="572"/>
      <c r="AJ84" s="572"/>
      <c r="AK84" s="572"/>
      <c r="AL84" s="572"/>
      <c r="AM84" s="572"/>
      <c r="AN84" s="572"/>
      <c r="AO84" s="573"/>
      <c r="AP84" s="565" t="e">
        <f>Calcu!R57</f>
        <v>#N/A</v>
      </c>
      <c r="AQ84" s="566"/>
      <c r="AR84" s="566"/>
      <c r="AS84" s="317"/>
      <c r="AT84" s="567" t="e">
        <f>Calcu!S57</f>
        <v>#N/A</v>
      </c>
      <c r="AU84" s="567"/>
      <c r="AV84" s="567"/>
      <c r="AW84" s="567"/>
      <c r="AX84" s="567"/>
      <c r="AY84" s="318"/>
      <c r="AZ84" s="318"/>
      <c r="BA84" s="569" t="str">
        <f>Calcu!T57</f>
        <v>μm</v>
      </c>
      <c r="BB84" s="570"/>
      <c r="BC84" s="557" t="e">
        <f>Calcu!U57</f>
        <v>#VALUE!</v>
      </c>
      <c r="BD84" s="557"/>
      <c r="BE84" s="557"/>
      <c r="BF84" s="557"/>
    </row>
    <row r="85" spans="1:61" ht="18.75" customHeight="1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319" t="s">
        <v>435</v>
      </c>
      <c r="AH85" s="56"/>
      <c r="AI85" s="56"/>
      <c r="AJ85" s="56"/>
      <c r="AK85" s="56"/>
      <c r="AL85" s="56"/>
      <c r="AM85" s="56"/>
      <c r="AN85" s="56"/>
      <c r="AO85" s="56"/>
      <c r="AQ85" s="56"/>
      <c r="AR85" s="56"/>
      <c r="AS85" s="56"/>
      <c r="AT85" s="56"/>
    </row>
    <row r="86" spans="1:61" ht="18.75" customHeight="1">
      <c r="A86" s="57" t="s">
        <v>232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</row>
    <row r="87" spans="1:61" s="67" customFormat="1" ht="18.75" customHeight="1">
      <c r="A87" s="57"/>
      <c r="B87" s="57" t="s">
        <v>436</v>
      </c>
      <c r="C87" s="247"/>
      <c r="D87" s="247"/>
      <c r="E87" s="247"/>
      <c r="F87" s="247"/>
      <c r="G87" s="247"/>
      <c r="H87" s="247"/>
      <c r="I87" s="247"/>
      <c r="J87" s="247"/>
      <c r="K87" s="247"/>
      <c r="L87" s="247"/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</row>
    <row r="88" spans="1:61" s="67" customFormat="1" ht="18.75" customHeight="1">
      <c r="B88" s="57"/>
      <c r="C88" s="247" t="s">
        <v>309</v>
      </c>
      <c r="D88" s="247"/>
      <c r="E88" s="247"/>
      <c r="F88" s="247"/>
      <c r="G88" s="247"/>
      <c r="H88" s="551" t="e">
        <f ca="1">H73</f>
        <v>#N/A</v>
      </c>
      <c r="I88" s="551"/>
      <c r="J88" s="551"/>
      <c r="K88" s="551"/>
      <c r="L88" s="551"/>
      <c r="M88" s="551"/>
      <c r="N88" s="264" t="s">
        <v>168</v>
      </c>
      <c r="O88" s="264"/>
      <c r="P88" s="264"/>
      <c r="Q88" s="264"/>
      <c r="R88" s="264"/>
      <c r="S88" s="264"/>
      <c r="T88" s="264"/>
      <c r="U88" s="247"/>
      <c r="V88" s="247"/>
      <c r="W88" s="247"/>
      <c r="X88" s="264"/>
      <c r="Y88" s="264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64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</row>
    <row r="89" spans="1:61" s="67" customFormat="1" ht="18.75" customHeight="1">
      <c r="B89" s="57"/>
      <c r="C89" s="247" t="s">
        <v>235</v>
      </c>
      <c r="D89" s="247"/>
      <c r="E89" s="247"/>
      <c r="F89" s="247"/>
      <c r="G89" s="247"/>
      <c r="H89" s="247"/>
      <c r="I89" s="247"/>
      <c r="J89" s="247"/>
      <c r="K89" s="247"/>
      <c r="L89" s="247"/>
      <c r="M89" s="244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564" t="e">
        <f>O74</f>
        <v>#N/A</v>
      </c>
      <c r="Z89" s="564"/>
      <c r="AA89" s="564"/>
      <c r="AB89" s="251"/>
      <c r="AC89" s="714" t="e">
        <f>S74</f>
        <v>#N/A</v>
      </c>
      <c r="AD89" s="714"/>
      <c r="AE89" s="714"/>
      <c r="AF89" s="714"/>
      <c r="AG89" s="714"/>
      <c r="AH89" s="245"/>
      <c r="AI89" s="245"/>
      <c r="AJ89" s="564">
        <f>O75</f>
        <v>0</v>
      </c>
      <c r="AK89" s="564"/>
      <c r="AL89" s="564"/>
      <c r="AM89" s="564"/>
      <c r="AN89" s="247" t="s">
        <v>437</v>
      </c>
      <c r="AO89" s="247"/>
      <c r="AP89" s="247"/>
      <c r="AQ89" s="568" t="e">
        <f>AP73</f>
        <v>#N/A</v>
      </c>
      <c r="AR89" s="568"/>
      <c r="AS89" s="568"/>
      <c r="AT89" s="264"/>
      <c r="AU89" s="559" t="e">
        <f>AT73</f>
        <v>#N/A</v>
      </c>
      <c r="AV89" s="559"/>
      <c r="AW89" s="559"/>
      <c r="AX89" s="559"/>
      <c r="AY89" s="246"/>
      <c r="AZ89" s="264"/>
      <c r="BA89" s="264"/>
      <c r="BB89" s="247" t="s">
        <v>130</v>
      </c>
      <c r="BC89" s="247"/>
      <c r="BD89" s="247"/>
      <c r="BE89" s="247"/>
      <c r="BF89" s="247"/>
      <c r="BG89" s="247"/>
    </row>
    <row r="90" spans="1:61" s="67" customFormat="1" ht="18.75" customHeight="1">
      <c r="B90" s="57"/>
      <c r="C90" s="247" t="s">
        <v>310</v>
      </c>
      <c r="D90" s="247"/>
      <c r="E90" s="247"/>
      <c r="F90" s="247"/>
      <c r="G90" s="247"/>
      <c r="H90" s="247"/>
      <c r="I90" s="560" t="str">
        <f>AB73</f>
        <v>정규</v>
      </c>
      <c r="J90" s="560"/>
      <c r="K90" s="560"/>
      <c r="L90" s="560"/>
      <c r="M90" s="560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</row>
    <row r="91" spans="1:61" s="67" customFormat="1" ht="18.75" customHeight="1">
      <c r="B91" s="57"/>
      <c r="C91" s="560" t="s">
        <v>240</v>
      </c>
      <c r="D91" s="560"/>
      <c r="E91" s="560"/>
      <c r="F91" s="560"/>
      <c r="G91" s="560"/>
      <c r="H91" s="560"/>
      <c r="I91" s="247"/>
      <c r="J91" s="247"/>
      <c r="K91" s="247"/>
      <c r="L91" s="247"/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</row>
    <row r="92" spans="1:61" s="67" customFormat="1" ht="18.75" customHeight="1">
      <c r="B92" s="57"/>
      <c r="C92" s="560"/>
      <c r="D92" s="560"/>
      <c r="E92" s="560"/>
      <c r="F92" s="560"/>
      <c r="G92" s="560"/>
      <c r="H92" s="560"/>
      <c r="I92" s="247"/>
      <c r="J92" s="247"/>
      <c r="K92" s="247"/>
      <c r="L92" s="247"/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</row>
    <row r="93" spans="1:61" s="67" customFormat="1" ht="18.75" customHeight="1">
      <c r="B93" s="57"/>
      <c r="C93" s="247" t="s">
        <v>438</v>
      </c>
      <c r="D93" s="247"/>
      <c r="E93" s="247"/>
      <c r="F93" s="247"/>
      <c r="G93" s="247"/>
      <c r="H93" s="247"/>
      <c r="I93" s="247"/>
      <c r="J93" s="247"/>
      <c r="K93" s="251" t="s">
        <v>462</v>
      </c>
      <c r="L93" s="247"/>
      <c r="M93" s="248" t="s">
        <v>274</v>
      </c>
      <c r="N93" s="247"/>
      <c r="O93" s="568" t="e">
        <f>AQ89</f>
        <v>#N/A</v>
      </c>
      <c r="P93" s="568"/>
      <c r="Q93" s="568"/>
      <c r="R93" s="264"/>
      <c r="S93" s="559" t="e">
        <f>AU89</f>
        <v>#N/A</v>
      </c>
      <c r="T93" s="559"/>
      <c r="U93" s="559"/>
      <c r="V93" s="559"/>
      <c r="W93" s="246"/>
      <c r="X93" s="264"/>
      <c r="Y93" s="264"/>
      <c r="Z93" s="247" t="s">
        <v>130</v>
      </c>
      <c r="AA93" s="247"/>
      <c r="AB93" s="251" t="s">
        <v>462</v>
      </c>
      <c r="AC93" s="247" t="s">
        <v>239</v>
      </c>
      <c r="AD93" s="247"/>
      <c r="AE93" s="568" t="e">
        <f>O93*1</f>
        <v>#N/A</v>
      </c>
      <c r="AF93" s="568"/>
      <c r="AG93" s="568"/>
      <c r="AH93" s="264"/>
      <c r="AI93" s="559" t="e">
        <f>S93*1</f>
        <v>#N/A</v>
      </c>
      <c r="AJ93" s="559"/>
      <c r="AK93" s="559"/>
      <c r="AL93" s="559"/>
      <c r="AM93" s="246"/>
      <c r="AN93" s="264"/>
      <c r="AO93" s="264"/>
      <c r="AP93" s="247" t="s">
        <v>130</v>
      </c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 s="67" customFormat="1" ht="18.75" customHeight="1">
      <c r="B94" s="57"/>
      <c r="C94" s="247" t="s">
        <v>82</v>
      </c>
      <c r="D94" s="247"/>
      <c r="E94" s="247"/>
      <c r="F94" s="247"/>
      <c r="G94" s="247"/>
      <c r="H94" s="247"/>
      <c r="I94" s="249" t="s">
        <v>439</v>
      </c>
      <c r="J94" s="108"/>
      <c r="K94" s="108"/>
      <c r="L94" s="247"/>
      <c r="M94" s="247"/>
      <c r="N94" s="247"/>
      <c r="O94" s="247"/>
      <c r="P94" s="247"/>
      <c r="Q94" s="247"/>
      <c r="R94" s="221"/>
      <c r="S94" s="221"/>
      <c r="T94" s="221"/>
      <c r="U94" s="221"/>
      <c r="V94" s="221"/>
      <c r="W94" s="221"/>
      <c r="X94" s="221"/>
      <c r="Y94" s="221"/>
      <c r="Z94" s="221"/>
      <c r="AA94" s="221"/>
      <c r="AB94" s="221"/>
      <c r="AC94" s="221"/>
      <c r="AD94" s="221"/>
      <c r="AE94" s="221"/>
      <c r="AF94" s="221"/>
      <c r="AG94" s="247"/>
      <c r="AH94" s="214"/>
      <c r="AI94" s="214"/>
      <c r="AJ94" s="214"/>
      <c r="AK94" s="214"/>
      <c r="AL94" s="247"/>
      <c r="AM94" s="247"/>
      <c r="AN94" s="215"/>
      <c r="AO94" s="247"/>
      <c r="AP94" s="218"/>
      <c r="AQ94" s="218"/>
      <c r="AR94" s="218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</row>
    <row r="95" spans="1:61" s="67" customFormat="1" ht="18.75" customHeight="1">
      <c r="B95" s="57"/>
      <c r="C95" s="247"/>
      <c r="D95" s="247"/>
      <c r="E95" s="247"/>
      <c r="F95" s="247"/>
      <c r="G95" s="247"/>
      <c r="H95" s="108"/>
      <c r="I95" s="108"/>
      <c r="J95" s="108"/>
      <c r="K95" s="108"/>
      <c r="L95" s="247"/>
      <c r="M95" s="247"/>
      <c r="N95" s="247"/>
      <c r="O95" s="247"/>
      <c r="P95" s="247"/>
      <c r="Q95" s="247"/>
      <c r="R95" s="221"/>
      <c r="S95" s="221"/>
      <c r="T95" s="221"/>
      <c r="U95" s="221"/>
      <c r="V95" s="250"/>
      <c r="W95" s="221"/>
      <c r="X95" s="221"/>
      <c r="Y95" s="221"/>
      <c r="Z95" s="221"/>
      <c r="AA95" s="250"/>
      <c r="AB95" s="221"/>
      <c r="AC95" s="221"/>
      <c r="AD95" s="221"/>
      <c r="AE95" s="221"/>
      <c r="AF95" s="247"/>
      <c r="AG95" s="214"/>
      <c r="AH95" s="214"/>
      <c r="AI95" s="214"/>
      <c r="AJ95" s="214"/>
      <c r="AK95" s="247"/>
      <c r="AL95" s="247"/>
      <c r="AM95" s="215"/>
      <c r="AN95" s="218"/>
      <c r="AO95" s="218"/>
      <c r="AP95" s="218"/>
      <c r="AQ95" s="218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</row>
    <row r="96" spans="1:61" s="67" customFormat="1" ht="18.75" customHeight="1">
      <c r="A96" s="57"/>
      <c r="B96" s="57" t="s">
        <v>440</v>
      </c>
      <c r="C96" s="247"/>
      <c r="D96" s="247"/>
      <c r="E96" s="247"/>
      <c r="F96" s="247"/>
      <c r="G96" s="247"/>
      <c r="H96" s="247"/>
      <c r="I96" s="247"/>
      <c r="J96" s="247"/>
      <c r="K96" s="247"/>
      <c r="L96" s="247"/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</row>
    <row r="97" spans="2:60" s="67" customFormat="1" ht="18.75" customHeight="1">
      <c r="B97" s="57"/>
      <c r="C97" s="247" t="s">
        <v>241</v>
      </c>
      <c r="D97" s="247"/>
      <c r="E97" s="247"/>
      <c r="F97" s="247"/>
      <c r="G97" s="247"/>
      <c r="H97" s="551" t="str">
        <f>H74</f>
        <v>-</v>
      </c>
      <c r="I97" s="551"/>
      <c r="J97" s="551"/>
      <c r="K97" s="551"/>
      <c r="L97" s="551"/>
      <c r="M97" s="551"/>
      <c r="N97" s="264"/>
      <c r="O97" s="264"/>
      <c r="P97" s="264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</row>
    <row r="98" spans="2:60" s="67" customFormat="1" ht="18.75" customHeight="1">
      <c r="B98" s="57"/>
      <c r="C98" s="247" t="s">
        <v>83</v>
      </c>
      <c r="D98" s="247"/>
      <c r="E98" s="247"/>
      <c r="F98" s="247"/>
      <c r="G98" s="247"/>
      <c r="H98" s="247"/>
      <c r="I98" s="247"/>
      <c r="J98" s="247" t="s">
        <v>574</v>
      </c>
      <c r="K98" s="247"/>
      <c r="L98" s="247"/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562" t="e">
        <f>Calcu!G46</f>
        <v>#N/A</v>
      </c>
      <c r="Z98" s="562"/>
      <c r="AA98" s="562" t="e">
        <f>Calcu!H46</f>
        <v>#N/A</v>
      </c>
      <c r="AB98" s="562"/>
      <c r="AC98" s="562"/>
      <c r="AD98" s="562"/>
      <c r="AE98" s="247"/>
      <c r="AF98" s="247"/>
      <c r="AG98" s="247" t="s">
        <v>441</v>
      </c>
      <c r="AH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</row>
    <row r="99" spans="2:60" s="67" customFormat="1" ht="18.75" customHeight="1">
      <c r="B99" s="57"/>
      <c r="C99" s="247"/>
      <c r="D99" s="247"/>
      <c r="E99" s="247"/>
      <c r="F99" s="247"/>
      <c r="G99" s="247"/>
      <c r="H99" s="247"/>
      <c r="I99" s="247"/>
      <c r="J99" s="247"/>
      <c r="K99" s="247" t="s">
        <v>442</v>
      </c>
      <c r="L99" s="247"/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</row>
    <row r="100" spans="2:60" s="67" customFormat="1" ht="18.75" customHeight="1">
      <c r="B100" s="57"/>
      <c r="C100" s="247"/>
      <c r="D100" s="247"/>
      <c r="E100" s="247"/>
      <c r="F100" s="247"/>
      <c r="G100" s="247"/>
      <c r="H100" s="247"/>
      <c r="I100" s="247"/>
      <c r="J100" s="247"/>
      <c r="K100" s="247"/>
      <c r="L100" s="247"/>
      <c r="M100" s="247"/>
      <c r="N100" s="247"/>
      <c r="O100" s="562" t="s">
        <v>239</v>
      </c>
      <c r="P100" s="252"/>
      <c r="Q100" s="717" t="e">
        <f>Y98</f>
        <v>#N/A</v>
      </c>
      <c r="R100" s="717"/>
      <c r="S100" s="717" t="e">
        <f>AA98</f>
        <v>#N/A</v>
      </c>
      <c r="T100" s="717"/>
      <c r="U100" s="717"/>
      <c r="V100" s="717"/>
      <c r="W100" s="253"/>
      <c r="X100" s="253"/>
      <c r="Y100" s="253" t="s">
        <v>463</v>
      </c>
      <c r="Z100" s="254"/>
      <c r="AA100" s="718" t="s">
        <v>239</v>
      </c>
      <c r="AB100" s="255"/>
      <c r="AC100" s="719" t="e">
        <f>Q100/2</f>
        <v>#N/A</v>
      </c>
      <c r="AD100" s="719"/>
      <c r="AE100" s="562" t="e">
        <f>S100/2</f>
        <v>#N/A</v>
      </c>
      <c r="AF100" s="562"/>
      <c r="AG100" s="562"/>
      <c r="AH100" s="562"/>
      <c r="AI100" s="256"/>
      <c r="AJ100" s="247"/>
      <c r="AK100" s="560" t="s">
        <v>463</v>
      </c>
      <c r="AL100" s="560"/>
      <c r="AM100" s="562" t="s">
        <v>239</v>
      </c>
      <c r="AN100" s="563"/>
      <c r="AO100" s="558" t="e">
        <f>AC100/1000</f>
        <v>#N/A</v>
      </c>
      <c r="AP100" s="558"/>
      <c r="AQ100" s="558"/>
      <c r="AR100" s="247"/>
      <c r="AS100" s="559" t="e">
        <f>AE100/1000</f>
        <v>#N/A</v>
      </c>
      <c r="AT100" s="559"/>
      <c r="AU100" s="559"/>
      <c r="AV100" s="559"/>
      <c r="AW100" s="247"/>
      <c r="AX100" s="247"/>
      <c r="AY100" s="247"/>
      <c r="AZ100" s="560" t="s">
        <v>130</v>
      </c>
      <c r="BA100" s="560"/>
      <c r="BB100" s="247"/>
      <c r="BC100" s="247"/>
      <c r="BD100" s="247"/>
      <c r="BE100" s="247"/>
      <c r="BF100" s="247"/>
      <c r="BG100" s="247"/>
      <c r="BH100" s="247"/>
    </row>
    <row r="101" spans="2:60" s="67" customFormat="1" ht="18.75" customHeight="1">
      <c r="B101" s="57"/>
      <c r="C101" s="247"/>
      <c r="D101" s="247"/>
      <c r="E101" s="247"/>
      <c r="F101" s="247"/>
      <c r="G101" s="247"/>
      <c r="H101" s="247"/>
      <c r="I101" s="247"/>
      <c r="J101" s="247"/>
      <c r="K101" s="247"/>
      <c r="L101" s="247"/>
      <c r="M101" s="247"/>
      <c r="N101" s="247"/>
      <c r="O101" s="562"/>
      <c r="P101" s="247"/>
      <c r="Q101" s="562" t="e">
        <f>Calcu!I46</f>
        <v>#N/A</v>
      </c>
      <c r="R101" s="562"/>
      <c r="S101" s="562"/>
      <c r="T101" s="562"/>
      <c r="U101" s="562"/>
      <c r="V101" s="562"/>
      <c r="W101" s="562"/>
      <c r="X101" s="562"/>
      <c r="Y101" s="562"/>
      <c r="Z101" s="257"/>
      <c r="AA101" s="718"/>
      <c r="AB101" s="255"/>
      <c r="AC101" s="719"/>
      <c r="AD101" s="719"/>
      <c r="AE101" s="562"/>
      <c r="AF101" s="562"/>
      <c r="AG101" s="562"/>
      <c r="AH101" s="562"/>
      <c r="AI101" s="256"/>
      <c r="AJ101" s="247"/>
      <c r="AK101" s="560"/>
      <c r="AL101" s="560"/>
      <c r="AM101" s="563"/>
      <c r="AN101" s="563"/>
      <c r="AO101" s="558"/>
      <c r="AP101" s="558"/>
      <c r="AQ101" s="558"/>
      <c r="AR101" s="245"/>
      <c r="AS101" s="559"/>
      <c r="AT101" s="559"/>
      <c r="AU101" s="559"/>
      <c r="AV101" s="559"/>
      <c r="AW101" s="247"/>
      <c r="AX101" s="247"/>
      <c r="AY101" s="247"/>
      <c r="AZ101" s="560"/>
      <c r="BA101" s="560"/>
      <c r="BB101" s="247"/>
      <c r="BC101" s="247"/>
      <c r="BD101" s="247"/>
      <c r="BE101" s="247"/>
      <c r="BF101" s="247"/>
      <c r="BG101" s="247"/>
      <c r="BH101" s="247"/>
    </row>
    <row r="102" spans="2:60" s="67" customFormat="1" ht="18.75" customHeight="1">
      <c r="B102" s="57"/>
      <c r="C102" s="247"/>
      <c r="D102" s="247"/>
      <c r="E102" s="247"/>
      <c r="F102" s="247"/>
      <c r="G102" s="247"/>
      <c r="H102" s="247"/>
      <c r="I102" s="247"/>
      <c r="J102" s="247"/>
      <c r="K102" s="247"/>
      <c r="L102" s="247"/>
      <c r="M102" s="247"/>
      <c r="N102" s="247"/>
      <c r="O102" s="251"/>
      <c r="P102" s="247"/>
      <c r="Q102" s="251"/>
      <c r="R102" s="251"/>
      <c r="S102" s="251"/>
      <c r="T102" s="251"/>
      <c r="U102" s="251"/>
      <c r="V102" s="251"/>
      <c r="W102" s="251"/>
      <c r="X102" s="251"/>
      <c r="Y102" s="251"/>
      <c r="Z102" s="257"/>
      <c r="AA102" s="258"/>
      <c r="AB102" s="255"/>
      <c r="AC102" s="259"/>
      <c r="AD102" s="259"/>
      <c r="AE102" s="251"/>
      <c r="AF102" s="251"/>
      <c r="AG102" s="251"/>
      <c r="AH102" s="251"/>
      <c r="AI102" s="256"/>
      <c r="AJ102" s="247"/>
      <c r="AK102" s="247"/>
      <c r="AL102" s="247"/>
      <c r="AM102" s="251"/>
      <c r="AN102" s="260"/>
      <c r="AO102" s="260"/>
      <c r="AP102" s="260"/>
      <c r="AQ102" s="245"/>
      <c r="AR102" s="261"/>
      <c r="AS102" s="261"/>
      <c r="AT102" s="261"/>
      <c r="AU102" s="261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</row>
    <row r="103" spans="2:60" s="67" customFormat="1" ht="18.75" customHeight="1">
      <c r="B103" s="57"/>
      <c r="C103" s="247"/>
      <c r="D103" s="247"/>
      <c r="E103" s="247"/>
      <c r="F103" s="247"/>
      <c r="G103" s="247"/>
      <c r="H103" s="247"/>
      <c r="I103" s="247"/>
      <c r="J103" s="247" t="s">
        <v>443</v>
      </c>
      <c r="K103" s="247"/>
      <c r="L103" s="247"/>
      <c r="M103" s="247"/>
      <c r="N103" s="247"/>
      <c r="O103" s="251"/>
      <c r="P103" s="247"/>
      <c r="Q103" s="251"/>
      <c r="R103" s="251"/>
      <c r="S103" s="251"/>
      <c r="T103" s="251"/>
      <c r="U103" s="251"/>
      <c r="V103" s="251"/>
      <c r="W103" s="251"/>
      <c r="X103" s="251"/>
      <c r="Y103" s="251"/>
      <c r="Z103" s="257"/>
      <c r="AA103" s="258"/>
      <c r="AB103" s="255"/>
      <c r="AC103" s="259"/>
      <c r="AD103" s="259"/>
      <c r="AE103" s="251"/>
      <c r="AF103" s="251"/>
      <c r="AG103" s="251"/>
      <c r="AH103" s="251"/>
      <c r="AI103" s="256"/>
      <c r="AJ103" s="247"/>
      <c r="AK103" s="247"/>
      <c r="AL103" s="247"/>
      <c r="AM103" s="251"/>
      <c r="AN103" s="260"/>
      <c r="AO103" s="260"/>
      <c r="AP103" s="260"/>
      <c r="AQ103" s="247"/>
      <c r="AR103" s="261"/>
      <c r="AS103" s="261"/>
      <c r="AT103" s="261"/>
      <c r="AU103" s="261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</row>
    <row r="104" spans="2:60" s="67" customFormat="1" ht="18.75" customHeight="1">
      <c r="B104" s="57"/>
      <c r="C104" s="247"/>
      <c r="D104" s="247"/>
      <c r="E104" s="247"/>
      <c r="F104" s="247"/>
      <c r="G104" s="247"/>
      <c r="H104" s="247"/>
      <c r="I104" s="247"/>
      <c r="J104" s="247"/>
      <c r="K104" s="716">
        <f>Calcu!K3</f>
        <v>0</v>
      </c>
      <c r="L104" s="716"/>
      <c r="M104" s="716"/>
      <c r="N104" s="262" t="s">
        <v>444</v>
      </c>
      <c r="O104" s="247"/>
      <c r="P104" s="247"/>
      <c r="Q104" s="251"/>
      <c r="R104" s="251"/>
      <c r="S104" s="251"/>
      <c r="T104" s="251"/>
      <c r="U104" s="251"/>
      <c r="V104" s="251"/>
      <c r="W104" s="251"/>
      <c r="X104" s="251"/>
      <c r="Y104" s="251"/>
      <c r="Z104" s="257"/>
      <c r="AA104" s="258"/>
      <c r="AB104" s="247"/>
      <c r="AC104" s="561">
        <f>VLOOKUP($K$104,Calcu!$B82:$U102,2,FALSE)</f>
        <v>0</v>
      </c>
      <c r="AD104" s="561"/>
      <c r="AE104" s="561"/>
      <c r="AF104" s="561"/>
      <c r="AG104" s="251" t="s">
        <v>445</v>
      </c>
      <c r="AH104" s="561">
        <f>VLOOKUP($K104,Calcu!$B82:$U102,3,FALSE)</f>
        <v>0</v>
      </c>
      <c r="AI104" s="561"/>
      <c r="AJ104" s="561"/>
      <c r="AK104" s="561"/>
      <c r="AL104" s="247" t="s">
        <v>445</v>
      </c>
      <c r="AM104" s="561">
        <f>VLOOKUP($K104,Calcu!$B82:$U102,4,FALSE)</f>
        <v>0</v>
      </c>
      <c r="AN104" s="561"/>
      <c r="AO104" s="561"/>
      <c r="AP104" s="561"/>
      <c r="AQ104" s="247" t="s">
        <v>445</v>
      </c>
      <c r="AR104" s="561">
        <f>VLOOKUP($K104,Calcu!$B82:$U102,5,FALSE)</f>
        <v>0</v>
      </c>
      <c r="AS104" s="561"/>
      <c r="AT104" s="561"/>
      <c r="AU104" s="561"/>
      <c r="AV104" s="247" t="s">
        <v>445</v>
      </c>
      <c r="AW104" s="561">
        <f>VLOOKUP($K104,Calcu!$B82:$U102,6,FALSE)</f>
        <v>0</v>
      </c>
      <c r="AX104" s="561"/>
      <c r="AY104" s="561"/>
      <c r="AZ104" s="561"/>
      <c r="BA104" s="262" t="s">
        <v>446</v>
      </c>
      <c r="BB104" s="247"/>
    </row>
    <row r="105" spans="2:60" s="67" customFormat="1" ht="18.75" customHeight="1">
      <c r="B105" s="57"/>
      <c r="C105" s="247"/>
      <c r="D105" s="247"/>
      <c r="E105" s="247"/>
      <c r="F105" s="247"/>
      <c r="G105" s="247"/>
      <c r="H105" s="247"/>
      <c r="I105" s="247"/>
      <c r="J105" s="247"/>
      <c r="K105" s="247" t="s">
        <v>447</v>
      </c>
      <c r="L105" s="247"/>
      <c r="M105" s="247"/>
      <c r="N105" s="247"/>
      <c r="O105" s="251"/>
      <c r="P105" s="247"/>
      <c r="Q105" s="251"/>
      <c r="R105" s="251"/>
      <c r="S105" s="251"/>
      <c r="T105" s="251"/>
      <c r="U105" s="251"/>
      <c r="V105" s="251"/>
      <c r="W105" s="251"/>
      <c r="X105" s="553" t="e">
        <f>VLOOKUP($K$104,Calcu!$B82:$U102,7,FALSE)</f>
        <v>#N/A</v>
      </c>
      <c r="Y105" s="553"/>
      <c r="Z105" s="553"/>
      <c r="AA105" s="553"/>
      <c r="AB105" s="251" t="s">
        <v>445</v>
      </c>
      <c r="AC105" s="553" t="e">
        <f>VLOOKUP($K$104,Calcu!$B82:$U102,8,FALSE)</f>
        <v>#N/A</v>
      </c>
      <c r="AD105" s="553"/>
      <c r="AE105" s="553"/>
      <c r="AF105" s="553"/>
      <c r="AG105" s="247" t="s">
        <v>445</v>
      </c>
      <c r="AH105" s="553" t="e">
        <f>VLOOKUP($K$104,Calcu!$B82:$U102,9,FALSE)</f>
        <v>#N/A</v>
      </c>
      <c r="AI105" s="553"/>
      <c r="AJ105" s="553"/>
      <c r="AK105" s="553"/>
      <c r="AL105" s="247" t="s">
        <v>445</v>
      </c>
      <c r="AM105" s="553" t="e">
        <f>VLOOKUP($K$104,Calcu!$B82:$U102,10,FALSE)</f>
        <v>#N/A</v>
      </c>
      <c r="AN105" s="553"/>
      <c r="AO105" s="553"/>
      <c r="AP105" s="553"/>
      <c r="AQ105" s="247" t="s">
        <v>445</v>
      </c>
      <c r="AR105" s="553" t="e">
        <f>VLOOKUP($K$104,Calcu!$B82:$U102,11,FALSE)</f>
        <v>#N/A</v>
      </c>
      <c r="AS105" s="553"/>
      <c r="AT105" s="553"/>
      <c r="AU105" s="553"/>
      <c r="AV105" s="262" t="s">
        <v>446</v>
      </c>
      <c r="AW105" s="247"/>
      <c r="AX105" s="247"/>
      <c r="AY105" s="262" t="s">
        <v>448</v>
      </c>
      <c r="AZ105" s="247"/>
      <c r="BA105" s="247"/>
      <c r="BB105" s="247"/>
    </row>
    <row r="106" spans="2:60" s="67" customFormat="1" ht="18.75" customHeight="1">
      <c r="B106" s="57"/>
      <c r="C106" s="247"/>
      <c r="D106" s="247"/>
      <c r="E106" s="247"/>
      <c r="F106" s="247"/>
      <c r="G106" s="247"/>
      <c r="H106" s="247"/>
      <c r="I106" s="247"/>
      <c r="J106" s="247"/>
      <c r="K106" s="247" t="s">
        <v>449</v>
      </c>
      <c r="L106" s="247"/>
      <c r="M106" s="247"/>
      <c r="N106" s="247"/>
      <c r="O106" s="251"/>
      <c r="P106" s="247"/>
      <c r="Q106" s="251"/>
      <c r="R106" s="251"/>
      <c r="S106" s="251"/>
      <c r="T106" s="251"/>
      <c r="U106" s="251"/>
      <c r="V106" s="251"/>
      <c r="W106" s="251"/>
      <c r="X106" s="251"/>
      <c r="Y106" s="251"/>
      <c r="Z106" s="257"/>
      <c r="AA106" s="258"/>
      <c r="AB106" s="255"/>
      <c r="AC106" s="259"/>
      <c r="AD106" s="259"/>
      <c r="AE106" s="251"/>
      <c r="AF106" s="251"/>
      <c r="AG106" s="251"/>
      <c r="AH106" s="251"/>
      <c r="AI106" s="256"/>
      <c r="AJ106" s="247"/>
      <c r="AK106" s="247"/>
      <c r="AL106" s="247"/>
      <c r="AM106" s="247"/>
      <c r="AN106" s="247"/>
      <c r="AO106" s="247"/>
      <c r="AP106" s="260"/>
      <c r="AQ106" s="245"/>
      <c r="AR106" s="261"/>
      <c r="AS106" s="261"/>
      <c r="AT106" s="261"/>
      <c r="AU106" s="261"/>
      <c r="AV106" s="247"/>
      <c r="AW106" s="247"/>
      <c r="AX106" s="247"/>
      <c r="AY106" s="247"/>
      <c r="AZ106" s="247"/>
      <c r="BA106" s="247"/>
      <c r="BB106" s="247"/>
      <c r="BC106" s="247"/>
      <c r="BD106" s="247"/>
      <c r="BE106" s="247"/>
      <c r="BF106" s="247"/>
      <c r="BG106" s="247"/>
    </row>
    <row r="107" spans="2:60" s="67" customFormat="1" ht="18.75" customHeight="1">
      <c r="B107" s="57"/>
      <c r="C107" s="247"/>
      <c r="D107" s="247"/>
      <c r="E107" s="247"/>
      <c r="F107" s="247"/>
      <c r="G107" s="247"/>
      <c r="H107" s="247"/>
      <c r="I107" s="247"/>
      <c r="J107" s="247"/>
      <c r="K107" s="247"/>
      <c r="L107" s="247"/>
      <c r="M107" s="247"/>
      <c r="N107" s="247"/>
      <c r="O107" s="251"/>
      <c r="P107" s="247"/>
      <c r="Q107" s="251"/>
      <c r="R107" s="251"/>
      <c r="S107" s="251"/>
      <c r="T107" s="251"/>
      <c r="U107" s="251"/>
      <c r="V107" s="251"/>
      <c r="W107" s="251"/>
      <c r="X107" s="251"/>
      <c r="Y107" s="251"/>
      <c r="Z107" s="257"/>
      <c r="AA107" s="258"/>
      <c r="AB107" s="255"/>
      <c r="AC107" s="259"/>
      <c r="AD107" s="259"/>
      <c r="AE107" s="251"/>
      <c r="AF107" s="562" t="s">
        <v>239</v>
      </c>
      <c r="AG107" s="715" t="e">
        <f>VLOOKUP($K$104,Calcu!$B82:$U102,12,FALSE)</f>
        <v>#N/A</v>
      </c>
      <c r="AH107" s="715"/>
      <c r="AI107" s="715"/>
      <c r="AJ107" s="715"/>
      <c r="AK107" s="715"/>
      <c r="AL107" s="247"/>
      <c r="AM107" s="251"/>
      <c r="AN107" s="260"/>
      <c r="AO107" s="260"/>
      <c r="AP107" s="260"/>
      <c r="AQ107" s="245"/>
      <c r="AR107" s="261"/>
      <c r="AS107" s="261"/>
      <c r="AT107" s="261"/>
      <c r="AU107" s="247"/>
      <c r="AV107" s="247"/>
      <c r="AW107" s="247"/>
      <c r="AX107" s="247"/>
      <c r="AY107" s="247"/>
      <c r="AZ107" s="247"/>
      <c r="BA107" s="247"/>
      <c r="BB107" s="247"/>
      <c r="BC107" s="247"/>
      <c r="BD107" s="247"/>
      <c r="BE107" s="247"/>
      <c r="BF107" s="247"/>
      <c r="BG107" s="247"/>
    </row>
    <row r="108" spans="2:60" s="67" customFormat="1" ht="18.75" customHeight="1">
      <c r="B108" s="57"/>
      <c r="C108" s="247"/>
      <c r="D108" s="247"/>
      <c r="E108" s="247"/>
      <c r="F108" s="247"/>
      <c r="G108" s="247"/>
      <c r="H108" s="247"/>
      <c r="I108" s="247"/>
      <c r="J108" s="247"/>
      <c r="K108" s="247"/>
      <c r="L108" s="247"/>
      <c r="M108" s="247"/>
      <c r="N108" s="247"/>
      <c r="O108" s="251"/>
      <c r="P108" s="247"/>
      <c r="Q108" s="251"/>
      <c r="R108" s="251"/>
      <c r="S108" s="251"/>
      <c r="T108" s="251"/>
      <c r="U108" s="251"/>
      <c r="V108" s="251"/>
      <c r="W108" s="251"/>
      <c r="X108" s="251"/>
      <c r="Y108" s="251"/>
      <c r="Z108" s="257"/>
      <c r="AA108" s="258"/>
      <c r="AB108" s="255"/>
      <c r="AC108" s="259"/>
      <c r="AD108" s="259"/>
      <c r="AE108" s="251"/>
      <c r="AF108" s="562"/>
      <c r="AG108" s="715"/>
      <c r="AH108" s="715"/>
      <c r="AI108" s="715"/>
      <c r="AJ108" s="715"/>
      <c r="AK108" s="715"/>
      <c r="AL108" s="247"/>
      <c r="AM108" s="251"/>
      <c r="AN108" s="260"/>
      <c r="AO108" s="260"/>
      <c r="AP108" s="260"/>
      <c r="AQ108" s="245"/>
      <c r="AR108" s="261"/>
      <c r="AS108" s="261"/>
      <c r="AT108" s="261"/>
      <c r="AU108" s="261"/>
      <c r="AV108" s="247"/>
      <c r="AW108" s="247"/>
      <c r="AX108" s="247"/>
      <c r="AY108" s="247"/>
      <c r="AZ108" s="247"/>
      <c r="BA108" s="247"/>
      <c r="BB108" s="247"/>
      <c r="BC108" s="247"/>
      <c r="BD108" s="247"/>
      <c r="BE108" s="247"/>
      <c r="BF108" s="247"/>
      <c r="BG108" s="247"/>
    </row>
    <row r="109" spans="2:60" s="67" customFormat="1" ht="18.75" customHeight="1">
      <c r="B109" s="57"/>
      <c r="C109" s="247"/>
      <c r="D109" s="247"/>
      <c r="E109" s="247"/>
      <c r="F109" s="247"/>
      <c r="G109" s="247"/>
      <c r="H109" s="247"/>
      <c r="I109" s="247"/>
      <c r="J109" s="247"/>
      <c r="K109" s="687" t="s">
        <v>450</v>
      </c>
      <c r="L109" s="687"/>
      <c r="M109" s="687"/>
      <c r="N109" s="687"/>
      <c r="O109" s="687"/>
      <c r="P109" s="687"/>
      <c r="Q109" s="687"/>
      <c r="R109" s="687"/>
      <c r="S109" s="687"/>
      <c r="T109" s="687"/>
      <c r="U109" s="687"/>
      <c r="V109" s="687"/>
      <c r="W109" s="563"/>
      <c r="X109" s="568" t="e">
        <f>VLOOKUP($K$104,Calcu!$B82:$U102,14,FALSE)</f>
        <v>#N/A</v>
      </c>
      <c r="Y109" s="568"/>
      <c r="Z109" s="568"/>
      <c r="AA109" s="247"/>
      <c r="AB109" s="559" t="e">
        <f>VLOOKUP($K$104,Calcu!$B82:$U102,15,FALSE)</f>
        <v>#N/A</v>
      </c>
      <c r="AC109" s="559"/>
      <c r="AD109" s="559"/>
      <c r="AE109" s="559"/>
      <c r="AF109" s="247"/>
      <c r="AG109" s="247"/>
      <c r="AH109" s="247"/>
      <c r="AI109" s="560" t="s">
        <v>130</v>
      </c>
      <c r="AJ109" s="560"/>
      <c r="AK109" s="247"/>
      <c r="AL109" s="247"/>
      <c r="AM109" s="251"/>
      <c r="AN109" s="260"/>
      <c r="AO109" s="260"/>
      <c r="AP109" s="260"/>
      <c r="AQ109" s="245"/>
      <c r="AR109" s="261"/>
      <c r="AS109" s="261"/>
      <c r="AT109" s="261"/>
      <c r="AU109" s="261"/>
      <c r="AV109" s="247"/>
      <c r="AW109" s="247"/>
      <c r="AX109" s="247"/>
      <c r="AY109" s="247"/>
      <c r="AZ109" s="247"/>
      <c r="BA109" s="247"/>
      <c r="BB109" s="247"/>
      <c r="BC109" s="247"/>
      <c r="BD109" s="247"/>
      <c r="BE109" s="247"/>
      <c r="BF109" s="247"/>
      <c r="BG109" s="247"/>
    </row>
    <row r="110" spans="2:60" s="67" customFormat="1" ht="18.75" customHeight="1">
      <c r="B110" s="57"/>
      <c r="C110" s="247"/>
      <c r="D110" s="247"/>
      <c r="E110" s="247"/>
      <c r="F110" s="247"/>
      <c r="G110" s="247"/>
      <c r="H110" s="247"/>
      <c r="I110" s="247"/>
      <c r="J110" s="247"/>
      <c r="K110" s="687"/>
      <c r="L110" s="687"/>
      <c r="M110" s="687"/>
      <c r="N110" s="687"/>
      <c r="O110" s="687"/>
      <c r="P110" s="687"/>
      <c r="Q110" s="687"/>
      <c r="R110" s="687"/>
      <c r="S110" s="687"/>
      <c r="T110" s="687"/>
      <c r="U110" s="687"/>
      <c r="V110" s="687"/>
      <c r="W110" s="563"/>
      <c r="X110" s="568"/>
      <c r="Y110" s="568"/>
      <c r="Z110" s="568"/>
      <c r="AA110" s="245"/>
      <c r="AB110" s="559"/>
      <c r="AC110" s="559"/>
      <c r="AD110" s="559"/>
      <c r="AE110" s="559"/>
      <c r="AF110" s="247"/>
      <c r="AG110" s="247"/>
      <c r="AH110" s="247"/>
      <c r="AI110" s="560"/>
      <c r="AJ110" s="560"/>
      <c r="AK110" s="247"/>
      <c r="AL110" s="247"/>
      <c r="AM110" s="251"/>
      <c r="AN110" s="260"/>
      <c r="AO110" s="260"/>
      <c r="AP110" s="260"/>
      <c r="AQ110" s="245"/>
      <c r="AR110" s="261"/>
      <c r="AS110" s="261"/>
      <c r="AT110" s="261"/>
      <c r="AU110" s="261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</row>
    <row r="111" spans="2:60" s="67" customFormat="1" ht="18.75" customHeight="1">
      <c r="B111" s="57"/>
      <c r="C111" s="247" t="s">
        <v>84</v>
      </c>
      <c r="D111" s="247"/>
      <c r="E111" s="247"/>
      <c r="F111" s="247"/>
      <c r="G111" s="247"/>
      <c r="H111" s="247"/>
      <c r="I111" s="560" t="str">
        <f>AB74</f>
        <v>정규</v>
      </c>
      <c r="J111" s="560"/>
      <c r="K111" s="560"/>
      <c r="L111" s="560"/>
      <c r="M111" s="560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</row>
    <row r="112" spans="2:60" s="67" customFormat="1" ht="18.75" customHeight="1">
      <c r="B112" s="57"/>
      <c r="C112" s="560" t="s">
        <v>85</v>
      </c>
      <c r="D112" s="560"/>
      <c r="E112" s="560"/>
      <c r="F112" s="560"/>
      <c r="G112" s="560"/>
      <c r="H112" s="560"/>
      <c r="I112" s="247"/>
      <c r="J112" s="247"/>
      <c r="K112" s="247"/>
      <c r="L112" s="247"/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</row>
    <row r="113" spans="1:60" s="67" customFormat="1" ht="18.75" customHeight="1">
      <c r="B113" s="57"/>
      <c r="C113" s="560"/>
      <c r="D113" s="560"/>
      <c r="E113" s="560"/>
      <c r="F113" s="560"/>
      <c r="G113" s="560"/>
      <c r="H113" s="560"/>
      <c r="I113" s="247"/>
      <c r="J113" s="247"/>
      <c r="K113" s="247"/>
      <c r="L113" s="247"/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</row>
    <row r="114" spans="1:60" s="67" customFormat="1" ht="18.75" customHeight="1">
      <c r="B114" s="57"/>
      <c r="C114" s="247" t="s">
        <v>451</v>
      </c>
      <c r="D114" s="247"/>
      <c r="E114" s="247"/>
      <c r="F114" s="247"/>
      <c r="G114" s="247"/>
      <c r="H114" s="247"/>
      <c r="I114" s="247"/>
      <c r="J114" s="247"/>
      <c r="K114" s="251" t="s">
        <v>462</v>
      </c>
      <c r="L114" s="262" t="s">
        <v>274</v>
      </c>
      <c r="M114" s="247"/>
      <c r="N114" s="568" t="e">
        <f>X109</f>
        <v>#N/A</v>
      </c>
      <c r="O114" s="568"/>
      <c r="P114" s="568"/>
      <c r="Q114" s="264"/>
      <c r="R114" s="559" t="e">
        <f>AB109</f>
        <v>#N/A</v>
      </c>
      <c r="S114" s="559"/>
      <c r="T114" s="559"/>
      <c r="U114" s="559"/>
      <c r="V114" s="246"/>
      <c r="W114" s="264"/>
      <c r="X114" s="264"/>
      <c r="Y114" s="247" t="s">
        <v>130</v>
      </c>
      <c r="Z114" s="247"/>
      <c r="AA114" s="251" t="s">
        <v>462</v>
      </c>
      <c r="AB114" s="251" t="s">
        <v>464</v>
      </c>
      <c r="AC114" s="568" t="e">
        <f>N114</f>
        <v>#N/A</v>
      </c>
      <c r="AD114" s="568"/>
      <c r="AE114" s="568"/>
      <c r="AF114" s="264"/>
      <c r="AG114" s="559" t="e">
        <f>R114</f>
        <v>#N/A</v>
      </c>
      <c r="AH114" s="559"/>
      <c r="AI114" s="559"/>
      <c r="AJ114" s="559"/>
      <c r="AK114" s="246"/>
      <c r="AL114" s="264"/>
      <c r="AM114" s="264"/>
      <c r="AN114" s="247" t="s">
        <v>130</v>
      </c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</row>
    <row r="115" spans="1:60" s="67" customFormat="1" ht="18.75" customHeight="1">
      <c r="B115" s="57"/>
      <c r="C115" s="247" t="s">
        <v>86</v>
      </c>
      <c r="D115" s="247"/>
      <c r="E115" s="247"/>
      <c r="F115" s="247"/>
      <c r="G115" s="247"/>
      <c r="H115" s="247"/>
      <c r="I115" s="249" t="s">
        <v>465</v>
      </c>
      <c r="J115" s="247"/>
      <c r="K115" s="247"/>
      <c r="L115" s="247"/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</row>
    <row r="116" spans="1:60" s="67" customFormat="1" ht="18.75" customHeight="1">
      <c r="B116" s="57"/>
      <c r="C116" s="247"/>
      <c r="D116" s="247"/>
      <c r="E116" s="247"/>
      <c r="F116" s="247"/>
      <c r="G116" s="247"/>
      <c r="H116" s="247"/>
      <c r="I116" s="249"/>
      <c r="J116" s="247"/>
      <c r="K116" s="247"/>
      <c r="L116" s="247"/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</row>
    <row r="117" spans="1:60" s="67" customFormat="1" ht="18.75" customHeight="1">
      <c r="A117" s="57"/>
      <c r="B117" s="57" t="s">
        <v>466</v>
      </c>
      <c r="C117" s="247"/>
      <c r="D117" s="247"/>
      <c r="E117" s="247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</row>
    <row r="118" spans="1:60" s="67" customFormat="1" ht="18.75" customHeight="1">
      <c r="B118" s="57"/>
      <c r="C118" s="247" t="s">
        <v>242</v>
      </c>
      <c r="D118" s="247"/>
      <c r="E118" s="247"/>
      <c r="F118" s="247"/>
      <c r="G118" s="247"/>
      <c r="H118" s="551" t="str">
        <f>H75</f>
        <v>-</v>
      </c>
      <c r="I118" s="551"/>
      <c r="J118" s="551"/>
      <c r="K118" s="551"/>
      <c r="L118" s="551"/>
      <c r="M118" s="551"/>
      <c r="N118" s="264"/>
      <c r="O118" s="264"/>
      <c r="P118" s="264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</row>
    <row r="119" spans="1:60" s="67" customFormat="1" ht="18.75" customHeight="1">
      <c r="B119" s="57"/>
      <c r="C119" s="247" t="s">
        <v>244</v>
      </c>
      <c r="D119" s="247"/>
      <c r="E119" s="247"/>
      <c r="F119" s="247"/>
      <c r="G119" s="247"/>
      <c r="H119" s="247"/>
      <c r="I119" s="247"/>
      <c r="J119" s="247" t="str">
        <f>IF(Q121=0,"※ 100 mm 이하의 게이지 블록은 광학적인 밀착을 하게 되므로 길이변화에 대한 불확도는 0으로 적용한다.","※ "&amp;Calcu!K3&amp;" mm 게이지 블록 결합시 "&amp;Q121+1&amp;"개의 블록을 결합하므로 "&amp;Q121&amp;"개의 결합부분이 발생하고, 죔의 힘에 의해 변형되는 변화량이")</f>
        <v>※ 100 mm 이하의 게이지 블록은 광학적인 밀착을 하게 되므로 길이변화에 대한 불확도는 0으로 적용한다.</v>
      </c>
      <c r="K119" s="247"/>
      <c r="L119" s="247"/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</row>
    <row r="120" spans="1:60" s="67" customFormat="1" ht="18.75" customHeight="1">
      <c r="B120" s="57"/>
      <c r="C120" s="354"/>
      <c r="D120" s="354"/>
      <c r="E120" s="354"/>
      <c r="F120" s="354"/>
      <c r="G120" s="354"/>
      <c r="H120" s="354"/>
      <c r="I120" s="354"/>
      <c r="J120" s="354"/>
      <c r="K120" s="353" t="str">
        <f>IF(Q121=0,"",Q121&amp;" μm라고 할 때")</f>
        <v/>
      </c>
      <c r="L120" s="354"/>
      <c r="M120" s="354"/>
      <c r="N120" s="354"/>
      <c r="O120" s="354"/>
      <c r="P120" s="354"/>
      <c r="Q120" s="354"/>
      <c r="R120" s="354"/>
      <c r="S120" s="354"/>
      <c r="T120" s="354"/>
      <c r="U120" s="354"/>
      <c r="V120" s="354"/>
      <c r="W120" s="354"/>
      <c r="X120" s="354"/>
      <c r="Y120" s="354"/>
      <c r="Z120" s="354"/>
      <c r="AA120" s="354"/>
      <c r="AB120" s="354"/>
      <c r="AC120" s="354"/>
      <c r="AD120" s="354"/>
      <c r="AE120" s="354"/>
      <c r="AF120" s="354"/>
      <c r="AG120" s="354"/>
      <c r="AH120" s="354"/>
      <c r="AI120" s="354"/>
      <c r="AJ120" s="354"/>
      <c r="AK120" s="354"/>
      <c r="AL120" s="354"/>
      <c r="AM120" s="354"/>
      <c r="AN120" s="354"/>
      <c r="AO120" s="354"/>
      <c r="AP120" s="354"/>
      <c r="AQ120" s="354"/>
      <c r="AR120" s="354"/>
      <c r="AS120" s="354"/>
      <c r="AT120" s="354"/>
      <c r="AU120" s="354"/>
      <c r="AV120" s="354"/>
      <c r="AW120" s="354"/>
      <c r="AX120" s="354"/>
      <c r="AY120" s="354"/>
      <c r="AZ120" s="354"/>
      <c r="BA120" s="354"/>
      <c r="BB120" s="354"/>
      <c r="BC120" s="354"/>
      <c r="BD120" s="354"/>
      <c r="BE120" s="354"/>
      <c r="BF120" s="354"/>
      <c r="BG120" s="354"/>
    </row>
    <row r="121" spans="1:60" s="67" customFormat="1" ht="18.75" customHeight="1">
      <c r="B121" s="57"/>
      <c r="C121" s="247"/>
      <c r="D121" s="247"/>
      <c r="E121" s="247"/>
      <c r="F121" s="247"/>
      <c r="G121" s="247"/>
      <c r="H121" s="247"/>
      <c r="I121" s="247"/>
      <c r="J121" s="247"/>
      <c r="K121" s="247"/>
      <c r="L121" s="247"/>
      <c r="M121" s="247"/>
      <c r="N121" s="247"/>
      <c r="O121" s="247"/>
      <c r="P121" s="247"/>
      <c r="Q121" s="552">
        <f>VLOOKUP($K$104,Calcu!$B82:$U102,13,FALSE)</f>
        <v>0</v>
      </c>
      <c r="R121" s="552"/>
      <c r="S121" s="263" t="s">
        <v>130</v>
      </c>
      <c r="T121" s="263"/>
      <c r="U121" s="553" t="s">
        <v>239</v>
      </c>
      <c r="V121" s="568">
        <f>Q121/SQRT(3)</f>
        <v>0</v>
      </c>
      <c r="W121" s="568"/>
      <c r="X121" s="568"/>
      <c r="Y121" s="560" t="s">
        <v>130</v>
      </c>
      <c r="Z121" s="560"/>
      <c r="AA121" s="560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</row>
    <row r="122" spans="1:60" s="67" customFormat="1" ht="18.75" customHeight="1">
      <c r="B122" s="57"/>
      <c r="C122" s="247"/>
      <c r="D122" s="247"/>
      <c r="E122" s="247"/>
      <c r="F122" s="247"/>
      <c r="G122" s="247"/>
      <c r="H122" s="247"/>
      <c r="I122" s="247"/>
      <c r="J122" s="247"/>
      <c r="K122" s="247"/>
      <c r="L122" s="247"/>
      <c r="M122" s="247"/>
      <c r="N122" s="247"/>
      <c r="O122" s="247"/>
      <c r="P122" s="247"/>
      <c r="Q122" s="581"/>
      <c r="R122" s="581"/>
      <c r="S122" s="581"/>
      <c r="T122" s="581"/>
      <c r="U122" s="553"/>
      <c r="V122" s="568"/>
      <c r="W122" s="568"/>
      <c r="X122" s="568"/>
      <c r="Y122" s="560"/>
      <c r="Z122" s="560"/>
      <c r="AA122" s="560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</row>
    <row r="123" spans="1:60" s="67" customFormat="1" ht="18.75" customHeight="1">
      <c r="B123" s="57"/>
      <c r="C123" s="247" t="s">
        <v>88</v>
      </c>
      <c r="D123" s="247"/>
      <c r="E123" s="247"/>
      <c r="F123" s="247"/>
      <c r="G123" s="247"/>
      <c r="H123" s="247"/>
      <c r="I123" s="560" t="str">
        <f>AB75</f>
        <v>직사각형</v>
      </c>
      <c r="J123" s="560"/>
      <c r="K123" s="560"/>
      <c r="L123" s="560"/>
      <c r="M123" s="560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</row>
    <row r="124" spans="1:60" s="67" customFormat="1" ht="18.75" customHeight="1">
      <c r="B124" s="57"/>
      <c r="C124" s="247" t="s">
        <v>90</v>
      </c>
      <c r="D124" s="247"/>
      <c r="E124" s="247"/>
      <c r="F124" s="247"/>
      <c r="G124" s="247"/>
      <c r="H124" s="247"/>
      <c r="I124" s="687">
        <v>1</v>
      </c>
      <c r="J124" s="687"/>
      <c r="K124" s="247"/>
      <c r="L124" s="247"/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</row>
    <row r="125" spans="1:60" s="67" customFormat="1" ht="18.75" customHeight="1">
      <c r="B125" s="57"/>
      <c r="C125" s="247" t="s">
        <v>252</v>
      </c>
      <c r="D125" s="247"/>
      <c r="E125" s="247"/>
      <c r="F125" s="247"/>
      <c r="G125" s="247"/>
      <c r="H125" s="247"/>
      <c r="I125" s="247"/>
      <c r="J125" s="247"/>
      <c r="K125" s="251" t="s">
        <v>462</v>
      </c>
      <c r="L125" s="247"/>
      <c r="M125" s="260" t="s">
        <v>274</v>
      </c>
      <c r="N125" s="568">
        <f>V121</f>
        <v>0</v>
      </c>
      <c r="O125" s="568"/>
      <c r="P125" s="568"/>
      <c r="Q125" s="264" t="s">
        <v>130</v>
      </c>
      <c r="R125" s="264"/>
      <c r="S125" s="251" t="s">
        <v>462</v>
      </c>
      <c r="T125" s="251" t="s">
        <v>464</v>
      </c>
      <c r="U125" s="568">
        <f>N125</f>
        <v>0</v>
      </c>
      <c r="V125" s="568"/>
      <c r="W125" s="568"/>
      <c r="X125" s="582" t="s">
        <v>130</v>
      </c>
      <c r="Y125" s="582"/>
      <c r="Z125" s="582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</row>
    <row r="126" spans="1:60" s="67" customFormat="1" ht="18.75" customHeight="1">
      <c r="B126" s="57"/>
      <c r="C126" s="247" t="s">
        <v>91</v>
      </c>
      <c r="D126" s="247"/>
      <c r="E126" s="247"/>
      <c r="F126" s="247"/>
      <c r="G126" s="247"/>
      <c r="H126" s="247"/>
      <c r="I126" s="249" t="s">
        <v>467</v>
      </c>
      <c r="J126" s="247"/>
      <c r="K126" s="247"/>
      <c r="L126" s="247"/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</row>
    <row r="127" spans="1:60" s="67" customFormat="1" ht="18.75" customHeight="1">
      <c r="B127" s="57"/>
      <c r="C127" s="247"/>
      <c r="D127" s="247"/>
      <c r="E127" s="247"/>
      <c r="F127" s="247"/>
      <c r="G127" s="247"/>
      <c r="H127" s="247"/>
      <c r="I127" s="247"/>
      <c r="J127" s="247"/>
      <c r="K127" s="247"/>
      <c r="L127" s="247"/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</row>
    <row r="128" spans="1:60" ht="18.75" customHeight="1">
      <c r="A128" s="56"/>
      <c r="B128" s="60" t="s">
        <v>526</v>
      </c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</row>
    <row r="129" spans="1:65" ht="18.75" customHeight="1">
      <c r="B129" s="56"/>
      <c r="C129" s="56" t="s">
        <v>92</v>
      </c>
      <c r="D129" s="56"/>
      <c r="E129" s="56"/>
      <c r="F129" s="56"/>
      <c r="G129" s="56"/>
      <c r="H129" s="56"/>
      <c r="I129" s="516" t="e">
        <f ca="1">H76</f>
        <v>#N/A</v>
      </c>
      <c r="J129" s="516"/>
      <c r="K129" s="516"/>
      <c r="L129" s="516"/>
      <c r="M129" s="516"/>
      <c r="N129" s="516" t="str">
        <f>M76</f>
        <v>mm</v>
      </c>
      <c r="O129" s="516"/>
      <c r="P129" s="219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</row>
    <row r="130" spans="1:65" ht="18.75" customHeight="1">
      <c r="B130" s="56"/>
      <c r="C130" s="56" t="s">
        <v>253</v>
      </c>
      <c r="D130" s="56"/>
      <c r="E130" s="56"/>
      <c r="F130" s="56"/>
      <c r="G130" s="56"/>
      <c r="H130" s="56"/>
      <c r="I130" s="355"/>
      <c r="J130" s="56" t="s">
        <v>233</v>
      </c>
      <c r="K130" s="355"/>
      <c r="L130" s="355"/>
      <c r="M130" s="355"/>
      <c r="N130" s="355"/>
      <c r="O130" s="355"/>
      <c r="P130" s="355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</row>
    <row r="131" spans="1:65" ht="18.75" customHeight="1">
      <c r="B131" s="56"/>
      <c r="C131" s="56"/>
      <c r="D131" s="56"/>
      <c r="E131" s="56"/>
      <c r="F131" s="56"/>
      <c r="G131" s="56"/>
      <c r="H131" s="56"/>
      <c r="I131" s="355"/>
      <c r="J131" s="56"/>
      <c r="K131" s="56" t="s">
        <v>234</v>
      </c>
      <c r="L131" s="355"/>
      <c r="M131" s="355"/>
      <c r="N131" s="355"/>
      <c r="O131" s="355"/>
      <c r="P131" s="355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</row>
    <row r="132" spans="1:65" ht="18.75" customHeight="1">
      <c r="B132" s="56"/>
      <c r="D132" s="56"/>
      <c r="E132" s="56"/>
      <c r="F132" s="56"/>
      <c r="G132" s="56"/>
      <c r="H132" s="56"/>
      <c r="I132" s="56"/>
      <c r="J132" s="61" t="s">
        <v>236</v>
      </c>
      <c r="K132" s="56"/>
      <c r="L132" s="56"/>
      <c r="M132" s="56"/>
      <c r="N132" s="56"/>
      <c r="O132" s="56"/>
      <c r="P132" s="56"/>
      <c r="Q132" s="516">
        <f>MAX(AK25:AO45)</f>
        <v>0</v>
      </c>
      <c r="R132" s="516"/>
      <c r="S132" s="516"/>
      <c r="T132" s="583" t="s">
        <v>130</v>
      </c>
      <c r="U132" s="583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</row>
    <row r="133" spans="1:65" ht="18.75" customHeight="1">
      <c r="B133" s="56"/>
      <c r="C133" s="56"/>
      <c r="D133" s="56"/>
      <c r="E133" s="56"/>
      <c r="F133" s="56"/>
      <c r="G133" s="56"/>
      <c r="H133" s="56"/>
      <c r="I133" s="56"/>
      <c r="J133" s="56"/>
      <c r="K133" s="555" t="s">
        <v>592</v>
      </c>
      <c r="L133" s="555"/>
      <c r="M133" s="555"/>
      <c r="N133" s="555" t="s">
        <v>239</v>
      </c>
      <c r="O133" s="584" t="s">
        <v>238</v>
      </c>
      <c r="P133" s="584"/>
      <c r="Q133" s="555" t="s">
        <v>239</v>
      </c>
      <c r="R133" s="520">
        <f>Q132</f>
        <v>0</v>
      </c>
      <c r="S133" s="520"/>
      <c r="T133" s="520"/>
      <c r="U133" s="554" t="str">
        <f>T132</f>
        <v>μm</v>
      </c>
      <c r="V133" s="554"/>
      <c r="W133" s="555" t="s">
        <v>239</v>
      </c>
      <c r="X133" s="517">
        <f>R133/SQRT(5)</f>
        <v>0</v>
      </c>
      <c r="Y133" s="517"/>
      <c r="Z133" s="517"/>
      <c r="AA133" s="518" t="str">
        <f>T132</f>
        <v>μm</v>
      </c>
      <c r="AB133" s="518"/>
      <c r="AC133" s="222"/>
      <c r="AD133" s="222"/>
      <c r="AE133" s="222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</row>
    <row r="134" spans="1:65" ht="18.75" customHeight="1">
      <c r="B134" s="56"/>
      <c r="C134" s="56"/>
      <c r="D134" s="56"/>
      <c r="E134" s="56"/>
      <c r="F134" s="56"/>
      <c r="G134" s="56"/>
      <c r="H134" s="56"/>
      <c r="I134" s="56"/>
      <c r="J134" s="56"/>
      <c r="K134" s="555"/>
      <c r="L134" s="555"/>
      <c r="M134" s="555"/>
      <c r="N134" s="555"/>
      <c r="O134" s="720"/>
      <c r="P134" s="720"/>
      <c r="Q134" s="555"/>
      <c r="R134" s="674"/>
      <c r="S134" s="674"/>
      <c r="T134" s="674"/>
      <c r="U134" s="674"/>
      <c r="V134" s="674"/>
      <c r="W134" s="555"/>
      <c r="X134" s="517"/>
      <c r="Y134" s="517"/>
      <c r="Z134" s="517"/>
      <c r="AA134" s="518"/>
      <c r="AB134" s="518"/>
      <c r="AC134" s="222"/>
      <c r="AD134" s="222"/>
      <c r="AE134" s="222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</row>
    <row r="135" spans="1:65" ht="18.75" customHeight="1">
      <c r="B135" s="56"/>
      <c r="C135" s="188" t="s">
        <v>306</v>
      </c>
      <c r="D135" s="56"/>
      <c r="F135" s="56"/>
      <c r="G135" s="56"/>
      <c r="H135" s="56"/>
      <c r="I135" s="56"/>
      <c r="J135" s="56"/>
      <c r="K135" s="224"/>
      <c r="L135" s="224"/>
      <c r="M135" s="224"/>
      <c r="N135" s="224"/>
      <c r="O135" s="223"/>
      <c r="P135" s="223"/>
      <c r="Q135" s="223"/>
      <c r="R135" s="215"/>
      <c r="S135" s="215"/>
      <c r="T135" s="215"/>
      <c r="U135" s="215"/>
      <c r="V135" s="215"/>
      <c r="W135" s="223"/>
      <c r="X135" s="221"/>
      <c r="Y135" s="221"/>
      <c r="Z135" s="221"/>
      <c r="AA135" s="222"/>
      <c r="AB135" s="222"/>
      <c r="AC135" s="222"/>
      <c r="AD135" s="222"/>
      <c r="AE135" s="222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</row>
    <row r="136" spans="1:65" ht="18.75" customHeight="1">
      <c r="B136" s="56"/>
      <c r="C136" s="56"/>
      <c r="D136" s="56"/>
      <c r="E136" s="188"/>
      <c r="F136" s="56"/>
      <c r="G136" s="56"/>
      <c r="H136" s="56"/>
      <c r="I136" s="56"/>
      <c r="J136" s="56"/>
      <c r="K136" s="555" t="s">
        <v>592</v>
      </c>
      <c r="L136" s="555"/>
      <c r="M136" s="555"/>
      <c r="N136" s="555" t="s">
        <v>239</v>
      </c>
      <c r="O136" s="584" t="s">
        <v>307</v>
      </c>
      <c r="P136" s="584"/>
      <c r="Q136" s="555" t="s">
        <v>239</v>
      </c>
      <c r="R136" s="520">
        <f>Calcu!O3*1000</f>
        <v>0</v>
      </c>
      <c r="S136" s="520"/>
      <c r="T136" s="520"/>
      <c r="U136" s="554" t="str">
        <f>T132</f>
        <v>μm</v>
      </c>
      <c r="V136" s="554"/>
      <c r="W136" s="555" t="s">
        <v>239</v>
      </c>
      <c r="X136" s="517">
        <f>R136/(2*SQRT(3))</f>
        <v>0</v>
      </c>
      <c r="Y136" s="517"/>
      <c r="Z136" s="517"/>
      <c r="AA136" s="518" t="str">
        <f>T132</f>
        <v>μm</v>
      </c>
      <c r="AB136" s="518"/>
      <c r="AC136" s="222"/>
      <c r="AD136" s="222"/>
      <c r="AE136" s="222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</row>
    <row r="137" spans="1:65" ht="18.75" customHeight="1">
      <c r="B137" s="56"/>
      <c r="C137" s="56"/>
      <c r="D137" s="56"/>
      <c r="E137" s="188"/>
      <c r="F137" s="56"/>
      <c r="G137" s="56"/>
      <c r="H137" s="56"/>
      <c r="I137" s="56"/>
      <c r="J137" s="56"/>
      <c r="K137" s="555"/>
      <c r="L137" s="555"/>
      <c r="M137" s="555"/>
      <c r="N137" s="555"/>
      <c r="O137" s="720"/>
      <c r="P137" s="720"/>
      <c r="Q137" s="555"/>
      <c r="R137" s="674"/>
      <c r="S137" s="674"/>
      <c r="T137" s="674"/>
      <c r="U137" s="674"/>
      <c r="V137" s="674"/>
      <c r="W137" s="555"/>
      <c r="X137" s="517"/>
      <c r="Y137" s="517"/>
      <c r="Z137" s="517"/>
      <c r="AA137" s="518"/>
      <c r="AB137" s="518"/>
      <c r="AC137" s="222"/>
      <c r="AD137" s="222"/>
      <c r="AE137" s="222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</row>
    <row r="138" spans="1:65" ht="18.75" customHeight="1">
      <c r="B138" s="56"/>
      <c r="C138" s="56" t="s">
        <v>256</v>
      </c>
      <c r="D138" s="56"/>
      <c r="E138" s="56"/>
      <c r="F138" s="56"/>
      <c r="G138" s="56"/>
      <c r="H138" s="56"/>
      <c r="I138" s="524" t="str">
        <f>AB76</f>
        <v>직사각형</v>
      </c>
      <c r="J138" s="524"/>
      <c r="K138" s="524"/>
      <c r="L138" s="524"/>
      <c r="M138" s="524"/>
      <c r="N138" s="524"/>
      <c r="O138" s="524"/>
      <c r="P138" s="524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</row>
    <row r="139" spans="1:65" ht="18.75" customHeight="1">
      <c r="B139" s="56"/>
      <c r="C139" s="526" t="s">
        <v>93</v>
      </c>
      <c r="D139" s="526"/>
      <c r="E139" s="526"/>
      <c r="F139" s="526"/>
      <c r="G139" s="526"/>
      <c r="H139" s="526"/>
      <c r="I139" s="214"/>
      <c r="J139" s="214"/>
      <c r="K139" s="56"/>
      <c r="L139" s="56"/>
      <c r="M139" s="524">
        <f>AG76</f>
        <v>-1</v>
      </c>
      <c r="N139" s="524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</row>
    <row r="140" spans="1:65" ht="18.75" customHeight="1">
      <c r="B140" s="56"/>
      <c r="C140" s="526"/>
      <c r="D140" s="526"/>
      <c r="E140" s="526"/>
      <c r="F140" s="526"/>
      <c r="G140" s="526"/>
      <c r="H140" s="526"/>
      <c r="I140" s="218"/>
      <c r="J140" s="218"/>
      <c r="K140" s="56"/>
      <c r="L140" s="56"/>
      <c r="M140" s="524"/>
      <c r="N140" s="524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</row>
    <row r="141" spans="1:65" ht="18.75" customHeight="1">
      <c r="B141" s="56"/>
      <c r="C141" s="56" t="s">
        <v>468</v>
      </c>
      <c r="D141" s="56"/>
      <c r="E141" s="56"/>
      <c r="F141" s="56"/>
      <c r="G141" s="56"/>
      <c r="H141" s="56"/>
      <c r="I141" s="56"/>
      <c r="J141" s="56"/>
      <c r="K141" s="225" t="s">
        <v>80</v>
      </c>
      <c r="L141" s="556">
        <f>M139</f>
        <v>-1</v>
      </c>
      <c r="M141" s="556"/>
      <c r="N141" s="214" t="s">
        <v>81</v>
      </c>
      <c r="O141" s="517">
        <f>AP76</f>
        <v>0</v>
      </c>
      <c r="P141" s="517"/>
      <c r="Q141" s="517"/>
      <c r="R141" s="518" t="str">
        <f>AA133</f>
        <v>μm</v>
      </c>
      <c r="S141" s="516"/>
      <c r="T141" s="225" t="s">
        <v>80</v>
      </c>
      <c r="U141" s="71" t="s">
        <v>239</v>
      </c>
      <c r="V141" s="517">
        <f>O141</f>
        <v>0</v>
      </c>
      <c r="W141" s="517"/>
      <c r="X141" s="517"/>
      <c r="Y141" s="518" t="str">
        <f>R141</f>
        <v>μm</v>
      </c>
      <c r="Z141" s="516"/>
      <c r="AA141" s="219"/>
      <c r="AB141" s="56"/>
      <c r="AC141" s="56"/>
      <c r="AD141" s="56"/>
      <c r="AE141" s="56"/>
      <c r="AF141" s="56"/>
      <c r="AP141" s="56"/>
      <c r="AQ141" s="56"/>
      <c r="AR141" s="56"/>
      <c r="AS141" s="56"/>
      <c r="AT141" s="56"/>
      <c r="AU141" s="56"/>
      <c r="AV141" s="56"/>
    </row>
    <row r="142" spans="1:65" ht="18.75" customHeight="1">
      <c r="B142" s="56"/>
      <c r="C142" s="56" t="s">
        <v>94</v>
      </c>
      <c r="D142" s="56"/>
      <c r="E142" s="56"/>
      <c r="F142" s="56"/>
      <c r="G142" s="56"/>
      <c r="H142" s="56"/>
      <c r="I142" s="320" t="s">
        <v>469</v>
      </c>
      <c r="J142" s="108"/>
      <c r="L142" s="721" t="str">
        <f>IF(AB76="직사각형","","n - 1 = ")&amp;BC76</f>
        <v>∞</v>
      </c>
      <c r="M142" s="721"/>
      <c r="N142" s="721"/>
      <c r="O142" s="721"/>
      <c r="P142" s="721"/>
      <c r="Q142" s="721"/>
      <c r="R142" s="721"/>
      <c r="S142" s="721"/>
      <c r="T142" s="109"/>
      <c r="U142" s="109"/>
      <c r="V142" s="109"/>
      <c r="W142" s="109"/>
      <c r="X142" s="109"/>
      <c r="Y142" s="109"/>
      <c r="Z142" s="109"/>
      <c r="AA142" s="56"/>
      <c r="AB142" s="56"/>
      <c r="AC142" s="56"/>
      <c r="AD142" s="56"/>
      <c r="AE142" s="56"/>
      <c r="AF142" s="56"/>
    </row>
    <row r="143" spans="1:65" ht="18.75" customHeight="1">
      <c r="B143" s="56"/>
      <c r="C143" s="56"/>
      <c r="D143" s="56"/>
      <c r="E143" s="56"/>
      <c r="F143" s="56"/>
      <c r="G143" s="56"/>
      <c r="H143" s="56"/>
      <c r="I143" s="108"/>
      <c r="J143" s="96"/>
      <c r="K143" s="108"/>
      <c r="L143" s="109"/>
      <c r="M143" s="109"/>
      <c r="N143" s="109"/>
      <c r="O143" s="109"/>
      <c r="P143" s="109"/>
      <c r="Q143" s="109"/>
      <c r="R143" s="109"/>
      <c r="S143" s="109"/>
      <c r="T143" s="109"/>
      <c r="U143" s="109"/>
      <c r="V143" s="109"/>
      <c r="W143" s="109"/>
      <c r="X143" s="109"/>
      <c r="Y143" s="109"/>
      <c r="Z143" s="109"/>
      <c r="AA143" s="56"/>
      <c r="AB143" s="56"/>
      <c r="AC143" s="56"/>
      <c r="AD143" s="56"/>
      <c r="AE143" s="56"/>
      <c r="AF143" s="56"/>
    </row>
    <row r="144" spans="1:65" s="164" customFormat="1" ht="18.75" customHeight="1">
      <c r="A144" s="215"/>
      <c r="B144" s="57" t="s">
        <v>588</v>
      </c>
      <c r="C144" s="214"/>
      <c r="D144" s="214"/>
      <c r="E144" s="214"/>
      <c r="F144" s="214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  <c r="U144" s="214"/>
      <c r="V144" s="214"/>
      <c r="W144" s="214"/>
      <c r="X144" s="214"/>
      <c r="Y144" s="214"/>
      <c r="Z144" s="214"/>
      <c r="AA144" s="214"/>
      <c r="AB144" s="214"/>
      <c r="AC144" s="214"/>
      <c r="AD144" s="214"/>
      <c r="AE144" s="214"/>
      <c r="AF144" s="214"/>
      <c r="AG144" s="214"/>
      <c r="AH144" s="214"/>
      <c r="AI144" s="214"/>
      <c r="AJ144" s="214"/>
      <c r="AK144" s="214"/>
      <c r="AL144" s="215"/>
      <c r="AM144" s="215"/>
      <c r="AN144" s="215"/>
      <c r="AO144" s="215"/>
      <c r="AP144" s="215"/>
      <c r="AQ144" s="215"/>
      <c r="AR144" s="215"/>
      <c r="AS144" s="215"/>
      <c r="AT144" s="215"/>
      <c r="AU144" s="215"/>
      <c r="AV144" s="215"/>
      <c r="AW144" s="215"/>
      <c r="AX144" s="215"/>
      <c r="AY144" s="214"/>
      <c r="AZ144" s="214"/>
      <c r="BA144" s="214"/>
      <c r="BB144" s="214"/>
      <c r="BC144" s="214"/>
      <c r="BD144" s="214"/>
      <c r="BE144" s="214"/>
      <c r="BF144" s="214"/>
      <c r="BG144" s="58"/>
      <c r="BH144" s="58"/>
      <c r="BI144" s="58"/>
      <c r="BJ144" s="58"/>
      <c r="BK144" s="58"/>
      <c r="BL144" s="58"/>
      <c r="BM144" s="58"/>
    </row>
    <row r="145" spans="1:83" s="379" customFormat="1" ht="18.75" customHeight="1">
      <c r="A145" s="378"/>
      <c r="B145" s="57"/>
      <c r="C145" s="214" t="s">
        <v>527</v>
      </c>
      <c r="D145" s="214"/>
      <c r="E145" s="214"/>
      <c r="F145" s="214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214"/>
      <c r="S145" s="214"/>
      <c r="T145" s="214"/>
      <c r="U145" s="214"/>
      <c r="V145" s="164"/>
      <c r="W145" s="59"/>
      <c r="X145" s="165"/>
      <c r="Y145" s="215"/>
      <c r="Z145" s="215"/>
      <c r="AA145" s="164"/>
      <c r="AB145" s="215"/>
      <c r="AC145" s="215"/>
      <c r="AD145" s="214"/>
      <c r="AE145" s="214"/>
      <c r="AF145" s="214"/>
      <c r="AG145" s="214"/>
      <c r="AH145" s="214"/>
      <c r="AI145" s="214"/>
      <c r="AJ145" s="214"/>
      <c r="AK145" s="214"/>
      <c r="AL145" s="214"/>
      <c r="AM145" s="214"/>
      <c r="AN145" s="214"/>
      <c r="AO145" s="214"/>
      <c r="AP145" s="378"/>
      <c r="AQ145" s="378"/>
      <c r="AR145" s="378"/>
      <c r="AS145" s="378"/>
      <c r="AT145" s="378"/>
      <c r="AU145" s="378"/>
      <c r="AV145" s="378"/>
      <c r="AW145" s="378"/>
      <c r="AX145" s="378"/>
      <c r="AY145" s="380"/>
      <c r="AZ145" s="380"/>
      <c r="BA145" s="380"/>
      <c r="BB145" s="380"/>
      <c r="BC145" s="380"/>
      <c r="BD145" s="380"/>
      <c r="BE145" s="380"/>
      <c r="BF145" s="380"/>
      <c r="BG145" s="58"/>
      <c r="BH145" s="58"/>
      <c r="BI145" s="58"/>
      <c r="BJ145" s="58"/>
      <c r="BK145" s="58"/>
      <c r="BL145" s="58"/>
      <c r="BM145" s="58"/>
    </row>
    <row r="146" spans="1:83" s="164" customFormat="1" ht="18.75" customHeight="1">
      <c r="B146" s="215"/>
      <c r="C146" s="218" t="s">
        <v>257</v>
      </c>
      <c r="D146" s="215"/>
      <c r="E146" s="215"/>
      <c r="F146" s="215"/>
      <c r="G146" s="215"/>
      <c r="H146" s="529" t="e">
        <f ca="1">H77*10^6</f>
        <v>#N/A</v>
      </c>
      <c r="I146" s="529"/>
      <c r="J146" s="529"/>
      <c r="K146" s="219" t="s">
        <v>243</v>
      </c>
      <c r="L146" s="215"/>
      <c r="M146" s="215"/>
      <c r="N146" s="219"/>
      <c r="O146" s="219"/>
      <c r="P146" s="219"/>
      <c r="Q146" s="214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  <c r="AB146" s="214"/>
      <c r="AC146" s="214"/>
      <c r="AD146" s="214"/>
      <c r="AE146" s="214"/>
      <c r="AF146" s="59"/>
      <c r="AG146" s="214"/>
      <c r="AH146" s="214"/>
      <c r="AI146" s="214"/>
      <c r="AJ146" s="214"/>
      <c r="AK146" s="214"/>
      <c r="AL146" s="214"/>
      <c r="AM146" s="215"/>
      <c r="AN146" s="215"/>
      <c r="AO146" s="215"/>
      <c r="AP146" s="215"/>
      <c r="AQ146" s="215"/>
      <c r="AR146" s="215"/>
      <c r="AS146" s="215"/>
      <c r="AT146" s="215"/>
      <c r="AU146" s="215"/>
      <c r="AV146" s="215"/>
      <c r="AW146" s="215"/>
      <c r="AX146" s="215"/>
      <c r="AY146" s="215"/>
      <c r="AZ146" s="214"/>
      <c r="BA146" s="214"/>
      <c r="BB146" s="214"/>
      <c r="BC146" s="214"/>
      <c r="BD146" s="214"/>
      <c r="BE146" s="214"/>
      <c r="BF146" s="214"/>
      <c r="BG146" s="214"/>
      <c r="BH146" s="58"/>
      <c r="BI146" s="58"/>
      <c r="BJ146" s="58"/>
      <c r="BK146" s="58"/>
      <c r="BL146" s="58"/>
      <c r="BM146" s="58"/>
    </row>
    <row r="147" spans="1:83" s="164" customFormat="1" ht="18.75" customHeight="1">
      <c r="B147" s="215"/>
      <c r="C147" s="526" t="s">
        <v>258</v>
      </c>
      <c r="D147" s="526"/>
      <c r="E147" s="526"/>
      <c r="F147" s="526"/>
      <c r="G147" s="526"/>
      <c r="H147" s="526"/>
      <c r="I147" s="526"/>
      <c r="J147" s="524" t="s">
        <v>245</v>
      </c>
      <c r="K147" s="524"/>
      <c r="L147" s="524"/>
      <c r="M147" s="524"/>
      <c r="N147" s="524"/>
      <c r="O147" s="524"/>
      <c r="P147" s="524"/>
      <c r="Q147" s="524"/>
      <c r="R147" s="524"/>
      <c r="S147" s="524"/>
      <c r="T147" s="524"/>
      <c r="U147" s="524"/>
      <c r="V147" s="524"/>
      <c r="W147" s="524"/>
      <c r="X147" s="214"/>
      <c r="Y147" s="214"/>
      <c r="Z147" s="214"/>
      <c r="AA147" s="214"/>
      <c r="AB147" s="214"/>
      <c r="AC147" s="214"/>
      <c r="AD147" s="214"/>
      <c r="AE147" s="214"/>
      <c r="AF147" s="214"/>
      <c r="AG147" s="214"/>
      <c r="AH147" s="214"/>
      <c r="AI147" s="214"/>
      <c r="AJ147" s="214"/>
      <c r="AK147" s="215"/>
      <c r="AL147" s="215"/>
      <c r="AM147" s="215"/>
      <c r="AN147" s="214"/>
      <c r="AO147" s="214"/>
      <c r="AP147" s="214"/>
      <c r="AQ147" s="214"/>
      <c r="AR147" s="214"/>
      <c r="AS147" s="214"/>
      <c r="AT147" s="214"/>
      <c r="AU147" s="214"/>
      <c r="AV147" s="214"/>
      <c r="AW147" s="214"/>
      <c r="AX147" s="214"/>
      <c r="AY147" s="214"/>
      <c r="AZ147" s="214"/>
      <c r="BA147" s="214"/>
      <c r="BB147" s="214"/>
      <c r="BC147" s="214"/>
      <c r="BD147" s="214"/>
      <c r="BE147" s="214"/>
      <c r="BF147" s="214"/>
      <c r="BG147" s="214"/>
      <c r="BH147" s="58"/>
      <c r="BI147" s="58"/>
      <c r="BJ147" s="58"/>
      <c r="BK147" s="58"/>
      <c r="BL147" s="58"/>
      <c r="BM147" s="58"/>
      <c r="BN147" s="58"/>
    </row>
    <row r="148" spans="1:83" s="164" customFormat="1" ht="18.75" customHeight="1">
      <c r="B148" s="215"/>
      <c r="C148" s="526"/>
      <c r="D148" s="526"/>
      <c r="E148" s="526"/>
      <c r="F148" s="526"/>
      <c r="G148" s="526"/>
      <c r="H148" s="526"/>
      <c r="I148" s="526"/>
      <c r="J148" s="524"/>
      <c r="K148" s="524"/>
      <c r="L148" s="524"/>
      <c r="M148" s="524"/>
      <c r="N148" s="524"/>
      <c r="O148" s="524"/>
      <c r="P148" s="524"/>
      <c r="Q148" s="524"/>
      <c r="R148" s="524"/>
      <c r="S148" s="524"/>
      <c r="T148" s="524"/>
      <c r="U148" s="524"/>
      <c r="V148" s="524"/>
      <c r="W148" s="524"/>
      <c r="X148" s="214"/>
      <c r="Y148" s="214"/>
      <c r="Z148" s="214"/>
      <c r="AA148" s="214"/>
      <c r="AB148" s="214"/>
      <c r="AC148" s="214"/>
      <c r="AD148" s="214"/>
      <c r="AE148" s="214"/>
      <c r="AF148" s="215"/>
      <c r="AG148" s="214"/>
      <c r="AH148" s="214"/>
      <c r="AI148" s="214"/>
      <c r="AJ148" s="214"/>
      <c r="AK148" s="215"/>
      <c r="AL148" s="215"/>
      <c r="AM148" s="215"/>
      <c r="AN148" s="214"/>
      <c r="AO148" s="214"/>
      <c r="AP148" s="214"/>
      <c r="AQ148" s="214"/>
      <c r="AR148" s="214"/>
      <c r="AS148" s="215"/>
      <c r="AT148" s="214"/>
      <c r="AU148" s="214"/>
      <c r="AV148" s="214"/>
      <c r="AW148" s="214"/>
      <c r="AX148" s="214"/>
      <c r="AY148" s="214"/>
      <c r="AZ148" s="214"/>
      <c r="BA148" s="214"/>
      <c r="BB148" s="214"/>
      <c r="BC148" s="214"/>
      <c r="BD148" s="214"/>
      <c r="BE148" s="214"/>
      <c r="BF148" s="214"/>
      <c r="BG148" s="214"/>
      <c r="BH148" s="58"/>
      <c r="BI148" s="58"/>
      <c r="BJ148" s="58"/>
      <c r="BK148" s="58"/>
      <c r="BL148" s="58"/>
      <c r="BM148" s="58"/>
      <c r="BN148" s="58"/>
    </row>
    <row r="149" spans="1:83" s="164" customFormat="1" ht="18.75" customHeight="1">
      <c r="B149" s="215"/>
      <c r="C149" s="214"/>
      <c r="D149" s="214"/>
      <c r="E149" s="214"/>
      <c r="F149" s="214"/>
      <c r="G149" s="214"/>
      <c r="H149" s="214"/>
      <c r="I149" s="215"/>
      <c r="J149" s="524" t="s">
        <v>246</v>
      </c>
      <c r="K149" s="524"/>
      <c r="L149" s="524"/>
      <c r="M149" s="524"/>
      <c r="N149" s="524"/>
      <c r="O149" s="524"/>
      <c r="P149" s="524"/>
      <c r="Q149" s="524"/>
      <c r="R149" s="524"/>
      <c r="S149" s="524"/>
      <c r="T149" s="524"/>
      <c r="U149" s="524"/>
      <c r="V149" s="524"/>
      <c r="W149" s="524"/>
      <c r="X149" s="524"/>
      <c r="Y149" s="524"/>
      <c r="Z149" s="524"/>
      <c r="AA149" s="522" t="s">
        <v>247</v>
      </c>
      <c r="AB149" s="522"/>
      <c r="AC149" s="522"/>
      <c r="AD149" s="522"/>
      <c r="AE149" s="522"/>
      <c r="AF149" s="523" t="s">
        <v>239</v>
      </c>
      <c r="AG149" s="524" t="s">
        <v>248</v>
      </c>
      <c r="AH149" s="524"/>
      <c r="AI149" s="524"/>
      <c r="AJ149" s="524"/>
      <c r="AK149" s="524"/>
      <c r="AL149" s="524"/>
      <c r="AM149" s="215"/>
      <c r="AN149" s="214"/>
      <c r="AO149" s="214"/>
      <c r="AP149" s="214"/>
      <c r="AQ149" s="214"/>
      <c r="AR149" s="214"/>
      <c r="AS149" s="215"/>
      <c r="AT149" s="214"/>
      <c r="AU149" s="214"/>
      <c r="AV149" s="214"/>
      <c r="AW149" s="214"/>
      <c r="AX149" s="214"/>
      <c r="AY149" s="214"/>
      <c r="AZ149" s="214"/>
      <c r="BA149" s="214"/>
      <c r="BB149" s="214"/>
      <c r="BC149" s="214"/>
      <c r="BD149" s="214"/>
      <c r="BE149" s="214"/>
      <c r="BF149" s="214"/>
      <c r="BG149" s="214"/>
      <c r="BH149" s="58"/>
      <c r="BI149" s="58"/>
      <c r="BJ149" s="58"/>
      <c r="BK149" s="58"/>
      <c r="BL149" s="58"/>
      <c r="BM149" s="58"/>
      <c r="BN149" s="58"/>
    </row>
    <row r="150" spans="1:83" s="164" customFormat="1" ht="18.75" customHeight="1">
      <c r="B150" s="215"/>
      <c r="C150" s="214"/>
      <c r="D150" s="214"/>
      <c r="E150" s="214"/>
      <c r="F150" s="214"/>
      <c r="G150" s="214"/>
      <c r="H150" s="214"/>
      <c r="I150" s="215"/>
      <c r="J150" s="524"/>
      <c r="K150" s="524"/>
      <c r="L150" s="524"/>
      <c r="M150" s="524"/>
      <c r="N150" s="524"/>
      <c r="O150" s="524"/>
      <c r="P150" s="524"/>
      <c r="Q150" s="524"/>
      <c r="R150" s="524"/>
      <c r="S150" s="524"/>
      <c r="T150" s="524"/>
      <c r="U150" s="524"/>
      <c r="V150" s="524"/>
      <c r="W150" s="524"/>
      <c r="X150" s="524"/>
      <c r="Y150" s="524"/>
      <c r="Z150" s="524"/>
      <c r="AA150" s="214"/>
      <c r="AB150" s="215"/>
      <c r="AC150" s="215"/>
      <c r="AD150" s="215"/>
      <c r="AE150" s="215"/>
      <c r="AF150" s="523"/>
      <c r="AG150" s="524"/>
      <c r="AH150" s="524"/>
      <c r="AI150" s="524"/>
      <c r="AJ150" s="524"/>
      <c r="AK150" s="524"/>
      <c r="AL150" s="524"/>
      <c r="AM150" s="215"/>
      <c r="AN150" s="214"/>
      <c r="AO150" s="214"/>
      <c r="AP150" s="214"/>
      <c r="AQ150" s="214"/>
      <c r="AR150" s="214"/>
      <c r="AS150" s="214"/>
      <c r="AT150" s="214"/>
      <c r="AU150" s="214"/>
      <c r="AV150" s="214"/>
      <c r="AW150" s="214"/>
      <c r="AX150" s="214"/>
      <c r="AY150" s="214"/>
      <c r="AZ150" s="214"/>
      <c r="BA150" s="214"/>
      <c r="BB150" s="214"/>
      <c r="BC150" s="214"/>
      <c r="BD150" s="214"/>
      <c r="BE150" s="214"/>
      <c r="BF150" s="214"/>
      <c r="BG150" s="214"/>
      <c r="BH150" s="58"/>
      <c r="BI150" s="58"/>
      <c r="BJ150" s="58"/>
      <c r="BK150" s="58"/>
      <c r="BL150" s="58"/>
      <c r="BM150" s="58"/>
      <c r="BN150" s="58"/>
    </row>
    <row r="151" spans="1:83" s="164" customFormat="1" ht="18.75" customHeight="1">
      <c r="B151" s="215"/>
      <c r="C151" s="214"/>
      <c r="D151" s="214"/>
      <c r="E151" s="214"/>
      <c r="F151" s="214"/>
      <c r="G151" s="214"/>
      <c r="H151" s="214"/>
      <c r="I151" s="380"/>
      <c r="J151" s="215"/>
      <c r="K151" s="218" t="s">
        <v>249</v>
      </c>
      <c r="L151" s="218"/>
      <c r="M151" s="218"/>
      <c r="N151" s="218"/>
      <c r="O151" s="218"/>
      <c r="P151" s="218"/>
      <c r="Q151" s="218"/>
      <c r="R151" s="218"/>
      <c r="S151" s="214"/>
      <c r="T151" s="214"/>
      <c r="U151" s="214"/>
      <c r="V151" s="214"/>
      <c r="W151" s="214"/>
      <c r="X151" s="214"/>
      <c r="Y151" s="214"/>
      <c r="Z151" s="214"/>
      <c r="AA151" s="214"/>
      <c r="AB151" s="214"/>
      <c r="AC151" s="214"/>
      <c r="AD151" s="214"/>
      <c r="AE151" s="214"/>
      <c r="AF151" s="214"/>
      <c r="AG151" s="215"/>
      <c r="AH151" s="214"/>
      <c r="AI151" s="214"/>
      <c r="AJ151" s="214"/>
      <c r="AK151" s="215"/>
      <c r="AL151" s="215"/>
      <c r="AM151" s="215"/>
      <c r="AN151" s="215"/>
      <c r="AO151" s="214"/>
      <c r="AP151" s="214"/>
      <c r="AQ151" s="214"/>
      <c r="AR151" s="214"/>
      <c r="AS151" s="214"/>
      <c r="AT151" s="214"/>
      <c r="AU151" s="214"/>
      <c r="AV151" s="214"/>
      <c r="AW151" s="214"/>
      <c r="AX151" s="214"/>
      <c r="AY151" s="214"/>
      <c r="AZ151" s="214"/>
      <c r="BA151" s="214"/>
      <c r="BB151" s="214"/>
      <c r="BC151" s="214"/>
      <c r="BD151" s="214"/>
      <c r="BE151" s="214"/>
      <c r="BF151" s="214"/>
      <c r="BG151" s="214"/>
      <c r="BH151" s="215"/>
      <c r="BN151" s="58"/>
      <c r="BO151" s="58"/>
      <c r="BP151" s="58"/>
      <c r="BQ151" s="58"/>
      <c r="BR151" s="58"/>
      <c r="BS151" s="58"/>
      <c r="BX151" s="58"/>
      <c r="CE151" s="58"/>
    </row>
    <row r="152" spans="1:83" s="164" customFormat="1" ht="18.75" customHeight="1">
      <c r="B152" s="215"/>
      <c r="C152" s="214"/>
      <c r="D152" s="214"/>
      <c r="E152" s="214"/>
      <c r="F152" s="214"/>
      <c r="G152" s="214"/>
      <c r="H152" s="214"/>
      <c r="I152" s="380"/>
      <c r="J152" s="108"/>
      <c r="K152" s="108"/>
      <c r="L152" s="108"/>
      <c r="M152" s="215"/>
      <c r="N152" s="108"/>
      <c r="O152" s="108"/>
      <c r="P152" s="108"/>
      <c r="Q152" s="108"/>
      <c r="R152" s="108"/>
      <c r="S152" s="108"/>
      <c r="T152" s="108"/>
      <c r="U152" s="108"/>
      <c r="V152" s="215"/>
      <c r="W152" s="166"/>
      <c r="X152" s="166"/>
      <c r="Y152" s="166"/>
      <c r="Z152" s="215"/>
      <c r="AF152" s="524" t="s">
        <v>250</v>
      </c>
      <c r="AG152" s="524"/>
      <c r="AH152" s="524"/>
      <c r="AI152" s="524"/>
      <c r="AJ152" s="524"/>
      <c r="AK152" s="215"/>
      <c r="AL152" s="167"/>
      <c r="AM152" s="167"/>
      <c r="AN152" s="215"/>
      <c r="AO152" s="215"/>
      <c r="AP152" s="215"/>
      <c r="AQ152" s="215"/>
      <c r="AR152" s="215"/>
      <c r="AS152" s="214"/>
      <c r="AT152" s="214"/>
      <c r="AU152" s="215"/>
      <c r="AV152" s="215"/>
      <c r="AW152" s="215"/>
      <c r="AX152" s="215"/>
      <c r="AY152" s="215"/>
      <c r="AZ152" s="214"/>
      <c r="BA152" s="214"/>
      <c r="BB152" s="214"/>
      <c r="BC152" s="214"/>
      <c r="BD152" s="214"/>
      <c r="BE152" s="214"/>
      <c r="BF152" s="214"/>
      <c r="BG152" s="214"/>
      <c r="BH152" s="215"/>
      <c r="BN152" s="58"/>
      <c r="BO152" s="58"/>
      <c r="BP152" s="58"/>
      <c r="BQ152" s="58"/>
      <c r="BR152" s="58"/>
      <c r="BS152" s="58"/>
      <c r="BT152" s="58"/>
      <c r="BU152" s="58"/>
      <c r="BV152" s="58"/>
      <c r="BW152" s="58"/>
      <c r="BX152" s="58"/>
      <c r="CE152" s="58"/>
    </row>
    <row r="153" spans="1:83" s="164" customFormat="1" ht="18.75" customHeight="1">
      <c r="B153" s="215"/>
      <c r="C153" s="214"/>
      <c r="D153" s="214"/>
      <c r="E153" s="214"/>
      <c r="F153" s="214"/>
      <c r="G153" s="214"/>
      <c r="H153" s="214"/>
      <c r="I153" s="380"/>
      <c r="J153" s="108"/>
      <c r="K153" s="108"/>
      <c r="L153" s="108"/>
      <c r="M153" s="215"/>
      <c r="N153" s="108"/>
      <c r="O153" s="108"/>
      <c r="P153" s="108"/>
      <c r="Q153" s="108"/>
      <c r="R153" s="108"/>
      <c r="S153" s="108"/>
      <c r="T153" s="108"/>
      <c r="U153" s="108"/>
      <c r="V153" s="215"/>
      <c r="W153" s="166"/>
      <c r="X153" s="166"/>
      <c r="Y153" s="166"/>
      <c r="Z153" s="215"/>
      <c r="AF153" s="524"/>
      <c r="AG153" s="524"/>
      <c r="AH153" s="524"/>
      <c r="AI153" s="524"/>
      <c r="AJ153" s="524"/>
      <c r="AK153" s="215"/>
      <c r="AL153" s="167"/>
      <c r="AM153" s="167"/>
      <c r="AN153" s="215"/>
      <c r="AO153" s="215"/>
      <c r="AP153" s="215"/>
      <c r="AQ153" s="215"/>
      <c r="AR153" s="215"/>
      <c r="AS153" s="214"/>
      <c r="AT153" s="214"/>
      <c r="AU153" s="215"/>
      <c r="AV153" s="215"/>
      <c r="AW153" s="215"/>
      <c r="AX153" s="215"/>
      <c r="AY153" s="215"/>
      <c r="AZ153" s="214"/>
      <c r="BA153" s="214"/>
      <c r="BB153" s="214"/>
      <c r="BC153" s="214"/>
      <c r="BD153" s="214"/>
      <c r="BE153" s="214"/>
      <c r="BF153" s="214"/>
      <c r="BG153" s="214"/>
      <c r="BH153" s="214"/>
      <c r="BI153" s="58"/>
      <c r="BJ153" s="58"/>
      <c r="BK153" s="58"/>
      <c r="BL153" s="58"/>
      <c r="BM153" s="58"/>
    </row>
    <row r="154" spans="1:83" s="164" customFormat="1" ht="18.75" customHeight="1">
      <c r="B154" s="215"/>
      <c r="C154" s="214" t="s">
        <v>259</v>
      </c>
      <c r="D154" s="214"/>
      <c r="E154" s="214"/>
      <c r="F154" s="214"/>
      <c r="G154" s="214"/>
      <c r="H154" s="214"/>
      <c r="I154" s="524" t="str">
        <f>AB77</f>
        <v>삼각형</v>
      </c>
      <c r="J154" s="524"/>
      <c r="K154" s="524"/>
      <c r="L154" s="524"/>
      <c r="M154" s="524"/>
      <c r="N154" s="524"/>
      <c r="O154" s="524"/>
      <c r="P154" s="524"/>
      <c r="Q154" s="214"/>
      <c r="R154" s="214"/>
      <c r="S154" s="214"/>
      <c r="T154" s="214"/>
      <c r="U154" s="214"/>
      <c r="V154" s="214"/>
      <c r="W154" s="214"/>
      <c r="X154" s="214"/>
      <c r="Y154" s="214"/>
      <c r="Z154" s="215"/>
      <c r="AA154" s="215"/>
      <c r="AB154" s="215"/>
      <c r="AC154" s="215"/>
      <c r="AD154" s="215"/>
      <c r="AE154" s="215"/>
      <c r="AF154" s="215"/>
      <c r="AG154" s="215"/>
      <c r="AH154" s="214"/>
      <c r="AI154" s="214"/>
      <c r="AJ154" s="214"/>
      <c r="AK154" s="214"/>
      <c r="AL154" s="214"/>
      <c r="AM154" s="214"/>
      <c r="AN154" s="214"/>
      <c r="AO154" s="214"/>
      <c r="AP154" s="214"/>
      <c r="AQ154" s="214"/>
      <c r="AR154" s="214"/>
      <c r="AS154" s="214"/>
      <c r="AT154" s="214"/>
      <c r="AU154" s="214"/>
      <c r="AV154" s="214"/>
      <c r="AW154" s="214"/>
      <c r="AX154" s="214"/>
      <c r="AY154" s="214"/>
      <c r="AZ154" s="214"/>
      <c r="BA154" s="214"/>
      <c r="BB154" s="214"/>
      <c r="BC154" s="214"/>
      <c r="BD154" s="214"/>
      <c r="BE154" s="214"/>
      <c r="BF154" s="214"/>
      <c r="BG154" s="214"/>
      <c r="BH154" s="58"/>
      <c r="BI154" s="58"/>
      <c r="BJ154" s="58"/>
      <c r="BK154" s="58"/>
      <c r="BL154" s="58"/>
      <c r="BM154" s="58"/>
      <c r="BN154" s="58"/>
    </row>
    <row r="155" spans="1:83" s="351" customFormat="1" ht="18.75" customHeight="1">
      <c r="B155" s="350"/>
      <c r="C155" s="349" t="s">
        <v>260</v>
      </c>
      <c r="D155" s="349"/>
      <c r="E155" s="349"/>
      <c r="F155" s="349"/>
      <c r="G155" s="349"/>
      <c r="H155" s="349"/>
      <c r="I155" s="352" t="e">
        <f>"마이크로미터와 게이지 블록의 온도 차이가 최대 "&amp;P156&amp;" ℃이상 벗어나지 않은다고 추정하면"</f>
        <v>#VALUE!</v>
      </c>
      <c r="J155" s="352"/>
      <c r="K155" s="352"/>
      <c r="L155" s="352"/>
      <c r="M155" s="352"/>
      <c r="N155" s="352"/>
      <c r="O155" s="352"/>
      <c r="P155" s="352"/>
      <c r="Q155" s="349"/>
      <c r="R155" s="349"/>
      <c r="S155" s="349"/>
      <c r="T155" s="349"/>
      <c r="U155" s="349"/>
      <c r="V155" s="349"/>
      <c r="W155" s="349"/>
      <c r="X155" s="349"/>
      <c r="Y155" s="349"/>
      <c r="Z155" s="350"/>
      <c r="AA155" s="350"/>
      <c r="AB155" s="350"/>
      <c r="AC155" s="350"/>
      <c r="AD155" s="350"/>
      <c r="AE155" s="350"/>
      <c r="AF155" s="350"/>
      <c r="AG155" s="350"/>
      <c r="AH155" s="349"/>
      <c r="AI155" s="349"/>
      <c r="AJ155" s="349"/>
      <c r="AK155" s="349"/>
      <c r="AL155" s="349"/>
      <c r="AM155" s="349"/>
      <c r="AN155" s="349"/>
      <c r="AO155" s="349"/>
      <c r="AP155" s="349"/>
      <c r="AQ155" s="349"/>
      <c r="AR155" s="349"/>
      <c r="AS155" s="349"/>
      <c r="AT155" s="349"/>
      <c r="AU155" s="349"/>
      <c r="AV155" s="349"/>
      <c r="AW155" s="349"/>
      <c r="AX155" s="349"/>
      <c r="AY155" s="349"/>
      <c r="AZ155" s="349"/>
      <c r="BA155" s="349"/>
      <c r="BB155" s="349"/>
      <c r="BC155" s="349"/>
      <c r="BD155" s="349"/>
      <c r="BE155" s="349"/>
      <c r="BF155" s="349"/>
      <c r="BG155" s="349"/>
      <c r="BH155" s="58"/>
      <c r="BI155" s="58"/>
      <c r="BJ155" s="58"/>
      <c r="BK155" s="58"/>
      <c r="BL155" s="58"/>
      <c r="BM155" s="58"/>
      <c r="BN155" s="58"/>
    </row>
    <row r="156" spans="1:83" s="164" customFormat="1" ht="18.75" customHeight="1">
      <c r="B156" s="215"/>
      <c r="D156" s="349"/>
      <c r="E156" s="349"/>
      <c r="F156" s="349"/>
      <c r="G156" s="349"/>
      <c r="H156" s="349"/>
      <c r="I156" s="214"/>
      <c r="J156" s="214"/>
      <c r="K156" s="214"/>
      <c r="L156" s="214"/>
      <c r="M156" s="214"/>
      <c r="N156" s="214"/>
      <c r="O156" s="214"/>
      <c r="P156" s="527" t="e">
        <f>Calcu!N50</f>
        <v>#VALUE!</v>
      </c>
      <c r="Q156" s="527"/>
      <c r="R156" s="526" t="s">
        <v>576</v>
      </c>
      <c r="S156" s="526"/>
      <c r="T156" s="526"/>
      <c r="U156" s="526"/>
      <c r="V156" s="526"/>
      <c r="W156" s="526"/>
      <c r="X156" s="523" t="s">
        <v>577</v>
      </c>
      <c r="Y156" s="516" t="e">
        <f>P156*1000</f>
        <v>#VALUE!</v>
      </c>
      <c r="Z156" s="516"/>
      <c r="AA156" s="526" t="s">
        <v>458</v>
      </c>
      <c r="AB156" s="526"/>
      <c r="AC156" s="526"/>
      <c r="AD156" s="526"/>
      <c r="AE156" s="526"/>
      <c r="AF156" s="219"/>
      <c r="AG156" s="219"/>
      <c r="AH156" s="214"/>
      <c r="AI156" s="214"/>
      <c r="AJ156" s="214"/>
      <c r="AK156" s="214"/>
      <c r="AM156" s="214"/>
      <c r="AN156" s="214"/>
      <c r="AO156" s="214"/>
      <c r="AP156" s="214"/>
      <c r="AQ156" s="215"/>
      <c r="AR156" s="215"/>
      <c r="AS156" s="215"/>
      <c r="AT156" s="215"/>
      <c r="AU156" s="215"/>
      <c r="AV156" s="215"/>
      <c r="AW156" s="215"/>
      <c r="AX156" s="215"/>
      <c r="AY156" s="215"/>
      <c r="AZ156" s="215"/>
      <c r="BA156" s="215"/>
      <c r="BB156" s="215"/>
      <c r="BC156" s="215"/>
      <c r="BD156" s="215"/>
      <c r="BE156" s="215"/>
      <c r="BF156" s="215"/>
      <c r="BG156" s="58"/>
      <c r="BH156" s="58"/>
      <c r="BI156" s="58"/>
      <c r="BJ156" s="58"/>
      <c r="BK156" s="58"/>
      <c r="BL156" s="58"/>
    </row>
    <row r="157" spans="1:83" s="164" customFormat="1" ht="18.75" customHeight="1">
      <c r="B157" s="215"/>
      <c r="C157" s="349"/>
      <c r="D157" s="349"/>
      <c r="E157" s="349"/>
      <c r="F157" s="349"/>
      <c r="G157" s="349"/>
      <c r="H157" s="349"/>
      <c r="I157" s="214"/>
      <c r="J157" s="214"/>
      <c r="K157" s="214"/>
      <c r="L157" s="214"/>
      <c r="M157" s="214"/>
      <c r="N157" s="214"/>
      <c r="O157" s="214"/>
      <c r="P157" s="527"/>
      <c r="Q157" s="527"/>
      <c r="R157" s="526"/>
      <c r="S157" s="526"/>
      <c r="T157" s="526"/>
      <c r="U157" s="526"/>
      <c r="V157" s="526"/>
      <c r="W157" s="526"/>
      <c r="X157" s="523"/>
      <c r="Y157" s="516"/>
      <c r="Z157" s="516"/>
      <c r="AA157" s="526"/>
      <c r="AB157" s="526"/>
      <c r="AC157" s="526"/>
      <c r="AD157" s="526"/>
      <c r="AE157" s="526"/>
      <c r="AF157" s="219"/>
      <c r="AG157" s="219"/>
      <c r="AH157" s="214"/>
      <c r="AJ157" s="214"/>
      <c r="AK157" s="214"/>
      <c r="AM157" s="214"/>
      <c r="AN157" s="214"/>
      <c r="AO157" s="214"/>
      <c r="AP157" s="214"/>
      <c r="AQ157" s="215"/>
      <c r="AR157" s="215"/>
      <c r="AS157" s="215"/>
      <c r="AT157" s="215"/>
      <c r="AU157" s="215"/>
      <c r="AV157" s="215"/>
      <c r="AW157" s="215"/>
      <c r="AX157" s="215"/>
      <c r="AY157" s="215"/>
      <c r="AZ157" s="215"/>
      <c r="BA157" s="215"/>
      <c r="BB157" s="215"/>
      <c r="BC157" s="215"/>
      <c r="BD157" s="215"/>
      <c r="BE157" s="215"/>
      <c r="BF157" s="215"/>
      <c r="BG157" s="58"/>
      <c r="BH157" s="58"/>
      <c r="BI157" s="58"/>
      <c r="BJ157" s="58"/>
      <c r="BK157" s="58"/>
      <c r="BL157" s="58"/>
    </row>
    <row r="158" spans="1:83" s="164" customFormat="1" ht="18.75" customHeight="1">
      <c r="B158" s="215"/>
      <c r="C158" s="214" t="s">
        <v>261</v>
      </c>
      <c r="D158" s="214"/>
      <c r="E158" s="214"/>
      <c r="F158" s="214"/>
      <c r="G158" s="214"/>
      <c r="H158" s="214"/>
      <c r="I158" s="214"/>
      <c r="J158" s="215"/>
      <c r="K158" s="215" t="s">
        <v>80</v>
      </c>
      <c r="L158" s="527" t="e">
        <f>Y156</f>
        <v>#VALUE!</v>
      </c>
      <c r="M158" s="527"/>
      <c r="N158" s="167" t="s">
        <v>470</v>
      </c>
      <c r="O158" s="220"/>
      <c r="Q158" s="215"/>
      <c r="R158" s="215"/>
      <c r="S158" s="215"/>
      <c r="T158" s="215"/>
      <c r="U158" s="215"/>
      <c r="V158" s="215"/>
      <c r="W158" s="215"/>
      <c r="X158" s="215"/>
      <c r="Y158" s="215" t="s">
        <v>80</v>
      </c>
      <c r="Z158" s="215" t="s">
        <v>239</v>
      </c>
      <c r="AA158" s="525" t="e">
        <f>ABS(L158*O77)</f>
        <v>#VALUE!</v>
      </c>
      <c r="AB158" s="525"/>
      <c r="AC158" s="525"/>
      <c r="AD158" s="525"/>
      <c r="AE158" s="377" t="s">
        <v>432</v>
      </c>
      <c r="AF158" s="215"/>
      <c r="AG158" s="215"/>
      <c r="AH158" s="215"/>
      <c r="AJ158" s="214"/>
      <c r="AK158" s="214"/>
      <c r="AL158" s="214"/>
      <c r="AM158" s="214"/>
      <c r="AN158" s="215"/>
      <c r="AO158" s="215"/>
      <c r="AP158" s="215"/>
      <c r="AQ158" s="215"/>
      <c r="AR158" s="215"/>
      <c r="AS158" s="215"/>
      <c r="AT158" s="215"/>
      <c r="AU158" s="168"/>
      <c r="AV158" s="167"/>
      <c r="AW158" s="214"/>
      <c r="AX158" s="215"/>
      <c r="AY158" s="215"/>
      <c r="AZ158" s="215"/>
      <c r="BA158" s="215"/>
      <c r="BB158" s="215"/>
      <c r="BC158" s="215"/>
      <c r="BD158" s="215"/>
      <c r="BE158" s="215"/>
      <c r="BF158" s="215"/>
      <c r="BG158" s="215"/>
      <c r="BH158" s="58"/>
      <c r="BI158" s="58"/>
      <c r="BP158" s="218"/>
      <c r="BQ158" s="216"/>
    </row>
    <row r="159" spans="1:83" s="164" customFormat="1" ht="18.75" customHeight="1">
      <c r="B159" s="57"/>
      <c r="C159" s="247" t="s">
        <v>262</v>
      </c>
      <c r="D159" s="247"/>
      <c r="E159" s="247"/>
      <c r="F159" s="247"/>
      <c r="G159" s="247"/>
      <c r="H159" s="108"/>
      <c r="I159" s="214" t="s">
        <v>471</v>
      </c>
      <c r="J159" s="108"/>
      <c r="K159" s="108"/>
      <c r="L159" s="247"/>
      <c r="M159" s="247"/>
      <c r="N159" s="247"/>
      <c r="O159" s="247"/>
      <c r="P159" s="247"/>
      <c r="Q159" s="247"/>
      <c r="R159" s="247"/>
      <c r="S159" s="247"/>
      <c r="T159" s="247"/>
      <c r="U159" s="247"/>
      <c r="V159" s="247"/>
      <c r="W159" s="247"/>
      <c r="X159" s="247"/>
      <c r="Y159" s="247"/>
      <c r="Z159" s="247"/>
      <c r="AA159" s="247"/>
      <c r="AB159" s="247"/>
      <c r="AC159" s="247"/>
      <c r="AD159" s="247"/>
      <c r="AE159" s="247"/>
      <c r="AF159" s="247"/>
      <c r="AG159" s="247"/>
      <c r="AH159" s="247"/>
      <c r="AI159" s="247"/>
      <c r="AJ159" s="247"/>
      <c r="AK159" s="247"/>
      <c r="AL159" s="247"/>
      <c r="AM159" s="247"/>
      <c r="AN159" s="247"/>
      <c r="AO159" s="247"/>
      <c r="AP159" s="247"/>
      <c r="AQ159" s="247"/>
      <c r="AR159" s="247"/>
      <c r="AS159" s="247"/>
      <c r="AT159" s="247"/>
      <c r="AU159" s="247"/>
      <c r="AV159" s="247"/>
      <c r="AW159" s="247"/>
      <c r="AX159" s="247"/>
      <c r="AY159" s="247"/>
      <c r="AZ159" s="247"/>
      <c r="BA159" s="247"/>
      <c r="BB159" s="247"/>
      <c r="BC159" s="247"/>
      <c r="BD159" s="247"/>
      <c r="BE159" s="247"/>
      <c r="BF159" s="247"/>
      <c r="BG159" s="247"/>
      <c r="BH159" s="58"/>
    </row>
    <row r="160" spans="1:83" s="164" customFormat="1" ht="18.75" customHeight="1">
      <c r="B160" s="215"/>
      <c r="C160" s="214"/>
      <c r="D160" s="214"/>
      <c r="E160" s="214"/>
      <c r="F160" s="214"/>
      <c r="G160" s="214"/>
      <c r="H160" s="108"/>
      <c r="I160" s="108"/>
      <c r="J160" s="108"/>
      <c r="K160" s="108"/>
      <c r="L160" s="247"/>
      <c r="M160" s="247"/>
      <c r="N160" s="247"/>
      <c r="O160" s="247"/>
      <c r="P160" s="247"/>
      <c r="Q160" s="247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15"/>
      <c r="AJ160" s="214"/>
      <c r="AK160" s="215"/>
      <c r="AL160" s="215"/>
      <c r="AM160" s="215"/>
      <c r="AN160" s="214"/>
      <c r="AO160" s="214"/>
      <c r="AP160" s="214"/>
      <c r="AQ160" s="214"/>
      <c r="AR160" s="214"/>
      <c r="AS160" s="214"/>
      <c r="AT160" s="214"/>
      <c r="AU160" s="214"/>
      <c r="AV160" s="214"/>
      <c r="AW160" s="214"/>
      <c r="AX160" s="214"/>
      <c r="AY160" s="214"/>
      <c r="AZ160" s="214"/>
      <c r="BA160" s="214"/>
      <c r="BB160" s="214"/>
      <c r="BC160" s="214"/>
      <c r="BD160" s="214"/>
      <c r="BE160" s="214"/>
      <c r="BF160" s="214"/>
      <c r="BG160" s="214"/>
      <c r="BH160" s="58"/>
    </row>
    <row r="161" spans="2:68" s="164" customFormat="1" ht="18.75" customHeight="1">
      <c r="B161" s="215"/>
      <c r="C161" s="214"/>
      <c r="D161" s="214"/>
      <c r="E161" s="214"/>
      <c r="F161" s="214"/>
      <c r="G161" s="214"/>
      <c r="H161" s="215"/>
      <c r="I161" s="108"/>
      <c r="J161" s="214"/>
      <c r="K161" s="214"/>
      <c r="L161" s="247"/>
      <c r="M161" s="247"/>
      <c r="N161" s="247"/>
      <c r="O161" s="247"/>
      <c r="P161" s="247"/>
      <c r="Q161" s="247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  <c r="AC161" s="215"/>
      <c r="AD161" s="215"/>
      <c r="AE161" s="215"/>
      <c r="AF161" s="215"/>
      <c r="AG161" s="215"/>
      <c r="AH161" s="215"/>
      <c r="AI161" s="215"/>
      <c r="AJ161" s="214"/>
      <c r="AK161" s="215"/>
      <c r="AL161" s="215"/>
      <c r="AM161" s="215"/>
      <c r="AN161" s="214"/>
      <c r="AO161" s="214"/>
      <c r="AP161" s="214"/>
      <c r="AQ161" s="214"/>
      <c r="AR161" s="214"/>
      <c r="AS161" s="214"/>
      <c r="AT161" s="214"/>
      <c r="AU161" s="214"/>
      <c r="AV161" s="214"/>
      <c r="AW161" s="214"/>
      <c r="AX161" s="214"/>
      <c r="AY161" s="214"/>
      <c r="AZ161" s="214"/>
      <c r="BA161" s="214"/>
      <c r="BB161" s="214"/>
      <c r="BC161" s="214"/>
      <c r="BD161" s="214"/>
      <c r="BE161" s="214"/>
      <c r="BF161" s="214"/>
      <c r="BG161" s="214"/>
      <c r="BH161" s="58"/>
    </row>
    <row r="162" spans="2:68" s="164" customFormat="1" ht="18.75" customHeight="1">
      <c r="B162" s="215"/>
      <c r="C162" s="214"/>
      <c r="D162" s="214"/>
      <c r="E162" s="214"/>
      <c r="F162" s="214"/>
      <c r="G162" s="214"/>
      <c r="H162" s="215"/>
      <c r="I162" s="108"/>
      <c r="J162" s="214"/>
      <c r="K162" s="214"/>
      <c r="L162" s="247"/>
      <c r="M162" s="247"/>
      <c r="N162" s="247"/>
      <c r="O162" s="247"/>
      <c r="P162" s="247"/>
      <c r="Q162" s="247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523">
        <f>BC77</f>
        <v>100.00000000000004</v>
      </c>
      <c r="AC162" s="523"/>
      <c r="AD162" s="215"/>
      <c r="AE162" s="215"/>
      <c r="AF162" s="215"/>
      <c r="AG162" s="215"/>
      <c r="AH162" s="215"/>
      <c r="AI162" s="215"/>
      <c r="AJ162" s="214"/>
      <c r="AK162" s="215"/>
      <c r="AL162" s="215"/>
      <c r="AM162" s="215"/>
      <c r="AN162" s="214"/>
      <c r="AO162" s="214"/>
      <c r="AP162" s="214"/>
      <c r="AQ162" s="214"/>
      <c r="AR162" s="214"/>
      <c r="AS162" s="214"/>
      <c r="AT162" s="214"/>
      <c r="AU162" s="214"/>
      <c r="AV162" s="214"/>
      <c r="AW162" s="214"/>
      <c r="AX162" s="214"/>
      <c r="AY162" s="214"/>
      <c r="AZ162" s="214"/>
      <c r="BA162" s="214"/>
      <c r="BB162" s="214"/>
      <c r="BC162" s="214"/>
      <c r="BD162" s="214"/>
      <c r="BE162" s="214"/>
      <c r="BF162" s="214"/>
      <c r="BG162" s="214"/>
      <c r="BH162" s="58"/>
    </row>
    <row r="163" spans="2:68" s="67" customFormat="1" ht="18.75" customHeight="1">
      <c r="B163" s="215"/>
      <c r="C163" s="214"/>
      <c r="D163" s="214"/>
      <c r="E163" s="214"/>
      <c r="F163" s="214"/>
      <c r="G163" s="214"/>
      <c r="H163" s="215"/>
      <c r="I163" s="108"/>
      <c r="J163" s="214"/>
      <c r="K163" s="214"/>
      <c r="L163" s="247"/>
      <c r="M163" s="247"/>
      <c r="N163" s="247"/>
      <c r="O163" s="247"/>
      <c r="P163" s="247"/>
      <c r="Q163" s="247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523"/>
      <c r="AC163" s="523"/>
      <c r="AD163" s="215"/>
      <c r="AE163" s="215"/>
      <c r="AF163" s="215"/>
      <c r="AG163" s="215"/>
      <c r="AH163" s="215"/>
      <c r="AI163" s="215"/>
      <c r="AJ163" s="214"/>
      <c r="AK163" s="215"/>
      <c r="AL163" s="215"/>
      <c r="AM163" s="215"/>
      <c r="AN163" s="214"/>
      <c r="AO163" s="214"/>
      <c r="AP163" s="214"/>
      <c r="AQ163" s="214"/>
      <c r="AR163" s="214"/>
      <c r="AS163" s="214"/>
      <c r="AT163" s="214"/>
      <c r="AU163" s="214"/>
      <c r="AV163" s="214"/>
      <c r="AW163" s="214"/>
      <c r="AX163" s="214"/>
      <c r="AY163" s="214"/>
      <c r="AZ163" s="214"/>
      <c r="BA163" s="214"/>
      <c r="BB163" s="214"/>
      <c r="BC163" s="214"/>
      <c r="BD163" s="214"/>
      <c r="BE163" s="214"/>
      <c r="BF163" s="214"/>
      <c r="BG163" s="214"/>
    </row>
    <row r="164" spans="2:68" s="67" customFormat="1" ht="18.75" customHeight="1">
      <c r="B164" s="57"/>
      <c r="C164" s="247"/>
      <c r="D164" s="247"/>
      <c r="E164" s="247"/>
      <c r="F164" s="247"/>
      <c r="G164" s="247"/>
      <c r="H164" s="247"/>
      <c r="I164" s="247"/>
      <c r="J164" s="247"/>
      <c r="K164" s="247"/>
      <c r="L164" s="247"/>
      <c r="M164" s="247"/>
      <c r="N164" s="247"/>
      <c r="O164" s="247"/>
      <c r="P164" s="247"/>
      <c r="Q164" s="247"/>
      <c r="R164" s="247"/>
      <c r="S164" s="247"/>
      <c r="T164" s="247"/>
      <c r="U164" s="247"/>
      <c r="V164" s="247"/>
      <c r="W164" s="247"/>
      <c r="X164" s="247"/>
      <c r="Y164" s="247"/>
      <c r="Z164" s="247"/>
      <c r="AA164" s="247"/>
      <c r="AB164" s="247"/>
      <c r="AC164" s="247"/>
      <c r="AD164" s="247"/>
      <c r="AE164" s="247"/>
      <c r="AF164" s="247"/>
      <c r="AG164" s="247"/>
      <c r="AH164" s="247"/>
      <c r="AI164" s="247"/>
      <c r="AJ164" s="247"/>
      <c r="AK164" s="247"/>
      <c r="AL164" s="247"/>
      <c r="AM164" s="247"/>
      <c r="AN164" s="247"/>
      <c r="AO164" s="247"/>
      <c r="AP164" s="247"/>
      <c r="AQ164" s="247"/>
      <c r="AR164" s="247"/>
      <c r="AS164" s="247"/>
      <c r="AT164" s="247"/>
      <c r="AU164" s="247"/>
      <c r="AV164" s="247"/>
      <c r="AW164" s="247"/>
      <c r="AX164" s="247"/>
      <c r="AY164" s="247"/>
      <c r="AZ164" s="247"/>
      <c r="BA164" s="247"/>
      <c r="BB164" s="247"/>
      <c r="BC164" s="247"/>
      <c r="BD164" s="247"/>
      <c r="BE164" s="247"/>
      <c r="BF164" s="247"/>
      <c r="BG164" s="247"/>
    </row>
    <row r="165" spans="2:68" s="67" customFormat="1" ht="18.75" customHeight="1">
      <c r="B165" s="57"/>
      <c r="C165" s="247"/>
      <c r="D165" s="247"/>
      <c r="E165" s="247"/>
      <c r="F165" s="247"/>
      <c r="G165" s="247"/>
      <c r="H165" s="247"/>
      <c r="I165" s="247"/>
      <c r="J165" s="247"/>
      <c r="K165" s="247"/>
      <c r="L165" s="247"/>
      <c r="M165" s="247"/>
      <c r="N165" s="247"/>
      <c r="O165" s="247"/>
      <c r="P165" s="247"/>
      <c r="Q165" s="247"/>
      <c r="R165" s="247"/>
      <c r="S165" s="247"/>
      <c r="T165" s="247"/>
      <c r="U165" s="247"/>
      <c r="V165" s="247"/>
      <c r="W165" s="247"/>
      <c r="X165" s="247"/>
      <c r="Y165" s="247"/>
      <c r="Z165" s="247"/>
      <c r="AA165" s="247"/>
      <c r="AB165" s="247"/>
      <c r="AC165" s="247"/>
      <c r="AD165" s="247"/>
      <c r="AE165" s="247"/>
      <c r="AF165" s="247"/>
      <c r="AG165" s="247"/>
      <c r="AH165" s="247"/>
      <c r="AI165" s="247"/>
      <c r="AJ165" s="247"/>
      <c r="AK165" s="247"/>
      <c r="AL165" s="247"/>
      <c r="AM165" s="247"/>
      <c r="AN165" s="247"/>
      <c r="AO165" s="247"/>
      <c r="AP165" s="247"/>
      <c r="AQ165" s="247"/>
      <c r="AR165" s="247"/>
      <c r="AS165" s="247"/>
      <c r="AT165" s="247"/>
      <c r="AU165" s="247"/>
      <c r="AV165" s="247"/>
      <c r="AW165" s="247"/>
      <c r="AX165" s="247"/>
      <c r="AY165" s="247"/>
      <c r="AZ165" s="247"/>
      <c r="BA165" s="247"/>
      <c r="BB165" s="247"/>
      <c r="BC165" s="247"/>
      <c r="BD165" s="247"/>
      <c r="BE165" s="247"/>
      <c r="BF165" s="247"/>
      <c r="BG165" s="247"/>
    </row>
    <row r="166" spans="2:68" s="164" customFormat="1" ht="18.75" customHeight="1">
      <c r="B166" s="57" t="s">
        <v>589</v>
      </c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4"/>
      <c r="AD166" s="214"/>
      <c r="AE166" s="214"/>
      <c r="AF166" s="214"/>
      <c r="AG166" s="214"/>
      <c r="AH166" s="215"/>
      <c r="AI166" s="215"/>
      <c r="AJ166" s="215"/>
      <c r="AK166" s="215"/>
      <c r="AL166" s="215"/>
      <c r="AM166" s="215"/>
      <c r="AN166" s="215"/>
      <c r="AO166" s="214"/>
      <c r="AP166" s="214"/>
      <c r="AQ166" s="214"/>
      <c r="AR166" s="214"/>
      <c r="AS166" s="214"/>
      <c r="AT166" s="214"/>
      <c r="AU166" s="214"/>
      <c r="AV166" s="214"/>
      <c r="AW166" s="214"/>
      <c r="AX166" s="214"/>
      <c r="AY166" s="214"/>
      <c r="AZ166" s="214"/>
      <c r="BA166" s="214"/>
      <c r="BB166" s="214"/>
      <c r="BC166" s="214"/>
      <c r="BD166" s="214"/>
      <c r="BE166" s="214"/>
      <c r="BF166" s="214"/>
      <c r="BG166" s="214"/>
      <c r="BH166" s="58"/>
      <c r="BI166" s="58"/>
      <c r="BJ166" s="58"/>
      <c r="BK166" s="58"/>
      <c r="BL166" s="58"/>
      <c r="BM166" s="58"/>
      <c r="BN166" s="58"/>
    </row>
    <row r="167" spans="2:68" s="379" customFormat="1" ht="18.75" customHeight="1">
      <c r="B167" s="57"/>
      <c r="C167" s="214" t="s">
        <v>528</v>
      </c>
      <c r="D167" s="321"/>
      <c r="E167" s="321"/>
      <c r="F167" s="321"/>
      <c r="G167" s="380"/>
      <c r="H167" s="380"/>
      <c r="I167" s="380"/>
      <c r="J167" s="380"/>
      <c r="K167" s="380"/>
      <c r="L167" s="380"/>
      <c r="M167" s="380"/>
      <c r="N167" s="380"/>
      <c r="O167" s="380"/>
      <c r="P167" s="380"/>
      <c r="Q167" s="380"/>
      <c r="R167" s="380"/>
      <c r="S167" s="380"/>
      <c r="T167" s="380"/>
      <c r="U167" s="380"/>
      <c r="V167" s="380"/>
      <c r="W167" s="380"/>
      <c r="X167" s="380"/>
      <c r="Y167" s="380"/>
      <c r="Z167" s="380"/>
      <c r="AA167" s="380"/>
      <c r="AB167" s="380"/>
      <c r="AC167" s="380"/>
      <c r="AD167" s="380"/>
      <c r="AE167" s="380"/>
      <c r="AF167" s="380"/>
      <c r="AG167" s="380"/>
      <c r="AH167" s="378"/>
      <c r="AI167" s="378"/>
      <c r="AJ167" s="378"/>
      <c r="AK167" s="378"/>
      <c r="AL167" s="378"/>
      <c r="AM167" s="378"/>
      <c r="AN167" s="378"/>
      <c r="AO167" s="380"/>
      <c r="AP167" s="380"/>
      <c r="AQ167" s="380"/>
      <c r="AR167" s="380"/>
      <c r="AS167" s="380"/>
      <c r="AT167" s="380"/>
      <c r="AU167" s="380"/>
      <c r="AV167" s="380"/>
      <c r="AW167" s="380"/>
      <c r="AX167" s="380"/>
      <c r="AY167" s="380"/>
      <c r="AZ167" s="380"/>
      <c r="BA167" s="380"/>
      <c r="BB167" s="380"/>
      <c r="BC167" s="380"/>
      <c r="BD167" s="380"/>
      <c r="BE167" s="380"/>
      <c r="BF167" s="380"/>
      <c r="BG167" s="380"/>
      <c r="BH167" s="58"/>
      <c r="BI167" s="58"/>
      <c r="BJ167" s="58"/>
      <c r="BK167" s="58"/>
      <c r="BL167" s="58"/>
      <c r="BM167" s="58"/>
      <c r="BN167" s="58"/>
    </row>
    <row r="168" spans="2:68" s="379" customFormat="1" ht="18.75" customHeight="1">
      <c r="B168" s="57"/>
      <c r="C168" s="321"/>
      <c r="D168" s="214" t="str">
        <f>"기준기의 온도차가 최대 ±"&amp;N170&amp;" ℃이내에서 일치한다고 추정하여 직사각형 확률분포를 적용하여 계산하면"</f>
        <v>기준기의 온도차가 최대 ±0.3 ℃이내에서 일치한다고 추정하여 직사각형 확률분포를 적용하여 계산하면</v>
      </c>
      <c r="E168" s="321"/>
      <c r="F168" s="321"/>
      <c r="G168" s="380"/>
      <c r="H168" s="380"/>
      <c r="I168" s="380"/>
      <c r="J168" s="380"/>
      <c r="K168" s="380"/>
      <c r="L168" s="380"/>
      <c r="M168" s="380"/>
      <c r="N168" s="380"/>
      <c r="O168" s="380"/>
      <c r="P168" s="380"/>
      <c r="Q168" s="380"/>
      <c r="R168" s="380"/>
      <c r="S168" s="380"/>
      <c r="T168" s="380"/>
      <c r="U168" s="380"/>
      <c r="V168" s="380"/>
      <c r="W168" s="380"/>
      <c r="X168" s="380"/>
      <c r="Y168" s="380"/>
      <c r="Z168" s="380"/>
      <c r="AA168" s="380"/>
      <c r="AB168" s="380"/>
      <c r="AC168" s="380"/>
      <c r="AD168" s="380"/>
      <c r="AE168" s="380"/>
      <c r="AF168" s="380"/>
      <c r="AG168" s="380"/>
      <c r="AH168" s="378"/>
      <c r="AI168" s="378"/>
      <c r="AJ168" s="378"/>
      <c r="AK168" s="378"/>
      <c r="AL168" s="378"/>
      <c r="AM168" s="378"/>
      <c r="AN168" s="378"/>
      <c r="AO168" s="380"/>
      <c r="AP168" s="380"/>
      <c r="AQ168" s="380"/>
      <c r="AR168" s="380"/>
      <c r="AS168" s="380"/>
      <c r="AT168" s="380"/>
      <c r="AU168" s="380"/>
      <c r="AV168" s="380"/>
      <c r="AW168" s="380"/>
      <c r="AX168" s="380"/>
      <c r="AY168" s="380"/>
      <c r="AZ168" s="380"/>
      <c r="BA168" s="380"/>
      <c r="BB168" s="380"/>
      <c r="BC168" s="380"/>
      <c r="BD168" s="380"/>
      <c r="BE168" s="380"/>
      <c r="BF168" s="380"/>
      <c r="BG168" s="380"/>
      <c r="BH168" s="58"/>
      <c r="BI168" s="58"/>
      <c r="BJ168" s="58"/>
      <c r="BK168" s="58"/>
      <c r="BL168" s="58"/>
      <c r="BM168" s="58"/>
      <c r="BN168" s="58"/>
    </row>
    <row r="169" spans="2:68" s="164" customFormat="1" ht="18.75" customHeight="1">
      <c r="B169" s="215"/>
      <c r="C169" s="218" t="s">
        <v>263</v>
      </c>
      <c r="D169" s="215"/>
      <c r="E169" s="215"/>
      <c r="F169" s="215"/>
      <c r="G169" s="215"/>
      <c r="H169" s="528" t="str">
        <f>H78</f>
        <v/>
      </c>
      <c r="I169" s="528"/>
      <c r="J169" s="528"/>
      <c r="K169" s="528"/>
      <c r="L169" s="528"/>
      <c r="M169" s="528"/>
      <c r="N169" s="528"/>
      <c r="O169" s="528"/>
      <c r="P169" s="219"/>
      <c r="Q169" s="214"/>
      <c r="R169" s="214"/>
      <c r="S169" s="214"/>
      <c r="T169" s="214"/>
      <c r="U169" s="214"/>
      <c r="V169" s="214"/>
      <c r="W169" s="215"/>
      <c r="X169" s="215"/>
      <c r="Y169" s="215"/>
      <c r="Z169" s="214"/>
      <c r="AA169" s="214"/>
      <c r="AB169" s="214"/>
      <c r="AC169" s="214"/>
      <c r="AD169" s="214"/>
      <c r="AE169" s="214"/>
      <c r="AF169" s="214"/>
      <c r="AG169" s="214"/>
      <c r="AH169" s="215"/>
      <c r="AI169" s="215"/>
      <c r="AJ169" s="215"/>
      <c r="AK169" s="215"/>
      <c r="AL169" s="215"/>
      <c r="AM169" s="215"/>
      <c r="AN169" s="215"/>
      <c r="AO169" s="214"/>
      <c r="AP169" s="214"/>
      <c r="AQ169" s="214"/>
      <c r="AR169" s="214"/>
      <c r="AS169" s="214"/>
      <c r="AT169" s="214"/>
      <c r="AU169" s="214"/>
      <c r="AV169" s="214"/>
      <c r="AW169" s="214"/>
      <c r="AX169" s="214"/>
      <c r="AY169" s="214"/>
      <c r="AZ169" s="214"/>
      <c r="BA169" s="214"/>
      <c r="BB169" s="214"/>
      <c r="BC169" s="214"/>
      <c r="BD169" s="214"/>
      <c r="BE169" s="214"/>
      <c r="BF169" s="214"/>
      <c r="BG169" s="214"/>
      <c r="BH169" s="58"/>
      <c r="BI169" s="58"/>
      <c r="BJ169" s="58"/>
      <c r="BK169" s="58"/>
      <c r="BL169" s="58"/>
      <c r="BM169" s="58"/>
    </row>
    <row r="170" spans="2:68" s="164" customFormat="1" ht="18.75" customHeight="1">
      <c r="B170" s="215"/>
      <c r="C170" s="526" t="s">
        <v>264</v>
      </c>
      <c r="D170" s="526"/>
      <c r="E170" s="526"/>
      <c r="F170" s="526"/>
      <c r="G170" s="526"/>
      <c r="H170" s="526"/>
      <c r="I170" s="526"/>
      <c r="J170" s="530" t="s">
        <v>593</v>
      </c>
      <c r="K170" s="530"/>
      <c r="L170" s="530"/>
      <c r="M170" s="523" t="s">
        <v>239</v>
      </c>
      <c r="N170" s="520">
        <f>Calcu!G51</f>
        <v>0.3</v>
      </c>
      <c r="O170" s="520"/>
      <c r="P170" s="383" t="s">
        <v>594</v>
      </c>
      <c r="Q170" s="387"/>
      <c r="R170" s="523" t="s">
        <v>239</v>
      </c>
      <c r="S170" s="550">
        <f>N170/SQRT(3)</f>
        <v>0.17320508075688773</v>
      </c>
      <c r="T170" s="550"/>
      <c r="U170" s="550"/>
      <c r="V170" s="516" t="str">
        <f>P170</f>
        <v>℃</v>
      </c>
      <c r="W170" s="516"/>
      <c r="X170" s="382"/>
      <c r="Y170" s="214"/>
      <c r="Z170" s="214"/>
      <c r="AA170" s="215"/>
      <c r="AB170" s="215"/>
      <c r="AC170" s="215"/>
      <c r="AD170" s="215"/>
      <c r="AE170" s="215"/>
      <c r="AF170" s="215"/>
      <c r="AG170" s="215"/>
      <c r="AH170" s="215"/>
      <c r="AI170" s="215"/>
      <c r="AJ170" s="215"/>
      <c r="AK170" s="215"/>
      <c r="AL170" s="215"/>
      <c r="AM170" s="215"/>
      <c r="AN170" s="215"/>
      <c r="AO170" s="215"/>
      <c r="AP170" s="215"/>
      <c r="AQ170" s="215"/>
      <c r="AR170" s="215"/>
      <c r="AS170" s="215"/>
      <c r="AT170" s="215"/>
      <c r="AU170" s="215"/>
      <c r="AV170" s="215"/>
      <c r="AW170" s="215"/>
      <c r="AX170" s="214"/>
      <c r="AY170" s="214"/>
      <c r="AZ170" s="214"/>
      <c r="BA170" s="214"/>
      <c r="BB170" s="214"/>
      <c r="BC170" s="214"/>
      <c r="BD170" s="214"/>
      <c r="BE170" s="214"/>
      <c r="BF170" s="214"/>
      <c r="BG170" s="214"/>
      <c r="BH170" s="214"/>
      <c r="BI170" s="214"/>
      <c r="BJ170" s="58"/>
      <c r="BK170" s="58"/>
      <c r="BL170" s="58"/>
      <c r="BM170" s="58"/>
      <c r="BN170" s="58"/>
      <c r="BO170" s="58"/>
      <c r="BP170" s="58"/>
    </row>
    <row r="171" spans="2:68" s="164" customFormat="1" ht="18.75" customHeight="1">
      <c r="B171" s="215"/>
      <c r="C171" s="526"/>
      <c r="D171" s="526"/>
      <c r="E171" s="526"/>
      <c r="F171" s="526"/>
      <c r="G171" s="526"/>
      <c r="H171" s="526"/>
      <c r="I171" s="526"/>
      <c r="J171" s="530"/>
      <c r="K171" s="530"/>
      <c r="L171" s="530"/>
      <c r="M171" s="523"/>
      <c r="N171" s="378"/>
      <c r="O171" s="378"/>
      <c r="P171" s="378"/>
      <c r="Q171" s="378"/>
      <c r="R171" s="523"/>
      <c r="S171" s="550"/>
      <c r="T171" s="550"/>
      <c r="U171" s="550"/>
      <c r="V171" s="516"/>
      <c r="W171" s="516"/>
      <c r="X171" s="382"/>
      <c r="Y171" s="214"/>
      <c r="Z171" s="214"/>
      <c r="AA171" s="215"/>
      <c r="AB171" s="215"/>
      <c r="AC171" s="215"/>
      <c r="AD171" s="215"/>
      <c r="AE171" s="215"/>
      <c r="AF171" s="215"/>
      <c r="AG171" s="215"/>
      <c r="AH171" s="215"/>
      <c r="AI171" s="215"/>
      <c r="AJ171" s="215"/>
      <c r="AK171" s="215"/>
      <c r="AL171" s="215"/>
      <c r="AM171" s="215"/>
      <c r="AN171" s="215"/>
      <c r="AO171" s="215"/>
      <c r="AP171" s="215"/>
      <c r="AQ171" s="215"/>
      <c r="AR171" s="214"/>
      <c r="AS171" s="214"/>
      <c r="AT171" s="214"/>
      <c r="AU171" s="214"/>
      <c r="AV171" s="214"/>
      <c r="AW171" s="214"/>
      <c r="AX171" s="214"/>
      <c r="AY171" s="214"/>
      <c r="AZ171" s="214"/>
      <c r="BA171" s="214"/>
      <c r="BB171" s="214"/>
      <c r="BC171" s="214"/>
      <c r="BD171" s="214"/>
      <c r="BE171" s="214"/>
      <c r="BF171" s="214"/>
      <c r="BG171" s="214"/>
      <c r="BH171" s="214"/>
      <c r="BI171" s="214"/>
      <c r="BJ171" s="58"/>
      <c r="BK171" s="58"/>
      <c r="BL171" s="58"/>
      <c r="BM171" s="58"/>
      <c r="BN171" s="58"/>
      <c r="BO171" s="58"/>
      <c r="BP171" s="58"/>
    </row>
    <row r="172" spans="2:68" s="164" customFormat="1" ht="18.75" customHeight="1">
      <c r="B172" s="215"/>
      <c r="C172" s="214" t="s">
        <v>265</v>
      </c>
      <c r="D172" s="214"/>
      <c r="E172" s="214"/>
      <c r="F172" s="214"/>
      <c r="G172" s="214"/>
      <c r="H172" s="214"/>
      <c r="I172" s="524" t="str">
        <f>AB78</f>
        <v>직사각형</v>
      </c>
      <c r="J172" s="524"/>
      <c r="K172" s="524"/>
      <c r="L172" s="524"/>
      <c r="M172" s="524"/>
      <c r="N172" s="524"/>
      <c r="O172" s="524"/>
      <c r="P172" s="524"/>
      <c r="Q172" s="214"/>
      <c r="R172" s="214"/>
      <c r="S172" s="214"/>
      <c r="T172" s="214"/>
      <c r="U172" s="214"/>
      <c r="V172" s="214"/>
      <c r="W172" s="214"/>
      <c r="X172" s="214"/>
      <c r="Y172" s="214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15"/>
      <c r="AJ172" s="215"/>
      <c r="AK172" s="215"/>
      <c r="AL172" s="215"/>
      <c r="AM172" s="215"/>
      <c r="AN172" s="215"/>
      <c r="AO172" s="215"/>
      <c r="AP172" s="214"/>
      <c r="AQ172" s="214"/>
      <c r="AR172" s="214"/>
      <c r="AS172" s="214"/>
      <c r="AT172" s="214"/>
      <c r="AU172" s="214"/>
      <c r="AV172" s="214"/>
      <c r="AW172" s="214"/>
      <c r="AX172" s="214"/>
      <c r="AY172" s="214"/>
      <c r="AZ172" s="214"/>
      <c r="BA172" s="214"/>
      <c r="BB172" s="214"/>
      <c r="BC172" s="214"/>
      <c r="BD172" s="214"/>
      <c r="BE172" s="214"/>
      <c r="BF172" s="214"/>
      <c r="BG172" s="214"/>
      <c r="BH172" s="58"/>
      <c r="BI172" s="58"/>
      <c r="BJ172" s="58"/>
      <c r="BK172" s="58"/>
      <c r="BL172" s="58"/>
    </row>
    <row r="173" spans="2:68" s="164" customFormat="1" ht="18.75" customHeight="1">
      <c r="B173" s="215"/>
      <c r="C173" s="526" t="s">
        <v>266</v>
      </c>
      <c r="D173" s="526"/>
      <c r="E173" s="526"/>
      <c r="F173" s="526"/>
      <c r="G173" s="526"/>
      <c r="H173" s="526"/>
      <c r="I173" s="214"/>
      <c r="J173" s="214"/>
      <c r="K173" s="214"/>
      <c r="L173" s="214"/>
      <c r="M173" s="214"/>
      <c r="N173" s="214"/>
      <c r="O173" s="215"/>
      <c r="P173" s="526" t="e">
        <f ca="1">-H77*10^6</f>
        <v>#N/A</v>
      </c>
      <c r="Q173" s="526"/>
      <c r="R173" s="526"/>
      <c r="S173" s="526" t="s">
        <v>578</v>
      </c>
      <c r="T173" s="526"/>
      <c r="U173" s="526"/>
      <c r="V173" s="526"/>
      <c r="W173" s="526"/>
      <c r="X173" s="526"/>
      <c r="Y173" s="526"/>
      <c r="Z173" s="526"/>
      <c r="AA173" s="523" t="s">
        <v>577</v>
      </c>
      <c r="AB173" s="527" t="e">
        <f ca="1">P173*10^-6*1000</f>
        <v>#N/A</v>
      </c>
      <c r="AC173" s="527"/>
      <c r="AD173" s="527"/>
      <c r="AE173" s="527"/>
      <c r="AF173" s="526" t="s">
        <v>433</v>
      </c>
      <c r="AG173" s="526"/>
      <c r="AH173" s="526"/>
      <c r="AI173" s="526"/>
      <c r="AJ173" s="526"/>
      <c r="AK173" s="526"/>
      <c r="AL173" s="526"/>
      <c r="AM173" s="214"/>
      <c r="AN173" s="214"/>
      <c r="AO173" s="214"/>
      <c r="AP173" s="214"/>
      <c r="AQ173" s="214"/>
      <c r="AR173" s="214"/>
      <c r="AS173" s="214"/>
      <c r="AT173" s="214"/>
      <c r="AU173" s="214"/>
      <c r="AV173" s="214"/>
      <c r="AW173" s="214"/>
      <c r="AX173" s="214"/>
      <c r="AY173" s="214"/>
      <c r="AZ173" s="215"/>
      <c r="BA173" s="215"/>
      <c r="BB173" s="215"/>
      <c r="BC173" s="215"/>
      <c r="BD173" s="215"/>
      <c r="BE173" s="215"/>
    </row>
    <row r="174" spans="2:68" s="164" customFormat="1" ht="18.75" customHeight="1">
      <c r="B174" s="215"/>
      <c r="C174" s="526"/>
      <c r="D174" s="526"/>
      <c r="E174" s="526"/>
      <c r="F174" s="526"/>
      <c r="G174" s="526"/>
      <c r="H174" s="526"/>
      <c r="I174" s="214"/>
      <c r="J174" s="214"/>
      <c r="K174" s="214"/>
      <c r="L174" s="214"/>
      <c r="M174" s="214"/>
      <c r="N174" s="214"/>
      <c r="O174" s="215"/>
      <c r="P174" s="526"/>
      <c r="Q174" s="526"/>
      <c r="R174" s="526"/>
      <c r="S174" s="526"/>
      <c r="T174" s="526"/>
      <c r="U174" s="526"/>
      <c r="V174" s="526"/>
      <c r="W174" s="526"/>
      <c r="X174" s="526"/>
      <c r="Y174" s="526"/>
      <c r="Z174" s="526"/>
      <c r="AA174" s="523"/>
      <c r="AB174" s="527"/>
      <c r="AC174" s="527"/>
      <c r="AD174" s="527"/>
      <c r="AE174" s="527"/>
      <c r="AF174" s="526"/>
      <c r="AG174" s="526"/>
      <c r="AH174" s="526"/>
      <c r="AI174" s="526"/>
      <c r="AJ174" s="526"/>
      <c r="AK174" s="526"/>
      <c r="AL174" s="526"/>
      <c r="AM174" s="214"/>
      <c r="AN174" s="214"/>
      <c r="AO174" s="214"/>
      <c r="AP174" s="214"/>
      <c r="AQ174" s="214"/>
      <c r="AR174" s="214"/>
      <c r="AS174" s="214"/>
      <c r="AT174" s="214"/>
      <c r="AU174" s="214"/>
      <c r="AV174" s="214"/>
      <c r="AW174" s="214"/>
      <c r="AX174" s="214"/>
      <c r="AY174" s="214"/>
      <c r="AZ174" s="215"/>
      <c r="BA174" s="215"/>
      <c r="BB174" s="215"/>
      <c r="BC174" s="215"/>
      <c r="BD174" s="215"/>
      <c r="BE174" s="215"/>
    </row>
    <row r="175" spans="2:68" s="164" customFormat="1" ht="18.75" customHeight="1">
      <c r="B175" s="215"/>
      <c r="C175" s="214" t="s">
        <v>267</v>
      </c>
      <c r="D175" s="214"/>
      <c r="E175" s="214"/>
      <c r="F175" s="214"/>
      <c r="G175" s="214"/>
      <c r="H175" s="214"/>
      <c r="I175" s="214"/>
      <c r="J175" s="215"/>
      <c r="K175" s="215" t="s">
        <v>80</v>
      </c>
      <c r="L175" s="527" t="e">
        <f ca="1">AB173</f>
        <v>#N/A</v>
      </c>
      <c r="M175" s="527"/>
      <c r="N175" s="527"/>
      <c r="O175" s="527"/>
      <c r="P175" s="526" t="s">
        <v>472</v>
      </c>
      <c r="Q175" s="526"/>
      <c r="R175" s="526"/>
      <c r="S175" s="526"/>
      <c r="T175" s="526"/>
      <c r="U175" s="548">
        <f>S170</f>
        <v>0.17320508075688773</v>
      </c>
      <c r="V175" s="548"/>
      <c r="W175" s="548"/>
      <c r="X175" s="548"/>
      <c r="Y175" s="215" t="s">
        <v>80</v>
      </c>
      <c r="Z175" s="215" t="s">
        <v>239</v>
      </c>
      <c r="AA175" s="525" t="e">
        <f ca="1">ABS(L175*U175)</f>
        <v>#N/A</v>
      </c>
      <c r="AB175" s="525"/>
      <c r="AC175" s="525"/>
      <c r="AD175" s="549"/>
      <c r="AE175" s="214" t="s">
        <v>459</v>
      </c>
      <c r="AF175" s="218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  <c r="AR175" s="214"/>
      <c r="AS175" s="214"/>
      <c r="AT175" s="214"/>
      <c r="AU175" s="214"/>
      <c r="AV175" s="214"/>
      <c r="AW175" s="214"/>
      <c r="AX175" s="169"/>
      <c r="AY175" s="169"/>
      <c r="AZ175" s="169"/>
      <c r="BA175" s="169"/>
      <c r="BB175" s="169"/>
      <c r="BC175" s="169"/>
      <c r="BD175" s="215"/>
      <c r="BE175" s="215"/>
      <c r="BF175" s="215"/>
      <c r="BG175" s="215"/>
      <c r="BH175" s="215"/>
      <c r="BI175" s="215"/>
    </row>
    <row r="176" spans="2:68" s="164" customFormat="1" ht="18.75" customHeight="1">
      <c r="B176" s="215"/>
      <c r="C176" s="526" t="s">
        <v>268</v>
      </c>
      <c r="D176" s="526"/>
      <c r="E176" s="526"/>
      <c r="F176" s="526"/>
      <c r="G176" s="526"/>
      <c r="H176" s="214"/>
      <c r="J176" s="214"/>
      <c r="K176" s="214"/>
      <c r="L176" s="214"/>
      <c r="M176" s="214"/>
      <c r="N176" s="214"/>
      <c r="O176" s="214"/>
      <c r="P176" s="214"/>
      <c r="Q176" s="214"/>
      <c r="R176" s="167"/>
      <c r="S176" s="214"/>
      <c r="T176" s="214"/>
      <c r="U176" s="214"/>
      <c r="V176" s="56" t="s">
        <v>87</v>
      </c>
      <c r="W176" s="214"/>
      <c r="X176" s="214"/>
      <c r="Y176" s="214"/>
      <c r="Z176" s="214"/>
      <c r="AA176" s="214"/>
      <c r="AB176" s="214"/>
      <c r="AC176" s="214"/>
      <c r="AD176" s="214"/>
      <c r="AE176" s="215"/>
      <c r="AF176" s="215"/>
      <c r="AG176" s="215"/>
      <c r="AH176" s="215"/>
      <c r="AI176" s="215"/>
      <c r="AJ176" s="215"/>
      <c r="AK176" s="215"/>
      <c r="AL176" s="215"/>
      <c r="AM176" s="215"/>
      <c r="AN176" s="215"/>
      <c r="AO176" s="214"/>
      <c r="AP176" s="214"/>
      <c r="AQ176" s="214"/>
      <c r="AR176" s="214"/>
      <c r="AS176" s="214"/>
      <c r="AT176" s="214"/>
      <c r="AU176" s="214"/>
      <c r="AV176" s="215"/>
      <c r="AW176" s="215"/>
      <c r="AX176" s="215"/>
      <c r="AY176" s="215"/>
      <c r="AZ176" s="215"/>
      <c r="BA176" s="215"/>
      <c r="BB176" s="215"/>
      <c r="BC176" s="215"/>
      <c r="BD176" s="215"/>
      <c r="BE176" s="215"/>
      <c r="BF176" s="215"/>
      <c r="BG176" s="215"/>
    </row>
    <row r="177" spans="2:66" s="164" customFormat="1" ht="18.75" customHeight="1">
      <c r="B177" s="215"/>
      <c r="C177" s="526"/>
      <c r="D177" s="526"/>
      <c r="E177" s="526"/>
      <c r="F177" s="526"/>
      <c r="G177" s="526"/>
      <c r="H177" s="214"/>
      <c r="I177" s="214"/>
      <c r="J177" s="214"/>
      <c r="K177" s="214"/>
      <c r="L177" s="214"/>
      <c r="M177" s="214"/>
      <c r="N177" s="214"/>
      <c r="O177" s="214"/>
      <c r="P177" s="214"/>
      <c r="Q177" s="214"/>
      <c r="R177" s="167"/>
      <c r="S177" s="214"/>
      <c r="T177" s="214"/>
      <c r="U177" s="214"/>
      <c r="V177" s="214"/>
      <c r="W177" s="214"/>
      <c r="X177" s="214"/>
      <c r="Y177" s="214"/>
      <c r="Z177" s="214"/>
      <c r="AA177" s="214"/>
      <c r="AB177" s="214"/>
      <c r="AC177" s="215"/>
      <c r="AD177" s="215"/>
      <c r="AE177" s="215"/>
      <c r="AF177" s="215"/>
      <c r="AG177" s="215"/>
      <c r="AH177" s="215"/>
      <c r="AI177" s="215"/>
      <c r="AJ177" s="215"/>
      <c r="AK177" s="215"/>
      <c r="AL177" s="215"/>
      <c r="AM177" s="215"/>
      <c r="AN177" s="215"/>
      <c r="AO177" s="215"/>
      <c r="AP177" s="215"/>
      <c r="AQ177" s="215"/>
      <c r="AR177" s="215"/>
      <c r="AS177" s="215"/>
      <c r="AT177" s="215"/>
      <c r="AU177" s="215"/>
      <c r="AV177" s="215"/>
      <c r="AW177" s="215"/>
      <c r="AX177" s="215"/>
      <c r="AY177" s="215"/>
      <c r="AZ177" s="215"/>
      <c r="BA177" s="215"/>
      <c r="BB177" s="215"/>
      <c r="BC177" s="215"/>
      <c r="BD177" s="215"/>
      <c r="BE177" s="215"/>
      <c r="BF177" s="215"/>
      <c r="BG177" s="215"/>
    </row>
    <row r="178" spans="2:66" s="164" customFormat="1" ht="18.75" customHeight="1">
      <c r="B178" s="215"/>
      <c r="C178" s="214"/>
      <c r="D178" s="214"/>
      <c r="E178" s="214"/>
      <c r="F178" s="214"/>
      <c r="G178" s="215"/>
      <c r="H178" s="214"/>
      <c r="I178" s="214"/>
      <c r="J178" s="214"/>
      <c r="K178" s="214"/>
      <c r="L178" s="214"/>
      <c r="M178" s="214"/>
      <c r="N178" s="214"/>
      <c r="O178" s="214"/>
      <c r="P178" s="214"/>
      <c r="Q178" s="214"/>
      <c r="R178" s="214"/>
      <c r="S178" s="214"/>
      <c r="T178" s="214"/>
      <c r="U178" s="214"/>
      <c r="V178" s="214"/>
      <c r="W178" s="214"/>
      <c r="X178" s="214"/>
      <c r="Y178" s="214"/>
      <c r="Z178" s="214"/>
      <c r="AA178" s="215"/>
      <c r="AB178" s="215"/>
      <c r="AC178" s="215"/>
      <c r="AD178" s="215"/>
      <c r="AE178" s="215"/>
      <c r="AF178" s="215"/>
      <c r="AG178" s="215"/>
      <c r="AH178" s="215"/>
      <c r="AI178" s="215"/>
      <c r="AJ178" s="215"/>
      <c r="AK178" s="215"/>
      <c r="AL178" s="215"/>
      <c r="AM178" s="215"/>
      <c r="AN178" s="215"/>
      <c r="AO178" s="215"/>
      <c r="AP178" s="215"/>
      <c r="AQ178" s="215"/>
      <c r="AR178" s="215"/>
      <c r="AS178" s="215"/>
      <c r="AT178" s="215"/>
      <c r="AU178" s="215"/>
      <c r="AV178" s="215"/>
      <c r="AW178" s="215"/>
      <c r="AX178" s="215"/>
      <c r="AY178" s="215"/>
      <c r="AZ178" s="215"/>
      <c r="BA178" s="215"/>
      <c r="BB178" s="215"/>
      <c r="BC178" s="215"/>
      <c r="BD178" s="215"/>
      <c r="BE178" s="215"/>
      <c r="BF178" s="215"/>
      <c r="BG178" s="215"/>
    </row>
    <row r="179" spans="2:66" s="164" customFormat="1" ht="18.75" customHeight="1">
      <c r="B179" s="57" t="s">
        <v>590</v>
      </c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214"/>
      <c r="Z179" s="214"/>
      <c r="AA179" s="214"/>
      <c r="AB179" s="214"/>
      <c r="AC179" s="214"/>
      <c r="AD179" s="214"/>
      <c r="AE179" s="214"/>
      <c r="AF179" s="214"/>
      <c r="AG179" s="214"/>
      <c r="AH179" s="214"/>
      <c r="AI179" s="214"/>
      <c r="AJ179" s="214"/>
      <c r="AK179" s="214"/>
      <c r="AL179" s="214"/>
      <c r="AM179" s="214"/>
      <c r="AN179" s="214"/>
      <c r="AO179" s="214"/>
      <c r="AP179" s="214"/>
      <c r="AQ179" s="214"/>
      <c r="AR179" s="214"/>
      <c r="AS179" s="214"/>
      <c r="AT179" s="214"/>
      <c r="AU179" s="214"/>
      <c r="AV179" s="214"/>
      <c r="AW179" s="214"/>
      <c r="AX179" s="214"/>
      <c r="AY179" s="214"/>
      <c r="AZ179" s="214"/>
      <c r="BA179" s="214"/>
      <c r="BB179" s="215"/>
      <c r="BC179" s="215"/>
      <c r="BD179" s="215"/>
      <c r="BE179" s="215"/>
      <c r="BF179" s="215"/>
      <c r="BG179" s="215"/>
    </row>
    <row r="180" spans="2:66" s="379" customFormat="1" ht="18.75" customHeight="1">
      <c r="B180" s="57"/>
      <c r="C180" s="214" t="s">
        <v>529</v>
      </c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4"/>
      <c r="O180" s="214"/>
      <c r="P180" s="214"/>
      <c r="Q180" s="214"/>
      <c r="R180" s="214"/>
      <c r="S180" s="215"/>
      <c r="T180" s="214"/>
      <c r="U180" s="214"/>
      <c r="V180" s="214"/>
      <c r="W180" s="214"/>
      <c r="X180" s="214"/>
      <c r="Y180" s="214"/>
      <c r="Z180" s="214"/>
      <c r="AA180" s="214"/>
      <c r="AB180" s="214"/>
      <c r="AC180" s="214"/>
      <c r="AD180" s="215"/>
      <c r="AE180" s="215"/>
      <c r="AF180" s="215"/>
      <c r="AG180" s="215"/>
      <c r="AH180" s="214"/>
      <c r="AI180" s="214"/>
      <c r="AJ180" s="214"/>
      <c r="AK180" s="380"/>
      <c r="AL180" s="380"/>
      <c r="AM180" s="380"/>
      <c r="AN180" s="380"/>
      <c r="AO180" s="380"/>
      <c r="AP180" s="380"/>
      <c r="AQ180" s="380"/>
      <c r="AR180" s="380"/>
      <c r="AS180" s="380"/>
      <c r="AT180" s="380"/>
      <c r="AU180" s="380"/>
      <c r="AV180" s="380"/>
      <c r="AW180" s="380"/>
      <c r="AX180" s="380"/>
      <c r="AY180" s="380"/>
      <c r="AZ180" s="380"/>
      <c r="BA180" s="380"/>
      <c r="BB180" s="378"/>
      <c r="BC180" s="378"/>
      <c r="BD180" s="378"/>
      <c r="BE180" s="378"/>
      <c r="BF180" s="378"/>
      <c r="BG180" s="378"/>
    </row>
    <row r="181" spans="2:66" s="164" customFormat="1" ht="18.75" customHeight="1">
      <c r="B181" s="215"/>
      <c r="C181" s="218" t="s">
        <v>269</v>
      </c>
      <c r="D181" s="215"/>
      <c r="E181" s="215"/>
      <c r="F181" s="215"/>
      <c r="G181" s="215"/>
      <c r="H181" s="529" t="e">
        <f ca="1">H79*10^6</f>
        <v>#N/A</v>
      </c>
      <c r="I181" s="529"/>
      <c r="J181" s="529"/>
      <c r="K181" s="219" t="s">
        <v>243</v>
      </c>
      <c r="L181" s="219"/>
      <c r="M181" s="219"/>
      <c r="N181" s="219"/>
      <c r="O181" s="219"/>
      <c r="P181" s="219"/>
      <c r="Q181" s="214"/>
      <c r="R181" s="214"/>
      <c r="S181" s="214"/>
      <c r="T181" s="214"/>
      <c r="U181" s="214"/>
      <c r="V181" s="214"/>
      <c r="W181" s="214"/>
      <c r="X181" s="214"/>
      <c r="Y181" s="214"/>
      <c r="Z181" s="214"/>
      <c r="AA181" s="214"/>
      <c r="AB181" s="214"/>
      <c r="AC181" s="214"/>
      <c r="AD181" s="214"/>
      <c r="AE181" s="214"/>
      <c r="AF181" s="214"/>
      <c r="AG181" s="214"/>
      <c r="AH181" s="214"/>
      <c r="AI181" s="214"/>
      <c r="AJ181" s="214"/>
      <c r="AK181" s="214"/>
      <c r="AL181" s="214"/>
      <c r="AM181" s="214"/>
      <c r="AN181" s="214"/>
      <c r="AO181" s="214"/>
      <c r="AP181" s="214"/>
      <c r="AQ181" s="214"/>
      <c r="AR181" s="214"/>
      <c r="AS181" s="214"/>
      <c r="AT181" s="215"/>
      <c r="AU181" s="215"/>
      <c r="AV181" s="215"/>
      <c r="AW181" s="215"/>
      <c r="AX181" s="215"/>
      <c r="AY181" s="215"/>
      <c r="AZ181" s="215"/>
      <c r="BA181" s="215"/>
      <c r="BB181" s="215"/>
      <c r="BC181" s="215"/>
      <c r="BD181" s="215"/>
      <c r="BE181" s="215"/>
      <c r="BF181" s="215"/>
      <c r="BG181" s="215"/>
    </row>
    <row r="182" spans="2:66" s="164" customFormat="1" ht="18.75" customHeight="1">
      <c r="B182" s="215"/>
      <c r="C182" s="214" t="s">
        <v>270</v>
      </c>
      <c r="D182" s="214"/>
      <c r="E182" s="214"/>
      <c r="F182" s="214"/>
      <c r="G182" s="214"/>
      <c r="H182" s="214"/>
      <c r="I182" s="215"/>
      <c r="J182" s="214" t="s">
        <v>254</v>
      </c>
      <c r="K182" s="214"/>
      <c r="L182" s="214"/>
      <c r="M182" s="214"/>
      <c r="N182" s="214"/>
      <c r="O182" s="214"/>
      <c r="P182" s="214"/>
      <c r="Q182" s="214"/>
      <c r="R182" s="214"/>
      <c r="S182" s="214"/>
      <c r="T182" s="214"/>
      <c r="U182" s="215"/>
      <c r="V182" s="215"/>
      <c r="W182" s="59"/>
      <c r="X182" s="214"/>
      <c r="Y182" s="214"/>
      <c r="Z182" s="214"/>
      <c r="AA182" s="214"/>
      <c r="AB182" s="214"/>
      <c r="AC182" s="214"/>
      <c r="AD182" s="214"/>
      <c r="AE182" s="214"/>
      <c r="AF182" s="214"/>
      <c r="AG182" s="214"/>
      <c r="AH182" s="214"/>
      <c r="AI182" s="214"/>
      <c r="AJ182" s="214"/>
      <c r="AK182" s="214"/>
      <c r="AL182" s="215"/>
      <c r="AM182" s="215"/>
      <c r="AN182" s="215"/>
      <c r="AO182" s="214"/>
      <c r="AP182" s="214"/>
      <c r="AQ182" s="214"/>
      <c r="AR182" s="214"/>
      <c r="AS182" s="214"/>
      <c r="AT182" s="214"/>
      <c r="AU182" s="214"/>
      <c r="AV182" s="214"/>
      <c r="AW182" s="214"/>
      <c r="AX182" s="214"/>
      <c r="AY182" s="214"/>
      <c r="AZ182" s="214"/>
      <c r="BA182" s="214"/>
      <c r="BB182" s="214"/>
      <c r="BC182" s="214"/>
      <c r="BD182" s="214"/>
      <c r="BE182" s="214"/>
      <c r="BF182" s="214"/>
      <c r="BG182" s="214"/>
      <c r="BH182" s="58"/>
      <c r="BI182" s="58"/>
      <c r="BJ182" s="58"/>
      <c r="BK182" s="58"/>
      <c r="BL182" s="58"/>
      <c r="BM182" s="58"/>
    </row>
    <row r="183" spans="2:66" s="164" customFormat="1" ht="18.75" customHeight="1">
      <c r="B183" s="215"/>
      <c r="C183" s="214"/>
      <c r="D183" s="214"/>
      <c r="E183" s="214"/>
      <c r="F183" s="214"/>
      <c r="G183" s="214"/>
      <c r="H183" s="214"/>
      <c r="I183" s="215"/>
      <c r="J183" s="214" t="s">
        <v>255</v>
      </c>
      <c r="K183" s="214"/>
      <c r="L183" s="214"/>
      <c r="M183" s="214"/>
      <c r="N183" s="214"/>
      <c r="O183" s="214"/>
      <c r="P183" s="214"/>
      <c r="Q183" s="214"/>
      <c r="R183" s="214"/>
      <c r="S183" s="214"/>
      <c r="T183" s="215"/>
      <c r="U183" s="214"/>
      <c r="V183" s="59"/>
      <c r="W183" s="214"/>
      <c r="X183" s="214"/>
      <c r="Y183" s="214"/>
      <c r="Z183" s="214"/>
      <c r="AA183" s="214"/>
      <c r="AB183" s="214"/>
      <c r="AC183" s="214"/>
      <c r="AD183" s="215"/>
      <c r="AE183" s="214"/>
      <c r="AF183" s="214"/>
      <c r="AG183" s="214"/>
      <c r="AH183" s="214"/>
      <c r="AI183" s="214"/>
      <c r="AJ183" s="214"/>
      <c r="AK183" s="215"/>
      <c r="AL183" s="215"/>
      <c r="AM183" s="215"/>
      <c r="AN183" s="215"/>
      <c r="AO183" s="214"/>
      <c r="AP183" s="214"/>
      <c r="AQ183" s="214"/>
      <c r="AR183" s="214"/>
      <c r="AS183" s="214"/>
      <c r="AT183" s="214"/>
      <c r="AU183" s="214"/>
      <c r="AV183" s="214"/>
      <c r="AW183" s="214"/>
      <c r="AX183" s="214"/>
      <c r="AY183" s="214"/>
      <c r="AZ183" s="214"/>
      <c r="BA183" s="214"/>
      <c r="BB183" s="214"/>
      <c r="BC183" s="214"/>
      <c r="BD183" s="214"/>
      <c r="BE183" s="214"/>
      <c r="BF183" s="214"/>
      <c r="BG183" s="214"/>
      <c r="BH183" s="58"/>
      <c r="BI183" s="58"/>
      <c r="BJ183" s="58"/>
      <c r="BK183" s="58"/>
      <c r="BL183" s="58"/>
      <c r="BM183" s="58"/>
      <c r="BN183" s="58"/>
    </row>
    <row r="184" spans="2:66" s="164" customFormat="1" ht="18.75" customHeight="1">
      <c r="B184" s="215"/>
      <c r="C184" s="214"/>
      <c r="D184" s="214"/>
      <c r="E184" s="214"/>
      <c r="F184" s="214"/>
      <c r="G184" s="214"/>
      <c r="H184" s="214"/>
      <c r="I184" s="215"/>
      <c r="K184" s="218" t="s">
        <v>249</v>
      </c>
      <c r="L184" s="218"/>
      <c r="M184" s="218"/>
      <c r="N184" s="218"/>
      <c r="O184" s="218"/>
      <c r="P184" s="218"/>
      <c r="Q184" s="218"/>
      <c r="R184" s="218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166"/>
      <c r="AG184" s="214"/>
      <c r="AH184" s="214"/>
      <c r="AI184" s="214"/>
      <c r="AJ184" s="214"/>
      <c r="AK184" s="215"/>
      <c r="AL184" s="215"/>
      <c r="AM184" s="215"/>
      <c r="AN184" s="215"/>
      <c r="AO184" s="214"/>
      <c r="AP184" s="214"/>
      <c r="AQ184" s="214"/>
      <c r="AR184" s="214"/>
      <c r="AS184" s="214"/>
      <c r="AT184" s="214"/>
      <c r="AU184" s="214"/>
      <c r="AV184" s="214"/>
      <c r="AW184" s="214"/>
      <c r="AX184" s="214"/>
      <c r="AY184" s="214"/>
      <c r="AZ184" s="214"/>
      <c r="BA184" s="214"/>
      <c r="BB184" s="214"/>
      <c r="BC184" s="214"/>
      <c r="BD184" s="214"/>
      <c r="BE184" s="214"/>
      <c r="BF184" s="214"/>
      <c r="BG184" s="214"/>
      <c r="BH184" s="58"/>
      <c r="BI184" s="58"/>
      <c r="BJ184" s="58"/>
      <c r="BK184" s="58"/>
      <c r="BL184" s="58"/>
      <c r="BM184" s="58"/>
      <c r="BN184" s="58"/>
    </row>
    <row r="185" spans="2:66" s="164" customFormat="1" ht="18.75" customHeight="1">
      <c r="B185" s="215"/>
      <c r="C185" s="214"/>
      <c r="D185" s="214"/>
      <c r="E185" s="214"/>
      <c r="F185" s="214"/>
      <c r="G185" s="214"/>
      <c r="H185" s="214"/>
      <c r="I185" s="215"/>
      <c r="J185" s="215"/>
      <c r="K185" s="108"/>
      <c r="L185" s="108"/>
      <c r="M185" s="215"/>
      <c r="N185" s="215"/>
      <c r="O185" s="215"/>
      <c r="P185" s="215"/>
      <c r="Q185" s="215"/>
      <c r="R185" s="215"/>
      <c r="S185" s="524"/>
      <c r="T185" s="524"/>
      <c r="U185" s="524"/>
      <c r="V185" s="524"/>
      <c r="W185" s="524"/>
      <c r="X185" s="524"/>
      <c r="Y185" s="215"/>
      <c r="Z185" s="214"/>
      <c r="AA185" s="166"/>
      <c r="AB185" s="166"/>
      <c r="AC185" s="166"/>
      <c r="AD185" s="166"/>
      <c r="AE185" s="166"/>
      <c r="AF185" s="215"/>
      <c r="AG185" s="166"/>
      <c r="AH185" s="166"/>
      <c r="AI185" s="166"/>
      <c r="AJ185" s="166"/>
      <c r="AK185" s="215"/>
      <c r="AL185" s="167"/>
      <c r="AM185" s="167"/>
      <c r="AN185" s="167"/>
      <c r="AO185" s="167"/>
      <c r="AP185" s="214"/>
      <c r="AQ185" s="214"/>
      <c r="AR185" s="214"/>
      <c r="AS185" s="214"/>
      <c r="AT185" s="214"/>
      <c r="AU185" s="214"/>
      <c r="AV185" s="214"/>
      <c r="AW185" s="214"/>
      <c r="AX185" s="214"/>
      <c r="AY185" s="214"/>
      <c r="AZ185" s="214"/>
      <c r="BA185" s="214"/>
      <c r="BB185" s="214"/>
      <c r="BC185" s="214"/>
      <c r="BD185" s="214"/>
      <c r="BE185" s="214"/>
      <c r="BF185" s="214"/>
      <c r="BG185" s="214"/>
      <c r="BH185" s="58"/>
      <c r="BI185" s="58"/>
      <c r="BJ185" s="58"/>
      <c r="BK185" s="58"/>
      <c r="BL185" s="58"/>
    </row>
    <row r="186" spans="2:66" s="164" customFormat="1" ht="18.75" customHeight="1">
      <c r="B186" s="215"/>
      <c r="C186" s="214" t="s">
        <v>271</v>
      </c>
      <c r="D186" s="214"/>
      <c r="E186" s="214"/>
      <c r="F186" s="214"/>
      <c r="G186" s="214"/>
      <c r="H186" s="214"/>
      <c r="I186" s="524" t="str">
        <f>AB79</f>
        <v>삼각형</v>
      </c>
      <c r="J186" s="524"/>
      <c r="K186" s="524"/>
      <c r="L186" s="524"/>
      <c r="M186" s="524"/>
      <c r="N186" s="524"/>
      <c r="O186" s="524"/>
      <c r="P186" s="524"/>
      <c r="Q186" s="214"/>
      <c r="R186" s="214"/>
      <c r="S186" s="214"/>
      <c r="T186" s="214"/>
      <c r="U186" s="214"/>
      <c r="V186" s="214"/>
      <c r="W186" s="214"/>
      <c r="X186" s="214"/>
      <c r="Y186" s="214"/>
      <c r="Z186" s="214"/>
      <c r="AA186" s="215"/>
      <c r="AB186" s="215"/>
      <c r="AC186" s="215"/>
      <c r="AD186" s="215"/>
      <c r="AE186" s="215"/>
      <c r="AF186" s="109"/>
      <c r="AG186" s="215"/>
      <c r="AH186" s="215"/>
      <c r="AI186" s="214"/>
      <c r="AJ186" s="214"/>
      <c r="AK186" s="214"/>
      <c r="AL186" s="214"/>
      <c r="AM186" s="214"/>
      <c r="AN186" s="214"/>
      <c r="AO186" s="214"/>
      <c r="AP186" s="214"/>
      <c r="AQ186" s="214"/>
      <c r="AR186" s="214"/>
      <c r="AS186" s="214"/>
      <c r="AT186" s="214"/>
      <c r="AU186" s="214"/>
      <c r="AV186" s="214"/>
      <c r="AW186" s="214"/>
      <c r="AX186" s="214"/>
      <c r="AY186" s="214"/>
      <c r="AZ186" s="214"/>
      <c r="BA186" s="214"/>
      <c r="BB186" s="214"/>
      <c r="BC186" s="214"/>
      <c r="BD186" s="214"/>
      <c r="BE186" s="214"/>
      <c r="BF186" s="214"/>
      <c r="BG186" s="214"/>
      <c r="BH186" s="58"/>
      <c r="BI186" s="58"/>
      <c r="BJ186" s="58"/>
      <c r="BK186" s="58"/>
      <c r="BL186" s="58"/>
      <c r="BM186" s="58"/>
      <c r="BN186" s="58"/>
    </row>
    <row r="187" spans="2:66" s="164" customFormat="1" ht="18.75" customHeight="1">
      <c r="B187" s="215"/>
      <c r="C187" s="214" t="s">
        <v>272</v>
      </c>
      <c r="D187" s="214"/>
      <c r="E187" s="214"/>
      <c r="F187" s="214"/>
      <c r="G187" s="214"/>
      <c r="H187" s="214"/>
      <c r="I187" s="214" t="str">
        <f>"※ 열평형 상태에서 교정대상기기와 기준기의 평균 온도와 기준온도와의 차가 최대 ±"&amp;ROUND(ABS(Q189),5)&amp;" ℃이내에서"</f>
        <v>※ 열평형 상태에서 교정대상기기와 기준기의 평균 온도와 기준온도와의 차가 최대 ±0.3 ℃이내에서</v>
      </c>
      <c r="J187" s="218"/>
      <c r="K187" s="218"/>
      <c r="L187" s="218"/>
      <c r="M187" s="218"/>
      <c r="N187" s="218"/>
      <c r="O187" s="218"/>
      <c r="P187" s="218"/>
      <c r="Q187" s="214"/>
      <c r="R187" s="214"/>
      <c r="S187" s="214"/>
      <c r="T187" s="214"/>
      <c r="U187" s="214"/>
      <c r="V187" s="214"/>
      <c r="W187" s="214"/>
      <c r="X187" s="214"/>
      <c r="Y187" s="214"/>
      <c r="Z187" s="214"/>
      <c r="AA187" s="215"/>
      <c r="AB187" s="215"/>
      <c r="AC187" s="215"/>
      <c r="AD187" s="215"/>
      <c r="AE187" s="215"/>
      <c r="AF187" s="109"/>
      <c r="AG187" s="215"/>
      <c r="AH187" s="215"/>
      <c r="AI187" s="214"/>
      <c r="AJ187" s="214"/>
      <c r="AK187" s="214"/>
      <c r="AL187" s="214"/>
      <c r="AM187" s="214"/>
      <c r="AN187" s="214"/>
      <c r="AO187" s="214"/>
      <c r="AP187" s="214"/>
      <c r="AQ187" s="214"/>
      <c r="AR187" s="214"/>
      <c r="AS187" s="214"/>
      <c r="AT187" s="214"/>
      <c r="AU187" s="214"/>
      <c r="AV187" s="214"/>
      <c r="AW187" s="214"/>
      <c r="AX187" s="214"/>
      <c r="AY187" s="214"/>
      <c r="AZ187" s="214"/>
      <c r="BA187" s="214"/>
      <c r="BB187" s="214"/>
      <c r="BC187" s="214"/>
      <c r="BD187" s="214"/>
      <c r="BE187" s="214"/>
      <c r="BF187" s="214"/>
      <c r="BG187" s="214"/>
      <c r="BH187" s="58"/>
      <c r="BI187" s="58"/>
      <c r="BJ187" s="58"/>
      <c r="BK187" s="58"/>
      <c r="BL187" s="58"/>
      <c r="BM187" s="58"/>
      <c r="BN187" s="58"/>
    </row>
    <row r="188" spans="2:66" s="164" customFormat="1" ht="18.75" customHeight="1">
      <c r="B188" s="215"/>
      <c r="C188" s="214"/>
      <c r="D188" s="214"/>
      <c r="E188" s="214"/>
      <c r="F188" s="214"/>
      <c r="G188" s="214"/>
      <c r="H188" s="214"/>
      <c r="I188" s="214"/>
      <c r="J188" s="218" t="s">
        <v>473</v>
      </c>
      <c r="K188" s="218"/>
      <c r="L188" s="218"/>
      <c r="M188" s="218"/>
      <c r="N188" s="218"/>
      <c r="O188" s="218"/>
      <c r="P188" s="218"/>
      <c r="Q188" s="214"/>
      <c r="R188" s="214"/>
      <c r="S188" s="214"/>
      <c r="T188" s="214"/>
      <c r="U188" s="214"/>
      <c r="V188" s="214"/>
      <c r="W188" s="214"/>
      <c r="X188" s="214"/>
      <c r="Y188" s="214"/>
      <c r="Z188" s="214"/>
      <c r="AA188" s="215"/>
      <c r="AB188" s="215"/>
      <c r="AC188" s="215"/>
      <c r="AD188" s="215"/>
      <c r="AE188" s="215"/>
      <c r="AF188" s="109"/>
      <c r="AG188" s="215"/>
      <c r="AH188" s="215"/>
      <c r="AI188" s="214"/>
      <c r="AJ188" s="214"/>
      <c r="AK188" s="214"/>
      <c r="AL188" s="214"/>
      <c r="AM188" s="214"/>
      <c r="AN188" s="214"/>
      <c r="AO188" s="214"/>
      <c r="AP188" s="214"/>
      <c r="AQ188" s="214"/>
      <c r="AR188" s="214"/>
      <c r="AS188" s="214"/>
      <c r="AT188" s="214"/>
      <c r="AU188" s="214"/>
      <c r="AV188" s="214"/>
      <c r="AW188" s="214"/>
      <c r="AX188" s="214"/>
      <c r="AY188" s="214"/>
      <c r="AZ188" s="214"/>
      <c r="BA188" s="214"/>
      <c r="BB188" s="214"/>
      <c r="BC188" s="214"/>
      <c r="BD188" s="214"/>
      <c r="BE188" s="214"/>
      <c r="BF188" s="214"/>
      <c r="BG188" s="214"/>
      <c r="BH188" s="58"/>
      <c r="BI188" s="58"/>
      <c r="BJ188" s="58"/>
      <c r="BK188" s="58"/>
      <c r="BL188" s="58"/>
      <c r="BM188" s="58"/>
      <c r="BN188" s="58"/>
    </row>
    <row r="189" spans="2:66" s="164" customFormat="1" ht="18.75" customHeight="1">
      <c r="B189" s="215"/>
      <c r="D189" s="214"/>
      <c r="E189" s="214"/>
      <c r="F189" s="214"/>
      <c r="G189" s="214"/>
      <c r="H189" s="214"/>
      <c r="I189" s="214"/>
      <c r="J189" s="215"/>
      <c r="K189" s="214"/>
      <c r="L189" s="214"/>
      <c r="M189" s="214"/>
      <c r="N189" s="214"/>
      <c r="O189" s="214"/>
      <c r="P189" s="214"/>
      <c r="Q189" s="516">
        <f>-Calcu!G51</f>
        <v>-0.3</v>
      </c>
      <c r="R189" s="516"/>
      <c r="S189" s="526" t="s">
        <v>579</v>
      </c>
      <c r="T189" s="526"/>
      <c r="U189" s="526"/>
      <c r="V189" s="526"/>
      <c r="W189" s="526"/>
      <c r="X189" s="526"/>
      <c r="Y189" s="523" t="s">
        <v>577</v>
      </c>
      <c r="Z189" s="516">
        <f>Q189*1000</f>
        <v>-300</v>
      </c>
      <c r="AA189" s="516"/>
      <c r="AB189" s="526" t="s">
        <v>458</v>
      </c>
      <c r="AC189" s="526"/>
      <c r="AD189" s="526"/>
      <c r="AE189" s="526"/>
      <c r="AF189" s="526"/>
      <c r="AG189" s="219"/>
      <c r="AH189" s="219"/>
      <c r="AI189" s="214"/>
      <c r="AJ189" s="214"/>
      <c r="AK189" s="214"/>
      <c r="AL189" s="214"/>
      <c r="AN189" s="214"/>
      <c r="AO189" s="214"/>
      <c r="AP189" s="214"/>
      <c r="AQ189" s="214"/>
      <c r="AR189" s="215"/>
      <c r="AS189" s="215"/>
      <c r="AT189" s="215"/>
      <c r="AU189" s="215"/>
      <c r="AV189" s="215"/>
      <c r="AW189" s="215"/>
      <c r="AX189" s="215"/>
      <c r="AY189" s="215"/>
      <c r="AZ189" s="215"/>
      <c r="BA189" s="214"/>
      <c r="BB189" s="214"/>
      <c r="BC189" s="214"/>
      <c r="BD189" s="214"/>
      <c r="BE189" s="214"/>
      <c r="BF189" s="214"/>
      <c r="BG189" s="214"/>
      <c r="BH189" s="58"/>
      <c r="BI189" s="58"/>
      <c r="BJ189" s="58"/>
      <c r="BK189" s="58"/>
      <c r="BL189" s="58"/>
      <c r="BM189" s="58"/>
      <c r="BN189" s="58"/>
    </row>
    <row r="190" spans="2:66" s="164" customFormat="1" ht="18.75" customHeight="1">
      <c r="B190" s="215"/>
      <c r="C190" s="214"/>
      <c r="D190" s="214"/>
      <c r="E190" s="214"/>
      <c r="F190" s="214"/>
      <c r="G190" s="214"/>
      <c r="H190" s="214"/>
      <c r="I190" s="214"/>
      <c r="J190" s="214"/>
      <c r="K190" s="214"/>
      <c r="L190" s="214"/>
      <c r="M190" s="214"/>
      <c r="N190" s="214"/>
      <c r="O190" s="214"/>
      <c r="P190" s="215"/>
      <c r="Q190" s="516"/>
      <c r="R190" s="516"/>
      <c r="S190" s="526"/>
      <c r="T190" s="526"/>
      <c r="U190" s="526"/>
      <c r="V190" s="526"/>
      <c r="W190" s="526"/>
      <c r="X190" s="526"/>
      <c r="Y190" s="523"/>
      <c r="Z190" s="516"/>
      <c r="AA190" s="516"/>
      <c r="AB190" s="526"/>
      <c r="AC190" s="526"/>
      <c r="AD190" s="526"/>
      <c r="AE190" s="526"/>
      <c r="AF190" s="526"/>
      <c r="AG190" s="219"/>
      <c r="AH190" s="219"/>
      <c r="AI190" s="214"/>
      <c r="AK190" s="214"/>
      <c r="AL190" s="214"/>
      <c r="AN190" s="214"/>
      <c r="AO190" s="214"/>
      <c r="AP190" s="214"/>
      <c r="AQ190" s="214"/>
      <c r="AR190" s="215"/>
      <c r="AS190" s="215"/>
      <c r="AT190" s="215"/>
      <c r="AU190" s="215"/>
      <c r="AV190" s="215"/>
      <c r="AW190" s="215"/>
      <c r="AX190" s="215"/>
      <c r="AY190" s="215"/>
      <c r="AZ190" s="215"/>
      <c r="BA190" s="214"/>
      <c r="BB190" s="214"/>
      <c r="BC190" s="214"/>
      <c r="BD190" s="214"/>
      <c r="BE190" s="214"/>
      <c r="BF190" s="214"/>
      <c r="BG190" s="214"/>
      <c r="BH190" s="58"/>
      <c r="BI190" s="58"/>
      <c r="BJ190" s="58"/>
    </row>
    <row r="191" spans="2:66" s="164" customFormat="1" ht="18.75" customHeight="1">
      <c r="B191" s="215"/>
      <c r="C191" s="214" t="s">
        <v>273</v>
      </c>
      <c r="D191" s="214"/>
      <c r="E191" s="214"/>
      <c r="F191" s="214"/>
      <c r="G191" s="214"/>
      <c r="H191" s="214"/>
      <c r="I191" s="214"/>
      <c r="J191" s="215"/>
      <c r="K191" s="215" t="s">
        <v>80</v>
      </c>
      <c r="L191" s="527">
        <f>Z189</f>
        <v>-300</v>
      </c>
      <c r="M191" s="527"/>
      <c r="N191" s="167" t="s">
        <v>474</v>
      </c>
      <c r="O191" s="220"/>
      <c r="Q191" s="215"/>
      <c r="R191" s="215"/>
      <c r="S191" s="215"/>
      <c r="T191" s="215"/>
      <c r="U191" s="215"/>
      <c r="V191" s="215"/>
      <c r="W191" s="215"/>
      <c r="X191" s="215"/>
      <c r="Y191" s="215" t="s">
        <v>80</v>
      </c>
      <c r="Z191" s="215" t="s">
        <v>239</v>
      </c>
      <c r="AA191" s="525">
        <f>ABS(L191*O79)</f>
        <v>2.4494897427831784E-4</v>
      </c>
      <c r="AB191" s="525"/>
      <c r="AC191" s="525"/>
      <c r="AD191" s="531"/>
      <c r="AE191" s="214" t="s">
        <v>459</v>
      </c>
      <c r="AF191" s="218"/>
      <c r="AG191" s="215"/>
      <c r="AH191" s="215"/>
      <c r="AJ191" s="214"/>
      <c r="AK191" s="214"/>
      <c r="AL191" s="214"/>
      <c r="AM191" s="214"/>
      <c r="AN191" s="215"/>
      <c r="AO191" s="215"/>
      <c r="AP191" s="215"/>
      <c r="AQ191" s="215"/>
      <c r="AR191" s="215"/>
      <c r="AS191" s="167"/>
      <c r="AT191" s="214"/>
      <c r="AU191" s="214"/>
      <c r="AV191" s="214"/>
      <c r="AW191" s="168"/>
      <c r="AX191" s="167"/>
      <c r="AY191" s="214"/>
      <c r="AZ191" s="214"/>
      <c r="BA191" s="214"/>
      <c r="BB191" s="214"/>
      <c r="BC191" s="214"/>
      <c r="BD191" s="214"/>
      <c r="BE191" s="215"/>
      <c r="BF191" s="214"/>
      <c r="BG191" s="214"/>
      <c r="BH191" s="58"/>
      <c r="BI191" s="58"/>
      <c r="BJ191" s="58"/>
    </row>
    <row r="192" spans="2:66" s="58" customFormat="1" ht="18.75" customHeight="1">
      <c r="B192" s="57"/>
      <c r="C192" s="247" t="s">
        <v>275</v>
      </c>
      <c r="D192" s="247"/>
      <c r="E192" s="247"/>
      <c r="F192" s="247"/>
      <c r="G192" s="247"/>
      <c r="H192" s="108"/>
      <c r="I192" s="214" t="s">
        <v>471</v>
      </c>
      <c r="J192" s="108"/>
      <c r="K192" s="108"/>
      <c r="L192" s="247"/>
      <c r="M192" s="247"/>
      <c r="N192" s="247"/>
      <c r="O192" s="247"/>
      <c r="P192" s="247"/>
      <c r="Q192" s="247"/>
      <c r="R192" s="247"/>
      <c r="S192" s="247"/>
      <c r="T192" s="247"/>
      <c r="U192" s="247"/>
      <c r="V192" s="247"/>
      <c r="W192" s="247"/>
      <c r="X192" s="247"/>
      <c r="Y192" s="247"/>
      <c r="Z192" s="247"/>
      <c r="AA192" s="247"/>
      <c r="AB192" s="247"/>
      <c r="AC192" s="247"/>
      <c r="AD192" s="247"/>
      <c r="AE192" s="247"/>
      <c r="AF192" s="247"/>
      <c r="AG192" s="247"/>
      <c r="AH192" s="247"/>
      <c r="AI192" s="247"/>
      <c r="AJ192" s="247"/>
      <c r="AK192" s="247"/>
      <c r="AL192" s="247"/>
      <c r="AM192" s="247"/>
      <c r="AN192" s="247"/>
      <c r="AO192" s="247"/>
      <c r="AP192" s="247"/>
      <c r="AQ192" s="247"/>
      <c r="AR192" s="247"/>
      <c r="AS192" s="247"/>
      <c r="AT192" s="247"/>
      <c r="AU192" s="247"/>
      <c r="AV192" s="247"/>
      <c r="AW192" s="247"/>
      <c r="AX192" s="247"/>
      <c r="AY192" s="247"/>
      <c r="AZ192" s="247"/>
      <c r="BA192" s="247"/>
      <c r="BB192" s="247"/>
      <c r="BC192" s="247"/>
      <c r="BD192" s="247"/>
      <c r="BE192" s="247"/>
      <c r="BF192" s="247"/>
      <c r="BG192" s="247"/>
      <c r="BH192" s="247"/>
    </row>
    <row r="193" spans="2:74" s="164" customFormat="1" ht="18.75" customHeight="1">
      <c r="B193" s="215"/>
      <c r="C193" s="214"/>
      <c r="D193" s="214"/>
      <c r="E193" s="214"/>
      <c r="F193" s="214"/>
      <c r="G193" s="214"/>
      <c r="H193" s="108"/>
      <c r="I193" s="108"/>
      <c r="J193" s="108"/>
      <c r="K193" s="108"/>
      <c r="L193" s="247"/>
      <c r="M193" s="247"/>
      <c r="N193" s="247"/>
      <c r="O193" s="247"/>
      <c r="P193" s="247"/>
      <c r="Q193" s="247"/>
      <c r="R193" s="215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  <c r="AC193" s="215"/>
      <c r="AD193" s="215"/>
      <c r="AE193" s="215"/>
      <c r="AF193" s="215"/>
      <c r="AG193" s="215"/>
      <c r="AH193" s="215"/>
      <c r="AI193" s="215"/>
      <c r="AJ193" s="214"/>
      <c r="AK193" s="215"/>
      <c r="AL193" s="215"/>
      <c r="AM193" s="215"/>
      <c r="AN193" s="214"/>
      <c r="AO193" s="214"/>
      <c r="AP193" s="214"/>
      <c r="AQ193" s="214"/>
      <c r="AR193" s="214"/>
      <c r="AS193" s="214"/>
      <c r="AT193" s="214"/>
      <c r="AU193" s="214"/>
      <c r="AV193" s="214"/>
      <c r="AW193" s="214"/>
      <c r="AX193" s="214"/>
      <c r="AY193" s="214"/>
      <c r="AZ193" s="214"/>
      <c r="BA193" s="214"/>
      <c r="BB193" s="214"/>
      <c r="BC193" s="214"/>
      <c r="BD193" s="214"/>
      <c r="BE193" s="214"/>
      <c r="BF193" s="214"/>
      <c r="BG193" s="214"/>
    </row>
    <row r="194" spans="2:74" s="214" customFormat="1" ht="18.75" customHeight="1">
      <c r="B194" s="215"/>
      <c r="H194" s="215"/>
      <c r="I194" s="108"/>
      <c r="L194" s="247"/>
      <c r="M194" s="247"/>
      <c r="N194" s="247"/>
      <c r="O194" s="247"/>
      <c r="P194" s="247"/>
      <c r="Q194" s="247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  <c r="AC194" s="215"/>
      <c r="AD194" s="215"/>
      <c r="AE194" s="215"/>
      <c r="AF194" s="215"/>
      <c r="AG194" s="215"/>
      <c r="AH194" s="215"/>
      <c r="AI194" s="215"/>
      <c r="AK194" s="215"/>
      <c r="AL194" s="215"/>
      <c r="AM194" s="215"/>
    </row>
    <row r="195" spans="2:74" s="214" customFormat="1" ht="18.75" customHeight="1">
      <c r="B195" s="215"/>
      <c r="H195" s="215"/>
      <c r="I195" s="108"/>
      <c r="L195" s="247"/>
      <c r="M195" s="247"/>
      <c r="N195" s="247"/>
      <c r="O195" s="247"/>
      <c r="P195" s="247"/>
      <c r="Q195" s="247"/>
      <c r="R195" s="215"/>
      <c r="S195" s="215"/>
      <c r="T195" s="215"/>
      <c r="X195" s="523">
        <f>BC79</f>
        <v>100.00000000000004</v>
      </c>
      <c r="Y195" s="523"/>
      <c r="Z195" s="523"/>
      <c r="AA195" s="215"/>
      <c r="AB195" s="215"/>
      <c r="AC195" s="215"/>
      <c r="AD195" s="215"/>
      <c r="AE195" s="215"/>
      <c r="AF195" s="215"/>
      <c r="AG195" s="215"/>
      <c r="AH195" s="215"/>
      <c r="AI195" s="215"/>
      <c r="AK195" s="215"/>
      <c r="AL195" s="215"/>
      <c r="AM195" s="215"/>
    </row>
    <row r="196" spans="2:74" s="214" customFormat="1" ht="18.75" customHeight="1">
      <c r="B196" s="215"/>
      <c r="H196" s="215"/>
      <c r="I196" s="108"/>
      <c r="L196" s="247"/>
      <c r="M196" s="247"/>
      <c r="N196" s="247"/>
      <c r="O196" s="247"/>
      <c r="P196" s="247"/>
      <c r="Q196" s="247"/>
      <c r="R196" s="215"/>
      <c r="S196" s="215"/>
      <c r="T196" s="215"/>
      <c r="X196" s="523"/>
      <c r="Y196" s="523"/>
      <c r="Z196" s="523"/>
      <c r="AA196" s="215"/>
      <c r="AB196" s="215"/>
      <c r="AC196" s="215"/>
      <c r="AD196" s="215"/>
      <c r="AE196" s="215"/>
      <c r="AF196" s="215"/>
      <c r="AG196" s="215"/>
      <c r="AH196" s="215"/>
      <c r="AI196" s="215"/>
      <c r="AK196" s="215"/>
      <c r="AL196" s="215"/>
      <c r="AM196" s="215"/>
    </row>
    <row r="197" spans="2:74" ht="18.75" customHeight="1">
      <c r="B197" s="215"/>
      <c r="C197" s="214"/>
      <c r="D197" s="214"/>
      <c r="E197" s="214"/>
      <c r="F197" s="214"/>
      <c r="G197" s="214"/>
      <c r="H197" s="215"/>
      <c r="I197" s="108"/>
      <c r="J197" s="214"/>
      <c r="K197" s="214"/>
      <c r="L197" s="247"/>
      <c r="M197" s="247"/>
      <c r="N197" s="247"/>
      <c r="O197" s="247"/>
      <c r="P197" s="247"/>
      <c r="Q197" s="247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  <c r="AC197" s="215"/>
      <c r="AD197" s="215"/>
      <c r="AE197" s="215"/>
      <c r="AF197" s="215"/>
      <c r="AG197" s="215"/>
      <c r="AH197" s="215"/>
      <c r="AI197" s="215"/>
      <c r="AJ197" s="214"/>
      <c r="AK197" s="215"/>
      <c r="AL197" s="215"/>
      <c r="AM197" s="215"/>
      <c r="AN197" s="214"/>
      <c r="AO197" s="214"/>
      <c r="AP197" s="214"/>
      <c r="AQ197" s="214"/>
      <c r="AR197" s="214"/>
      <c r="AS197" s="214"/>
      <c r="AT197" s="214"/>
      <c r="AU197" s="214"/>
      <c r="AV197" s="214"/>
      <c r="AW197" s="214"/>
      <c r="AX197" s="214"/>
      <c r="AY197" s="214"/>
      <c r="AZ197" s="214"/>
      <c r="BA197" s="214"/>
      <c r="BB197" s="214"/>
      <c r="BC197" s="214"/>
      <c r="BD197" s="214"/>
      <c r="BE197" s="214"/>
      <c r="BF197" s="214"/>
      <c r="BG197" s="214"/>
    </row>
    <row r="198" spans="2:74" s="164" customFormat="1" ht="18.75" customHeight="1">
      <c r="B198" s="215"/>
      <c r="C198" s="214"/>
      <c r="D198" s="214"/>
      <c r="E198" s="214"/>
      <c r="F198" s="214"/>
      <c r="G198" s="215"/>
      <c r="H198" s="108"/>
      <c r="I198" s="214"/>
      <c r="J198" s="214"/>
      <c r="K198" s="214"/>
      <c r="L198" s="214"/>
      <c r="M198" s="214"/>
      <c r="N198" s="214"/>
      <c r="O198" s="214"/>
      <c r="P198" s="214"/>
      <c r="Q198" s="214"/>
      <c r="R198" s="167"/>
      <c r="S198" s="214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4"/>
      <c r="AD198" s="214"/>
      <c r="AE198" s="215"/>
      <c r="AF198" s="215"/>
      <c r="AG198" s="215"/>
      <c r="AH198" s="215"/>
      <c r="AI198" s="215"/>
      <c r="AJ198" s="215"/>
      <c r="AK198" s="215"/>
      <c r="AL198" s="215"/>
      <c r="AM198" s="215"/>
      <c r="AN198" s="215"/>
      <c r="AO198" s="215"/>
      <c r="AP198" s="215"/>
      <c r="AQ198" s="215"/>
      <c r="AR198" s="215"/>
      <c r="AS198" s="215"/>
      <c r="AT198" s="215"/>
      <c r="AU198" s="215"/>
      <c r="AV198" s="215"/>
      <c r="AW198" s="215"/>
      <c r="AX198" s="215"/>
      <c r="AY198" s="215"/>
      <c r="AZ198" s="215"/>
      <c r="BA198" s="215"/>
      <c r="BB198" s="215"/>
      <c r="BC198" s="215"/>
      <c r="BD198" s="215"/>
      <c r="BE198" s="215"/>
      <c r="BF198" s="215"/>
      <c r="BG198" s="215"/>
    </row>
    <row r="199" spans="2:74" s="164" customFormat="1" ht="18.75" customHeight="1">
      <c r="B199" s="57" t="s">
        <v>591</v>
      </c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4"/>
      <c r="O199" s="214"/>
      <c r="P199" s="214"/>
      <c r="Q199" s="214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4"/>
      <c r="AD199" s="214"/>
      <c r="AE199" s="214"/>
      <c r="AF199" s="214"/>
      <c r="AG199" s="214"/>
      <c r="AH199" s="214"/>
      <c r="AI199" s="214"/>
      <c r="AJ199" s="214"/>
      <c r="AK199" s="214"/>
      <c r="AL199" s="214"/>
      <c r="AM199" s="214"/>
      <c r="AN199" s="214"/>
      <c r="AO199" s="214"/>
      <c r="AP199" s="214"/>
      <c r="AQ199" s="214"/>
      <c r="AR199" s="214"/>
      <c r="AS199" s="214"/>
      <c r="AT199" s="214"/>
      <c r="AU199" s="214"/>
      <c r="AV199" s="214"/>
      <c r="AW199" s="214"/>
      <c r="AX199" s="214"/>
      <c r="AY199" s="214"/>
      <c r="AZ199" s="214"/>
      <c r="BA199" s="214"/>
      <c r="BB199" s="214"/>
      <c r="BC199" s="214"/>
      <c r="BD199" s="214"/>
      <c r="BE199" s="214"/>
      <c r="BF199" s="214"/>
      <c r="BG199" s="214"/>
      <c r="BH199" s="58"/>
      <c r="BI199" s="58"/>
      <c r="BJ199" s="58"/>
      <c r="BK199" s="58"/>
      <c r="BL199" s="58"/>
      <c r="BM199" s="58"/>
      <c r="BN199" s="58"/>
    </row>
    <row r="200" spans="2:74" s="379" customFormat="1" ht="18.75" customHeight="1">
      <c r="B200" s="57"/>
      <c r="C200" s="380" t="str">
        <f>"※ 측정실 공기중의 온도를 측정하였고, 측정에 사용된 온도계의 불확도가 "&amp;M203&amp;" ℃를 넘지 않으므로,"</f>
        <v>※ 측정실 공기중의 온도를 측정하였고, 측정에 사용된 온도계의 불확도가 1 ℃를 넘지 않으므로,</v>
      </c>
      <c r="D200" s="380"/>
      <c r="E200" s="380"/>
      <c r="F200" s="380"/>
      <c r="G200" s="380"/>
      <c r="H200" s="380"/>
      <c r="I200" s="380"/>
      <c r="J200" s="380"/>
      <c r="K200" s="380"/>
      <c r="L200" s="380"/>
      <c r="M200" s="380"/>
      <c r="N200" s="380"/>
      <c r="O200" s="380"/>
      <c r="P200" s="380"/>
      <c r="Q200" s="380"/>
      <c r="R200" s="380"/>
      <c r="S200" s="380"/>
      <c r="T200" s="380"/>
      <c r="U200" s="380"/>
      <c r="V200" s="380"/>
      <c r="W200" s="380"/>
      <c r="X200" s="380"/>
      <c r="Y200" s="380"/>
      <c r="Z200" s="380"/>
      <c r="AA200" s="380"/>
      <c r="AB200" s="380"/>
      <c r="AC200" s="380"/>
      <c r="AD200" s="380"/>
      <c r="AE200" s="380"/>
      <c r="AF200" s="380"/>
      <c r="AG200" s="380"/>
      <c r="AH200" s="380"/>
      <c r="AI200" s="380"/>
      <c r="AJ200" s="380"/>
      <c r="AK200" s="380"/>
      <c r="AL200" s="380"/>
      <c r="AM200" s="380"/>
      <c r="AN200" s="380"/>
      <c r="AO200" s="380"/>
      <c r="AP200" s="380"/>
      <c r="AQ200" s="380"/>
      <c r="AR200" s="380"/>
      <c r="AS200" s="380"/>
      <c r="AT200" s="380"/>
      <c r="AU200" s="380"/>
      <c r="AV200" s="380"/>
      <c r="AW200" s="380"/>
      <c r="AX200" s="380"/>
      <c r="AY200" s="380"/>
      <c r="AZ200" s="380"/>
      <c r="BA200" s="380"/>
      <c r="BB200" s="380"/>
      <c r="BC200" s="380"/>
      <c r="BD200" s="380"/>
      <c r="BE200" s="380"/>
      <c r="BF200" s="380"/>
      <c r="BG200" s="380"/>
      <c r="BH200" s="58"/>
      <c r="BI200" s="58"/>
      <c r="BJ200" s="58"/>
      <c r="BK200" s="58"/>
      <c r="BL200" s="58"/>
      <c r="BM200" s="58"/>
      <c r="BN200" s="58"/>
    </row>
    <row r="201" spans="2:74" s="379" customFormat="1" ht="18.75" customHeight="1">
      <c r="B201" s="57"/>
      <c r="C201" s="380"/>
      <c r="D201" s="380" t="s">
        <v>595</v>
      </c>
      <c r="E201" s="380"/>
      <c r="F201" s="380"/>
      <c r="G201" s="380"/>
      <c r="H201" s="380"/>
      <c r="I201" s="380"/>
      <c r="J201" s="380"/>
      <c r="K201" s="380"/>
      <c r="L201" s="380"/>
      <c r="M201" s="380"/>
      <c r="N201" s="380"/>
      <c r="O201" s="380"/>
      <c r="P201" s="380"/>
      <c r="Q201" s="380"/>
      <c r="R201" s="380"/>
      <c r="S201" s="380"/>
      <c r="T201" s="380"/>
      <c r="U201" s="380"/>
      <c r="V201" s="380"/>
      <c r="W201" s="380"/>
      <c r="X201" s="380"/>
      <c r="Y201" s="380"/>
      <c r="Z201" s="380"/>
      <c r="AA201" s="380"/>
      <c r="AB201" s="380"/>
      <c r="AC201" s="380"/>
      <c r="AD201" s="380"/>
      <c r="AE201" s="380"/>
      <c r="AF201" s="380"/>
      <c r="AG201" s="380"/>
      <c r="AH201" s="380"/>
      <c r="AI201" s="380"/>
      <c r="AJ201" s="380"/>
      <c r="AK201" s="380"/>
      <c r="AL201" s="380"/>
      <c r="AM201" s="380"/>
      <c r="AN201" s="380"/>
      <c r="AO201" s="380"/>
      <c r="AP201" s="380"/>
      <c r="AQ201" s="380"/>
      <c r="AR201" s="380"/>
      <c r="AS201" s="380"/>
      <c r="AT201" s="380"/>
      <c r="AU201" s="380"/>
      <c r="AV201" s="380"/>
      <c r="AW201" s="380"/>
      <c r="AX201" s="380"/>
      <c r="AY201" s="380"/>
      <c r="AZ201" s="380"/>
      <c r="BA201" s="380"/>
      <c r="BB201" s="380"/>
      <c r="BC201" s="380"/>
      <c r="BD201" s="380"/>
      <c r="BE201" s="380"/>
      <c r="BF201" s="380"/>
      <c r="BG201" s="380"/>
      <c r="BH201" s="58"/>
      <c r="BI201" s="58"/>
      <c r="BJ201" s="58"/>
      <c r="BK201" s="58"/>
      <c r="BL201" s="58"/>
      <c r="BM201" s="58"/>
      <c r="BN201" s="58"/>
    </row>
    <row r="202" spans="2:74" s="164" customFormat="1" ht="18.75" customHeight="1">
      <c r="B202" s="215"/>
      <c r="C202" s="218" t="s">
        <v>276</v>
      </c>
      <c r="D202" s="215"/>
      <c r="E202" s="215"/>
      <c r="F202" s="215"/>
      <c r="G202" s="215"/>
      <c r="H202" s="528" t="str">
        <f>H80</f>
        <v/>
      </c>
      <c r="I202" s="528"/>
      <c r="J202" s="528"/>
      <c r="K202" s="528"/>
      <c r="L202" s="528"/>
      <c r="M202" s="528"/>
      <c r="N202" s="528"/>
      <c r="O202" s="528"/>
      <c r="P202" s="219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4"/>
      <c r="AD202" s="214"/>
      <c r="AE202" s="214"/>
      <c r="AF202" s="214"/>
      <c r="AG202" s="214"/>
      <c r="AH202" s="214"/>
      <c r="AI202" s="214"/>
      <c r="AJ202" s="214"/>
      <c r="AK202" s="214"/>
      <c r="AL202" s="214"/>
      <c r="AM202" s="214"/>
      <c r="AN202" s="214"/>
      <c r="AO202" s="214"/>
      <c r="AP202" s="214"/>
      <c r="AQ202" s="214"/>
      <c r="AR202" s="214"/>
      <c r="AS202" s="214"/>
      <c r="AT202" s="214"/>
      <c r="AU202" s="214"/>
      <c r="AV202" s="214"/>
      <c r="AW202" s="214"/>
      <c r="AX202" s="214"/>
      <c r="AY202" s="214"/>
      <c r="AZ202" s="214"/>
      <c r="BA202" s="214"/>
      <c r="BB202" s="214"/>
      <c r="BC202" s="214"/>
      <c r="BD202" s="214"/>
      <c r="BE202" s="214"/>
      <c r="BF202" s="214"/>
      <c r="BG202" s="214"/>
      <c r="BH202" s="58"/>
      <c r="BI202" s="58"/>
      <c r="BJ202" s="58"/>
      <c r="BK202" s="58"/>
      <c r="BL202" s="58"/>
      <c r="BM202" s="58"/>
    </row>
    <row r="203" spans="2:74" s="164" customFormat="1" ht="18.75" customHeight="1">
      <c r="B203" s="215"/>
      <c r="C203" s="214" t="s">
        <v>277</v>
      </c>
      <c r="D203" s="214"/>
      <c r="E203" s="214"/>
      <c r="F203" s="214"/>
      <c r="G203" s="214"/>
      <c r="H203" s="214"/>
      <c r="I203" s="530" t="s">
        <v>596</v>
      </c>
      <c r="J203" s="530"/>
      <c r="K203" s="530"/>
      <c r="L203" s="523" t="s">
        <v>239</v>
      </c>
      <c r="M203" s="520">
        <f>Calcu!G53</f>
        <v>1</v>
      </c>
      <c r="N203" s="520"/>
      <c r="O203" s="383" t="s">
        <v>597</v>
      </c>
      <c r="P203" s="385"/>
      <c r="Q203" s="523" t="s">
        <v>239</v>
      </c>
      <c r="R203" s="550">
        <f>M203/SQRT(3)</f>
        <v>0.57735026918962584</v>
      </c>
      <c r="S203" s="550"/>
      <c r="T203" s="550"/>
      <c r="U203" s="516" t="str">
        <f>O203</f>
        <v>℃</v>
      </c>
      <c r="V203" s="516"/>
      <c r="W203" s="382"/>
      <c r="X203" s="170"/>
      <c r="Y203" s="171"/>
      <c r="Z203" s="171"/>
      <c r="AA203" s="171"/>
      <c r="AB203" s="214"/>
      <c r="AC203" s="214"/>
      <c r="AD203" s="214"/>
      <c r="AE203" s="214"/>
      <c r="AF203" s="214"/>
      <c r="AG203" s="214"/>
      <c r="AH203" s="214"/>
      <c r="AL203" s="214"/>
      <c r="AM203" s="214"/>
      <c r="AN203" s="215"/>
      <c r="AO203" s="215"/>
      <c r="AP203" s="215"/>
      <c r="AQ203" s="215"/>
      <c r="AR203" s="214"/>
      <c r="AS203" s="214"/>
      <c r="AT203" s="214"/>
      <c r="AU203" s="214"/>
      <c r="AV203" s="214"/>
      <c r="AW203" s="214"/>
      <c r="AX203" s="214"/>
      <c r="AY203" s="214"/>
      <c r="AZ203" s="214"/>
      <c r="BA203" s="214"/>
      <c r="BB203" s="214"/>
      <c r="BC203" s="214"/>
      <c r="BD203" s="214"/>
      <c r="BE203" s="214"/>
      <c r="BF203" s="214"/>
      <c r="BG203" s="214"/>
      <c r="BH203" s="214"/>
      <c r="BI203" s="58"/>
      <c r="BJ203" s="58"/>
      <c r="BK203" s="58"/>
      <c r="BL203" s="58"/>
      <c r="BM203" s="58"/>
      <c r="BN203" s="58"/>
      <c r="BO203" s="58"/>
      <c r="BP203" s="58"/>
      <c r="BQ203" s="58"/>
      <c r="BR203" s="58"/>
    </row>
    <row r="204" spans="2:74" s="164" customFormat="1" ht="18.75" customHeight="1">
      <c r="B204" s="215"/>
      <c r="C204" s="214"/>
      <c r="D204" s="214"/>
      <c r="E204" s="214"/>
      <c r="F204" s="214"/>
      <c r="G204" s="214"/>
      <c r="H204" s="214"/>
      <c r="I204" s="530"/>
      <c r="J204" s="530"/>
      <c r="K204" s="530"/>
      <c r="L204" s="523"/>
      <c r="M204" s="378"/>
      <c r="N204" s="378"/>
      <c r="O204" s="378"/>
      <c r="P204" s="378"/>
      <c r="Q204" s="523"/>
      <c r="R204" s="550"/>
      <c r="S204" s="550"/>
      <c r="T204" s="550"/>
      <c r="U204" s="516"/>
      <c r="V204" s="516"/>
      <c r="W204" s="382"/>
      <c r="X204" s="170"/>
      <c r="Y204" s="171"/>
      <c r="Z204" s="171"/>
      <c r="AA204" s="171"/>
      <c r="AB204" s="214"/>
      <c r="AC204" s="214"/>
      <c r="AD204" s="214"/>
      <c r="AE204" s="214"/>
      <c r="AF204" s="214"/>
      <c r="AG204" s="214"/>
      <c r="AH204" s="214"/>
      <c r="AI204" s="214"/>
      <c r="AJ204" s="215"/>
      <c r="AK204" s="214"/>
      <c r="AL204" s="214"/>
      <c r="AM204" s="214"/>
      <c r="AN204" s="215"/>
      <c r="AO204" s="215"/>
      <c r="AP204" s="215"/>
      <c r="AQ204" s="215"/>
      <c r="AR204" s="214"/>
      <c r="AS204" s="214"/>
      <c r="AT204" s="214"/>
      <c r="AU204" s="214"/>
      <c r="AV204" s="214"/>
      <c r="AW204" s="214"/>
      <c r="AX204" s="214"/>
      <c r="AY204" s="214"/>
      <c r="AZ204" s="214"/>
      <c r="BA204" s="214"/>
      <c r="BB204" s="214"/>
      <c r="BC204" s="214"/>
      <c r="BD204" s="214"/>
      <c r="BE204" s="214"/>
      <c r="BF204" s="214"/>
      <c r="BG204" s="214"/>
      <c r="BH204" s="214"/>
      <c r="BI204" s="58"/>
      <c r="BJ204" s="58"/>
      <c r="BK204" s="58"/>
      <c r="BL204" s="58"/>
      <c r="BM204" s="58"/>
      <c r="BN204" s="58"/>
      <c r="BO204" s="58"/>
      <c r="BP204" s="58"/>
      <c r="BQ204" s="58"/>
      <c r="BR204" s="58"/>
    </row>
    <row r="205" spans="2:74" s="164" customFormat="1" ht="18.75" customHeight="1">
      <c r="B205" s="215"/>
      <c r="C205" s="214" t="s">
        <v>278</v>
      </c>
      <c r="D205" s="214"/>
      <c r="E205" s="214"/>
      <c r="F205" s="214"/>
      <c r="G205" s="214"/>
      <c r="H205" s="214"/>
      <c r="I205" s="524" t="str">
        <f>AB80</f>
        <v>직사각형</v>
      </c>
      <c r="J205" s="524"/>
      <c r="K205" s="524"/>
      <c r="L205" s="524"/>
      <c r="M205" s="524"/>
      <c r="N205" s="524"/>
      <c r="O205" s="524"/>
      <c r="P205" s="524"/>
      <c r="Q205" s="214"/>
      <c r="R205" s="214"/>
      <c r="S205" s="214"/>
      <c r="T205" s="214"/>
      <c r="U205" s="214"/>
      <c r="V205" s="214"/>
      <c r="W205" s="214"/>
      <c r="X205" s="214"/>
      <c r="Y205" s="214"/>
      <c r="Z205" s="215"/>
      <c r="AA205" s="215"/>
      <c r="AB205" s="215"/>
      <c r="AC205" s="215"/>
      <c r="AD205" s="215"/>
      <c r="AE205" s="215"/>
      <c r="AF205" s="215"/>
      <c r="AG205" s="215"/>
      <c r="AH205" s="214"/>
      <c r="AI205" s="214"/>
      <c r="AJ205" s="214"/>
      <c r="AK205" s="214"/>
      <c r="AL205" s="214"/>
      <c r="AM205" s="214"/>
      <c r="AN205" s="214"/>
      <c r="AO205" s="214"/>
      <c r="AP205" s="214"/>
      <c r="AQ205" s="214"/>
      <c r="AR205" s="214"/>
      <c r="AS205" s="214"/>
      <c r="AT205" s="214"/>
      <c r="AU205" s="214"/>
      <c r="AV205" s="214"/>
      <c r="AW205" s="214"/>
      <c r="AX205" s="214"/>
      <c r="AY205" s="214"/>
      <c r="AZ205" s="214"/>
      <c r="BA205" s="214"/>
      <c r="BB205" s="214"/>
      <c r="BC205" s="214"/>
      <c r="BD205" s="214"/>
      <c r="BE205" s="214"/>
      <c r="BF205" s="215"/>
      <c r="BG205" s="214"/>
      <c r="BH205" s="58"/>
      <c r="BI205" s="58"/>
      <c r="BJ205" s="58"/>
      <c r="BK205" s="58"/>
      <c r="BL205" s="58"/>
      <c r="BM205" s="58"/>
      <c r="BN205" s="58"/>
      <c r="BO205" s="58"/>
      <c r="BP205" s="58"/>
      <c r="BQ205" s="58"/>
      <c r="BR205" s="58"/>
      <c r="BS205" s="58"/>
      <c r="BT205" s="58"/>
      <c r="BU205" s="58"/>
      <c r="BV205" s="58"/>
    </row>
    <row r="206" spans="2:74" s="164" customFormat="1" ht="18.75" customHeight="1">
      <c r="B206" s="215"/>
      <c r="C206" s="526" t="s">
        <v>279</v>
      </c>
      <c r="D206" s="526"/>
      <c r="E206" s="526"/>
      <c r="F206" s="526"/>
      <c r="G206" s="526"/>
      <c r="H206" s="526"/>
      <c r="I206" s="214"/>
      <c r="J206" s="214"/>
      <c r="K206" s="214"/>
      <c r="L206" s="214"/>
      <c r="M206" s="214"/>
      <c r="N206" s="214"/>
      <c r="O206" s="215"/>
      <c r="P206" s="529" t="e">
        <f ca="1">-H79*10^6</f>
        <v>#N/A</v>
      </c>
      <c r="Q206" s="529"/>
      <c r="R206" s="529"/>
      <c r="S206" s="526" t="s">
        <v>580</v>
      </c>
      <c r="T206" s="526"/>
      <c r="U206" s="526"/>
      <c r="V206" s="526"/>
      <c r="W206" s="526"/>
      <c r="X206" s="526"/>
      <c r="Y206" s="526"/>
      <c r="Z206" s="526"/>
      <c r="AA206" s="523" t="s">
        <v>577</v>
      </c>
      <c r="AB206" s="527" t="e">
        <f ca="1">P206*10^-6*1000</f>
        <v>#N/A</v>
      </c>
      <c r="AC206" s="527"/>
      <c r="AD206" s="527"/>
      <c r="AE206" s="527"/>
      <c r="AF206" s="526" t="s">
        <v>433</v>
      </c>
      <c r="AG206" s="526"/>
      <c r="AH206" s="526"/>
      <c r="AI206" s="526"/>
      <c r="AJ206" s="526"/>
      <c r="AK206" s="526"/>
      <c r="AL206" s="526"/>
      <c r="AM206" s="214"/>
      <c r="AN206" s="214"/>
      <c r="AO206" s="214"/>
      <c r="AP206" s="214"/>
      <c r="AQ206" s="214"/>
      <c r="AR206" s="214"/>
      <c r="AS206" s="214"/>
      <c r="AT206" s="214"/>
      <c r="AU206" s="214"/>
      <c r="AV206" s="214"/>
      <c r="AW206" s="214"/>
      <c r="AX206" s="214"/>
      <c r="AY206" s="214"/>
      <c r="AZ206" s="214"/>
      <c r="BA206" s="214"/>
      <c r="BB206" s="214"/>
      <c r="BC206" s="214"/>
      <c r="BD206" s="214"/>
      <c r="BE206" s="214"/>
      <c r="BF206" s="214"/>
      <c r="BG206" s="214"/>
      <c r="BH206" s="58"/>
      <c r="BI206" s="58"/>
      <c r="BJ206" s="58"/>
      <c r="BK206" s="58"/>
      <c r="BL206" s="58"/>
      <c r="BM206" s="58"/>
    </row>
    <row r="207" spans="2:74" s="164" customFormat="1" ht="18.75" customHeight="1">
      <c r="B207" s="215"/>
      <c r="C207" s="526"/>
      <c r="D207" s="526"/>
      <c r="E207" s="526"/>
      <c r="F207" s="526"/>
      <c r="G207" s="526"/>
      <c r="H207" s="526"/>
      <c r="I207" s="214"/>
      <c r="J207" s="214"/>
      <c r="K207" s="214"/>
      <c r="L207" s="214"/>
      <c r="M207" s="214"/>
      <c r="N207" s="214"/>
      <c r="O207" s="214"/>
      <c r="P207" s="529"/>
      <c r="Q207" s="529"/>
      <c r="R207" s="529"/>
      <c r="S207" s="526"/>
      <c r="T207" s="526"/>
      <c r="U207" s="526"/>
      <c r="V207" s="526"/>
      <c r="W207" s="526"/>
      <c r="X207" s="526"/>
      <c r="Y207" s="526"/>
      <c r="Z207" s="526"/>
      <c r="AA207" s="523"/>
      <c r="AB207" s="527"/>
      <c r="AC207" s="527"/>
      <c r="AD207" s="527"/>
      <c r="AE207" s="527"/>
      <c r="AF207" s="526"/>
      <c r="AG207" s="526"/>
      <c r="AH207" s="526"/>
      <c r="AI207" s="526"/>
      <c r="AJ207" s="526"/>
      <c r="AK207" s="526"/>
      <c r="AL207" s="526"/>
      <c r="AM207" s="214"/>
      <c r="AN207" s="214"/>
      <c r="AO207" s="214"/>
      <c r="AP207" s="214"/>
      <c r="AQ207" s="214"/>
      <c r="AR207" s="214"/>
      <c r="AS207" s="214"/>
      <c r="AT207" s="214"/>
      <c r="AU207" s="214"/>
      <c r="AV207" s="214"/>
      <c r="AW207" s="214"/>
      <c r="AX207" s="214"/>
      <c r="AY207" s="214"/>
      <c r="AZ207" s="214"/>
      <c r="BA207" s="214"/>
      <c r="BB207" s="214"/>
      <c r="BC207" s="214"/>
      <c r="BD207" s="214"/>
      <c r="BE207" s="214"/>
      <c r="BF207" s="214"/>
      <c r="BG207" s="214"/>
      <c r="BH207" s="58"/>
      <c r="BI207" s="58"/>
      <c r="BJ207" s="58"/>
      <c r="BK207" s="58"/>
      <c r="BL207" s="58"/>
      <c r="BM207" s="58"/>
    </row>
    <row r="208" spans="2:74" s="164" customFormat="1" ht="18.75" customHeight="1">
      <c r="B208" s="215"/>
      <c r="C208" s="214" t="s">
        <v>280</v>
      </c>
      <c r="D208" s="214"/>
      <c r="E208" s="214"/>
      <c r="F208" s="214"/>
      <c r="G208" s="214"/>
      <c r="H208" s="214"/>
      <c r="I208" s="214"/>
      <c r="J208" s="215"/>
      <c r="K208" s="215" t="s">
        <v>80</v>
      </c>
      <c r="L208" s="527" t="e">
        <f ca="1">AB206</f>
        <v>#N/A</v>
      </c>
      <c r="M208" s="527"/>
      <c r="N208" s="527"/>
      <c r="O208" s="527"/>
      <c r="P208" s="526" t="s">
        <v>472</v>
      </c>
      <c r="Q208" s="526"/>
      <c r="R208" s="526"/>
      <c r="S208" s="526"/>
      <c r="T208" s="526"/>
      <c r="U208" s="548">
        <f>R203</f>
        <v>0.57735026918962584</v>
      </c>
      <c r="V208" s="548"/>
      <c r="W208" s="548"/>
      <c r="X208" s="548"/>
      <c r="Y208" s="215" t="s">
        <v>80</v>
      </c>
      <c r="Z208" s="215" t="s">
        <v>239</v>
      </c>
      <c r="AA208" s="525" t="e">
        <f ca="1">ABS(L208*U208)</f>
        <v>#N/A</v>
      </c>
      <c r="AB208" s="525"/>
      <c r="AC208" s="525"/>
      <c r="AD208" s="549"/>
      <c r="AE208" s="214" t="s">
        <v>459</v>
      </c>
      <c r="AF208" s="218"/>
      <c r="AG208" s="215"/>
      <c r="AH208" s="215"/>
      <c r="AI208" s="215"/>
      <c r="AJ208" s="215"/>
      <c r="AK208" s="215"/>
      <c r="AL208" s="215"/>
      <c r="AM208" s="215"/>
      <c r="AN208" s="215"/>
      <c r="AO208" s="215"/>
      <c r="AP208" s="215"/>
      <c r="AR208" s="214"/>
      <c r="AS208" s="214"/>
      <c r="AT208" s="214"/>
      <c r="AU208" s="214"/>
      <c r="AV208" s="214"/>
      <c r="AW208" s="214"/>
      <c r="AX208" s="214"/>
      <c r="AY208" s="214"/>
      <c r="AZ208" s="214"/>
      <c r="BA208" s="214"/>
      <c r="BB208" s="214"/>
      <c r="BC208" s="214"/>
      <c r="BD208" s="214"/>
      <c r="BE208" s="214"/>
      <c r="BF208" s="214"/>
      <c r="BG208" s="214"/>
      <c r="BH208" s="58"/>
      <c r="BI208" s="58"/>
      <c r="BJ208" s="58"/>
      <c r="BK208" s="58"/>
    </row>
    <row r="209" spans="2:73" s="164" customFormat="1" ht="18.75" customHeight="1">
      <c r="B209" s="215"/>
      <c r="C209" s="526" t="s">
        <v>281</v>
      </c>
      <c r="D209" s="526"/>
      <c r="E209" s="526"/>
      <c r="F209" s="526"/>
      <c r="G209" s="526"/>
      <c r="H209" s="214"/>
      <c r="J209" s="214"/>
      <c r="K209" s="214"/>
      <c r="L209" s="214"/>
      <c r="M209" s="214"/>
      <c r="N209" s="214"/>
      <c r="O209" s="214"/>
      <c r="P209" s="214"/>
      <c r="Q209" s="214"/>
      <c r="R209" s="167"/>
      <c r="S209" s="214"/>
      <c r="T209" s="214"/>
      <c r="U209" s="214"/>
      <c r="V209" s="56" t="s">
        <v>87</v>
      </c>
      <c r="W209" s="214"/>
      <c r="X209" s="214"/>
      <c r="Y209" s="214"/>
      <c r="Z209" s="214"/>
      <c r="AA209" s="214"/>
      <c r="AB209" s="214"/>
      <c r="AC209" s="214"/>
      <c r="AD209" s="214"/>
      <c r="AE209" s="215"/>
      <c r="AF209" s="215"/>
      <c r="AG209" s="215"/>
      <c r="AH209" s="215"/>
      <c r="AI209" s="215"/>
      <c r="AJ209" s="215"/>
      <c r="AK209" s="215"/>
      <c r="AL209" s="215"/>
      <c r="AM209" s="215"/>
      <c r="AN209" s="215"/>
      <c r="AO209" s="215"/>
      <c r="AP209" s="215"/>
      <c r="AQ209" s="215"/>
      <c r="AR209" s="215"/>
      <c r="AS209" s="215"/>
      <c r="AT209" s="215"/>
      <c r="AU209" s="215"/>
      <c r="AV209" s="215"/>
      <c r="AW209" s="215"/>
      <c r="AX209" s="215"/>
      <c r="AY209" s="215"/>
      <c r="AZ209" s="215"/>
      <c r="BA209" s="215"/>
      <c r="BB209" s="215"/>
      <c r="BC209" s="215"/>
      <c r="BD209" s="215"/>
      <c r="BE209" s="215"/>
      <c r="BF209" s="215"/>
      <c r="BG209" s="215"/>
      <c r="BH209" s="58"/>
      <c r="BI209" s="58"/>
      <c r="BJ209" s="58"/>
      <c r="BK209" s="58"/>
      <c r="BP209" s="58"/>
      <c r="BS209" s="58"/>
      <c r="BT209" s="58"/>
      <c r="BU209" s="58"/>
    </row>
    <row r="210" spans="2:73" s="164" customFormat="1" ht="18.75" customHeight="1">
      <c r="B210" s="215"/>
      <c r="C210" s="526"/>
      <c r="D210" s="526"/>
      <c r="E210" s="526"/>
      <c r="F210" s="526"/>
      <c r="G210" s="526"/>
      <c r="H210" s="214"/>
      <c r="I210" s="214"/>
      <c r="J210" s="214"/>
      <c r="K210" s="214"/>
      <c r="L210" s="214"/>
      <c r="M210" s="214"/>
      <c r="N210" s="214"/>
      <c r="O210" s="214"/>
      <c r="P210" s="214"/>
      <c r="Q210" s="214"/>
      <c r="R210" s="167"/>
      <c r="S210" s="214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5"/>
      <c r="AD210" s="215"/>
      <c r="AE210" s="215"/>
      <c r="AF210" s="215"/>
      <c r="AG210" s="215"/>
      <c r="AH210" s="215"/>
      <c r="AI210" s="215"/>
      <c r="AJ210" s="215"/>
      <c r="AK210" s="215"/>
      <c r="AL210" s="215"/>
      <c r="AM210" s="215"/>
      <c r="AN210" s="215"/>
      <c r="AO210" s="215"/>
      <c r="AP210" s="215"/>
      <c r="AQ210" s="215"/>
      <c r="AR210" s="215"/>
      <c r="AS210" s="215"/>
      <c r="AT210" s="215"/>
      <c r="AU210" s="215"/>
      <c r="AV210" s="215"/>
      <c r="AW210" s="215"/>
      <c r="AX210" s="215"/>
      <c r="AY210" s="215"/>
      <c r="AZ210" s="215"/>
      <c r="BA210" s="215"/>
      <c r="BB210" s="215"/>
      <c r="BC210" s="215"/>
      <c r="BD210" s="215"/>
      <c r="BE210" s="215"/>
      <c r="BF210" s="215"/>
      <c r="BG210" s="215"/>
      <c r="BH210" s="58"/>
      <c r="BI210" s="58"/>
      <c r="BJ210" s="58"/>
      <c r="BK210" s="58"/>
      <c r="BP210" s="58"/>
      <c r="BS210" s="58"/>
      <c r="BT210" s="58"/>
      <c r="BU210" s="58"/>
    </row>
    <row r="211" spans="2:73" s="164" customFormat="1" ht="18.75" customHeight="1">
      <c r="B211" s="215"/>
      <c r="C211" s="214"/>
      <c r="D211" s="214"/>
      <c r="E211" s="214"/>
      <c r="F211" s="214"/>
      <c r="G211" s="215"/>
      <c r="H211" s="214"/>
      <c r="I211" s="214"/>
      <c r="J211" s="214"/>
      <c r="K211" s="214"/>
      <c r="L211" s="214"/>
      <c r="M211" s="214"/>
      <c r="N211" s="214"/>
      <c r="O211" s="214"/>
      <c r="P211" s="214"/>
      <c r="Q211" s="214"/>
      <c r="R211" s="214"/>
      <c r="S211" s="214"/>
      <c r="T211" s="214"/>
      <c r="U211" s="214"/>
      <c r="V211" s="214"/>
      <c r="W211" s="214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15"/>
      <c r="AJ211" s="215"/>
      <c r="AK211" s="215"/>
      <c r="AL211" s="215"/>
      <c r="AM211" s="215"/>
      <c r="AN211" s="215"/>
      <c r="AO211" s="215"/>
      <c r="AP211" s="215"/>
      <c r="AQ211" s="215"/>
      <c r="AR211" s="215"/>
      <c r="AS211" s="215"/>
      <c r="AT211" s="215"/>
      <c r="AU211" s="215"/>
      <c r="AV211" s="215"/>
      <c r="AW211" s="215"/>
      <c r="AX211" s="215"/>
      <c r="AY211" s="215"/>
      <c r="AZ211" s="215"/>
      <c r="BA211" s="215"/>
      <c r="BB211" s="215"/>
      <c r="BC211" s="215"/>
      <c r="BD211" s="215"/>
      <c r="BE211" s="215"/>
      <c r="BF211" s="215"/>
      <c r="BG211" s="215"/>
    </row>
    <row r="212" spans="2:73" s="164" customFormat="1" ht="18.75" customHeight="1">
      <c r="B212" s="57" t="s">
        <v>683</v>
      </c>
      <c r="D212" s="214"/>
      <c r="E212" s="214"/>
      <c r="F212" s="214"/>
      <c r="G212" s="215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4"/>
      <c r="AD212" s="214"/>
      <c r="AE212" s="215"/>
      <c r="AF212" s="214"/>
      <c r="AG212" s="215"/>
      <c r="AH212" s="215"/>
      <c r="AI212" s="215"/>
      <c r="AJ212" s="215"/>
      <c r="AK212" s="215"/>
      <c r="AL212" s="215"/>
      <c r="AM212" s="215"/>
      <c r="AN212" s="215"/>
      <c r="AO212" s="215"/>
      <c r="AP212" s="215"/>
      <c r="AQ212" s="215"/>
      <c r="AR212" s="215"/>
      <c r="AS212" s="215"/>
      <c r="AT212" s="215"/>
      <c r="AU212" s="215"/>
      <c r="AV212" s="215"/>
      <c r="AW212" s="215"/>
      <c r="AX212" s="215"/>
      <c r="AY212" s="215"/>
      <c r="AZ212" s="215"/>
      <c r="BA212" s="215"/>
      <c r="BB212" s="215"/>
      <c r="BC212" s="215"/>
      <c r="BD212" s="215"/>
      <c r="BE212" s="215"/>
      <c r="BF212" s="215"/>
      <c r="BG212" s="215"/>
    </row>
    <row r="213" spans="2:73" s="379" customFormat="1" ht="18.75" customHeight="1">
      <c r="B213" s="57"/>
      <c r="C213" s="380" t="s">
        <v>598</v>
      </c>
      <c r="D213" s="380"/>
      <c r="E213" s="380"/>
      <c r="F213" s="380"/>
      <c r="G213" s="378"/>
      <c r="H213" s="380"/>
      <c r="I213" s="380"/>
      <c r="J213" s="380"/>
      <c r="K213" s="380"/>
      <c r="L213" s="380"/>
      <c r="M213" s="380"/>
      <c r="N213" s="380"/>
      <c r="O213" s="380"/>
      <c r="P213" s="380"/>
      <c r="Q213" s="380"/>
      <c r="R213" s="380"/>
      <c r="S213" s="380"/>
      <c r="T213" s="380"/>
      <c r="U213" s="380"/>
      <c r="V213" s="380"/>
      <c r="W213" s="380"/>
      <c r="X213" s="380"/>
      <c r="Y213" s="380"/>
      <c r="Z213" s="380"/>
      <c r="AA213" s="380"/>
      <c r="AB213" s="380"/>
      <c r="AC213" s="380"/>
      <c r="AD213" s="380"/>
      <c r="AE213" s="378"/>
      <c r="AF213" s="380"/>
      <c r="AG213" s="378"/>
      <c r="AH213" s="378"/>
      <c r="AI213" s="378"/>
      <c r="AJ213" s="378"/>
      <c r="AK213" s="378"/>
      <c r="AL213" s="378"/>
      <c r="AM213" s="378"/>
      <c r="AN213" s="378"/>
      <c r="AO213" s="378"/>
      <c r="AP213" s="378"/>
      <c r="AQ213" s="378"/>
      <c r="AR213" s="378"/>
      <c r="AS213" s="378"/>
      <c r="AT213" s="378"/>
      <c r="AU213" s="378"/>
      <c r="AV213" s="378"/>
      <c r="AW213" s="378"/>
      <c r="AX213" s="378"/>
      <c r="AY213" s="378"/>
      <c r="AZ213" s="378"/>
      <c r="BA213" s="378"/>
      <c r="BB213" s="378"/>
      <c r="BC213" s="378"/>
      <c r="BD213" s="378"/>
      <c r="BE213" s="378"/>
      <c r="BF213" s="378"/>
      <c r="BG213" s="378"/>
    </row>
    <row r="214" spans="2:73" s="164" customFormat="1" ht="18.75" customHeight="1">
      <c r="B214" s="215"/>
      <c r="C214" s="218" t="s">
        <v>475</v>
      </c>
      <c r="D214" s="215"/>
      <c r="E214" s="215"/>
      <c r="F214" s="215"/>
      <c r="G214" s="215"/>
      <c r="H214" s="539">
        <f>H81</f>
        <v>0</v>
      </c>
      <c r="I214" s="539"/>
      <c r="J214" s="539"/>
      <c r="K214" s="539"/>
      <c r="L214" s="539"/>
      <c r="M214" s="539"/>
      <c r="N214" s="539"/>
      <c r="O214" s="539"/>
      <c r="P214" s="219"/>
      <c r="Q214" s="214"/>
      <c r="R214" s="214"/>
      <c r="S214" s="214"/>
      <c r="T214" s="214"/>
      <c r="U214" s="214"/>
      <c r="AD214" s="214"/>
      <c r="AE214" s="214"/>
      <c r="AF214" s="214"/>
      <c r="AG214" s="214"/>
      <c r="AH214" s="214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14"/>
      <c r="AT214" s="214"/>
      <c r="AU214" s="214"/>
      <c r="AV214" s="214"/>
      <c r="AW214" s="214"/>
      <c r="AX214" s="214"/>
      <c r="AY214" s="215"/>
      <c r="AZ214" s="215"/>
      <c r="BA214" s="215"/>
      <c r="BB214" s="215"/>
      <c r="BC214" s="215"/>
      <c r="BD214" s="215"/>
      <c r="BE214" s="215"/>
      <c r="BF214" s="215"/>
      <c r="BG214" s="215"/>
    </row>
    <row r="215" spans="2:73" s="164" customFormat="1" ht="18.75" customHeight="1">
      <c r="B215" s="215"/>
      <c r="C215" s="214" t="s">
        <v>476</v>
      </c>
      <c r="D215" s="214"/>
      <c r="E215" s="214"/>
      <c r="F215" s="214"/>
      <c r="G215" s="214"/>
      <c r="H215" s="214"/>
      <c r="I215" s="215"/>
      <c r="J215" s="214" t="s">
        <v>599</v>
      </c>
      <c r="K215" s="214"/>
      <c r="L215" s="214"/>
      <c r="M215" s="214"/>
      <c r="N215" s="214"/>
      <c r="O215" s="214"/>
      <c r="P215" s="516">
        <f>T216/1000</f>
        <v>0</v>
      </c>
      <c r="Q215" s="516"/>
      <c r="R215" s="516"/>
      <c r="S215" s="382" t="s">
        <v>600</v>
      </c>
      <c r="T215" s="382"/>
      <c r="AC215" s="214"/>
      <c r="AD215" s="214"/>
      <c r="AE215" s="214"/>
      <c r="AF215" s="215"/>
      <c r="AG215" s="215"/>
      <c r="AH215" s="215"/>
      <c r="AI215" s="215"/>
      <c r="AJ215" s="215"/>
      <c r="AK215" s="215"/>
      <c r="AL215" s="215"/>
      <c r="AM215" s="215"/>
      <c r="AN215" s="214"/>
      <c r="AO215" s="214"/>
      <c r="AP215" s="214"/>
      <c r="AQ215" s="214"/>
      <c r="AR215" s="214"/>
      <c r="AS215" s="214"/>
      <c r="AT215" s="214"/>
      <c r="AU215" s="214"/>
      <c r="AV215" s="214"/>
      <c r="AW215" s="214"/>
      <c r="AX215" s="214"/>
      <c r="AY215" s="215"/>
      <c r="AZ215" s="215"/>
      <c r="BA215" s="215"/>
      <c r="BB215" s="215"/>
      <c r="BC215" s="215"/>
      <c r="BD215" s="215"/>
      <c r="BE215" s="215"/>
      <c r="BF215" s="215"/>
      <c r="BG215" s="215"/>
    </row>
    <row r="216" spans="2:73" s="164" customFormat="1" ht="18.75" customHeight="1">
      <c r="B216" s="215"/>
      <c r="C216" s="214"/>
      <c r="D216" s="214"/>
      <c r="E216" s="214"/>
      <c r="F216" s="214"/>
      <c r="G216" s="214"/>
      <c r="H216" s="214"/>
      <c r="I216" s="380"/>
      <c r="K216" s="519" t="s">
        <v>684</v>
      </c>
      <c r="L216" s="519"/>
      <c r="M216" s="519"/>
      <c r="N216" s="523" t="s">
        <v>239</v>
      </c>
      <c r="O216" s="542" t="s">
        <v>307</v>
      </c>
      <c r="P216" s="543"/>
      <c r="Q216" s="543"/>
      <c r="R216" s="543"/>
      <c r="S216" s="523" t="s">
        <v>239</v>
      </c>
      <c r="T216" s="520">
        <f>Calcu!G54</f>
        <v>0</v>
      </c>
      <c r="U216" s="520"/>
      <c r="V216" s="383" t="s">
        <v>601</v>
      </c>
      <c r="W216" s="383"/>
      <c r="X216" s="544" t="s">
        <v>239</v>
      </c>
      <c r="Y216" s="517">
        <f>T216/2/SQRT(3)</f>
        <v>0</v>
      </c>
      <c r="Z216" s="517"/>
      <c r="AA216" s="517"/>
      <c r="AB216" s="516" t="str">
        <f>V216</f>
        <v>μm</v>
      </c>
      <c r="AC216" s="516"/>
      <c r="AD216" s="214"/>
      <c r="AE216" s="215"/>
      <c r="AF216" s="215"/>
      <c r="AG216" s="215"/>
      <c r="AH216" s="215"/>
      <c r="AI216" s="215"/>
      <c r="AJ216" s="215"/>
      <c r="AK216" s="215"/>
      <c r="AL216" s="215"/>
      <c r="AM216" s="215"/>
      <c r="AN216" s="215"/>
      <c r="AO216" s="215"/>
      <c r="AP216" s="215"/>
      <c r="AQ216" s="215"/>
      <c r="AR216" s="214"/>
      <c r="AS216" s="214"/>
      <c r="AT216" s="214"/>
      <c r="AU216" s="214"/>
      <c r="AV216" s="214"/>
      <c r="AW216" s="214"/>
      <c r="AX216" s="214"/>
      <c r="AY216" s="214"/>
      <c r="AZ216" s="215"/>
      <c r="BA216" s="215"/>
      <c r="BB216" s="215"/>
      <c r="BC216" s="215"/>
      <c r="BD216" s="215"/>
      <c r="BE216" s="215"/>
      <c r="BF216" s="215"/>
      <c r="BG216" s="215"/>
      <c r="BH216" s="215"/>
    </row>
    <row r="217" spans="2:73" s="164" customFormat="1" ht="18.75" customHeight="1">
      <c r="B217" s="215"/>
      <c r="C217" s="214"/>
      <c r="D217" s="214"/>
      <c r="E217" s="214"/>
      <c r="F217" s="214"/>
      <c r="G217" s="214"/>
      <c r="H217" s="214"/>
      <c r="I217" s="380"/>
      <c r="J217" s="388"/>
      <c r="K217" s="519"/>
      <c r="L217" s="519"/>
      <c r="M217" s="519"/>
      <c r="N217" s="523"/>
      <c r="O217" s="545"/>
      <c r="P217" s="545"/>
      <c r="Q217" s="545"/>
      <c r="R217" s="545"/>
      <c r="S217" s="523"/>
      <c r="T217" s="545"/>
      <c r="U217" s="545"/>
      <c r="V217" s="545"/>
      <c r="W217" s="545"/>
      <c r="X217" s="544"/>
      <c r="Y217" s="517"/>
      <c r="Z217" s="517"/>
      <c r="AA217" s="517"/>
      <c r="AB217" s="516"/>
      <c r="AC217" s="516"/>
      <c r="AD217" s="214"/>
      <c r="AE217" s="215"/>
      <c r="AF217" s="215"/>
      <c r="AG217" s="215"/>
      <c r="AH217" s="215"/>
      <c r="AI217" s="215"/>
      <c r="AJ217" s="215"/>
      <c r="AK217" s="215"/>
      <c r="AL217" s="215"/>
      <c r="AM217" s="215"/>
      <c r="AN217" s="215"/>
      <c r="AO217" s="215"/>
      <c r="AP217" s="215"/>
      <c r="AQ217" s="215"/>
      <c r="AR217" s="214"/>
      <c r="AS217" s="214"/>
      <c r="AT217" s="214"/>
      <c r="AU217" s="214"/>
      <c r="AV217" s="214"/>
      <c r="AW217" s="214"/>
      <c r="AX217" s="214"/>
      <c r="AY217" s="214"/>
      <c r="AZ217" s="215"/>
      <c r="BA217" s="215"/>
      <c r="BB217" s="215"/>
      <c r="BC217" s="215"/>
      <c r="BD217" s="215"/>
      <c r="BE217" s="215"/>
      <c r="BF217" s="215"/>
      <c r="BG217" s="215"/>
      <c r="BH217" s="215"/>
    </row>
    <row r="218" spans="2:73" s="164" customFormat="1" ht="18.75" customHeight="1">
      <c r="B218" s="215"/>
      <c r="C218" s="214" t="s">
        <v>477</v>
      </c>
      <c r="D218" s="214"/>
      <c r="E218" s="214"/>
      <c r="F218" s="214"/>
      <c r="G218" s="214"/>
      <c r="H218" s="214"/>
      <c r="I218" s="524" t="str">
        <f>AB81</f>
        <v>직사각형</v>
      </c>
      <c r="J218" s="524"/>
      <c r="K218" s="524"/>
      <c r="L218" s="524"/>
      <c r="M218" s="524"/>
      <c r="N218" s="524"/>
      <c r="O218" s="524"/>
      <c r="P218" s="524"/>
      <c r="Q218" s="214"/>
      <c r="R218" s="214"/>
      <c r="S218" s="214"/>
      <c r="T218" s="214"/>
      <c r="U218" s="214"/>
      <c r="V218" s="214"/>
      <c r="W218" s="214"/>
      <c r="X218" s="214"/>
      <c r="Y218" s="214"/>
      <c r="Z218" s="215"/>
      <c r="AA218" s="215"/>
      <c r="AB218" s="215"/>
      <c r="AC218" s="215"/>
      <c r="AD218" s="215"/>
      <c r="AE218" s="215"/>
      <c r="AF218" s="215"/>
      <c r="AG218" s="215"/>
      <c r="AH218" s="214"/>
      <c r="AI218" s="214"/>
      <c r="AJ218" s="214"/>
      <c r="AK218" s="214"/>
      <c r="AL218" s="214"/>
      <c r="AM218" s="214"/>
      <c r="AN218" s="214"/>
      <c r="AO218" s="214"/>
      <c r="AP218" s="214"/>
      <c r="AQ218" s="214"/>
      <c r="AR218" s="214"/>
      <c r="AS218" s="214"/>
      <c r="AT218" s="214"/>
      <c r="AU218" s="214"/>
      <c r="AV218" s="214"/>
      <c r="AW218" s="214"/>
      <c r="AX218" s="214"/>
      <c r="AY218" s="215"/>
      <c r="AZ218" s="215"/>
      <c r="BA218" s="215"/>
      <c r="BB218" s="215"/>
      <c r="BC218" s="215"/>
      <c r="BD218" s="215"/>
      <c r="BE218" s="215"/>
      <c r="BF218" s="215"/>
      <c r="BG218" s="215"/>
    </row>
    <row r="219" spans="2:73" s="164" customFormat="1" ht="18.75" customHeight="1">
      <c r="B219" s="215"/>
      <c r="C219" s="526" t="s">
        <v>478</v>
      </c>
      <c r="D219" s="526"/>
      <c r="E219" s="526"/>
      <c r="F219" s="526"/>
      <c r="G219" s="526"/>
      <c r="H219" s="526"/>
      <c r="I219" s="214"/>
      <c r="J219" s="214"/>
      <c r="K219" s="214"/>
      <c r="L219" s="214"/>
      <c r="M219" s="214"/>
      <c r="N219" s="214"/>
      <c r="O219" s="215"/>
      <c r="P219" s="172"/>
      <c r="Q219" s="172"/>
      <c r="R219" s="172"/>
      <c r="S219" s="214"/>
      <c r="T219" s="214"/>
      <c r="U219" s="214"/>
      <c r="V219" s="214"/>
      <c r="W219" s="214"/>
      <c r="X219" s="214"/>
      <c r="Y219" s="214"/>
      <c r="Z219" s="173"/>
      <c r="AA219" s="173"/>
      <c r="AB219" s="214"/>
      <c r="AC219" s="214"/>
      <c r="AD219" s="214"/>
      <c r="AE219" s="214"/>
      <c r="AF219" s="214"/>
      <c r="AG219" s="214"/>
      <c r="AH219" s="214"/>
      <c r="AI219" s="214"/>
      <c r="AJ219" s="214"/>
      <c r="AK219" s="214"/>
      <c r="AL219" s="215"/>
      <c r="AM219" s="215"/>
      <c r="AN219" s="215"/>
      <c r="AO219" s="214"/>
      <c r="AP219" s="214"/>
      <c r="AQ219" s="214"/>
      <c r="AR219" s="214"/>
      <c r="AS219" s="214"/>
      <c r="AT219" s="214"/>
      <c r="AU219" s="214"/>
      <c r="AV219" s="214"/>
      <c r="AW219" s="214"/>
      <c r="AX219" s="214"/>
      <c r="AY219" s="215"/>
      <c r="AZ219" s="215"/>
      <c r="BA219" s="215"/>
      <c r="BB219" s="215"/>
      <c r="BC219" s="215"/>
      <c r="BD219" s="215"/>
      <c r="BE219" s="215"/>
      <c r="BF219" s="215"/>
      <c r="BG219" s="215"/>
    </row>
    <row r="220" spans="2:73" s="164" customFormat="1" ht="18.75" customHeight="1">
      <c r="B220" s="215"/>
      <c r="C220" s="526"/>
      <c r="D220" s="526"/>
      <c r="E220" s="526"/>
      <c r="F220" s="526"/>
      <c r="G220" s="526"/>
      <c r="H220" s="526"/>
      <c r="I220" s="214"/>
      <c r="J220" s="214"/>
      <c r="K220" s="214"/>
      <c r="L220" s="214"/>
      <c r="M220" s="214"/>
      <c r="N220" s="214"/>
      <c r="O220" s="214"/>
      <c r="P220" s="172"/>
      <c r="Q220" s="172"/>
      <c r="R220" s="172"/>
      <c r="S220" s="214"/>
      <c r="T220" s="214"/>
      <c r="U220" s="214"/>
      <c r="V220" s="214"/>
      <c r="W220" s="214"/>
      <c r="X220" s="214"/>
      <c r="Y220" s="214"/>
      <c r="Z220" s="173"/>
      <c r="AA220" s="173"/>
      <c r="AB220" s="214"/>
      <c r="AC220" s="214"/>
      <c r="AD220" s="214"/>
      <c r="AE220" s="214"/>
      <c r="AF220" s="214"/>
      <c r="AG220" s="214"/>
      <c r="AH220" s="214"/>
      <c r="AI220" s="214"/>
      <c r="AJ220" s="214"/>
      <c r="AK220" s="214"/>
      <c r="AL220" s="215"/>
      <c r="AM220" s="215"/>
      <c r="AN220" s="215"/>
      <c r="AO220" s="214"/>
      <c r="AP220" s="214"/>
      <c r="AQ220" s="214"/>
      <c r="AR220" s="214"/>
      <c r="AS220" s="214"/>
      <c r="AT220" s="214"/>
      <c r="AU220" s="214"/>
      <c r="AV220" s="214"/>
      <c r="AW220" s="214"/>
      <c r="AX220" s="214"/>
      <c r="AY220" s="215"/>
      <c r="AZ220" s="215"/>
      <c r="BA220" s="215"/>
      <c r="BB220" s="215"/>
      <c r="BC220" s="215"/>
      <c r="BD220" s="215"/>
      <c r="BE220" s="215"/>
      <c r="BF220" s="215"/>
      <c r="BG220" s="215"/>
    </row>
    <row r="221" spans="2:73" s="164" customFormat="1" ht="18.75" customHeight="1">
      <c r="B221" s="215"/>
      <c r="C221" s="214" t="s">
        <v>479</v>
      </c>
      <c r="D221" s="214"/>
      <c r="E221" s="214"/>
      <c r="F221" s="214"/>
      <c r="G221" s="214"/>
      <c r="H221" s="214"/>
      <c r="I221" s="214"/>
      <c r="J221" s="215"/>
      <c r="K221" s="215" t="s">
        <v>80</v>
      </c>
      <c r="L221" s="523">
        <v>1</v>
      </c>
      <c r="M221" s="523"/>
      <c r="N221" s="378" t="s">
        <v>81</v>
      </c>
      <c r="O221" s="517">
        <f>Y216</f>
        <v>0</v>
      </c>
      <c r="P221" s="516"/>
      <c r="Q221" s="516"/>
      <c r="R221" s="518" t="str">
        <f>AB216</f>
        <v>μm</v>
      </c>
      <c r="S221" s="516"/>
      <c r="T221" s="384" t="s">
        <v>602</v>
      </c>
      <c r="U221" s="71" t="s">
        <v>603</v>
      </c>
      <c r="V221" s="517">
        <f>L221*O221</f>
        <v>0</v>
      </c>
      <c r="W221" s="517"/>
      <c r="X221" s="517"/>
      <c r="Y221" s="386" t="str">
        <f>R221</f>
        <v>μm</v>
      </c>
      <c r="Z221" s="55"/>
      <c r="AA221" s="382"/>
      <c r="AB221" s="174"/>
      <c r="AC221" s="167"/>
      <c r="AD221" s="215"/>
      <c r="AE221" s="214"/>
      <c r="AF221" s="215"/>
      <c r="AG221" s="215"/>
      <c r="AH221" s="215"/>
      <c r="AI221" s="215"/>
      <c r="AJ221" s="215"/>
      <c r="AK221" s="214"/>
      <c r="AL221" s="215"/>
      <c r="AM221" s="215"/>
      <c r="AN221" s="215"/>
      <c r="AO221" s="214"/>
      <c r="AP221" s="214"/>
      <c r="AQ221" s="214"/>
      <c r="AR221" s="214"/>
      <c r="AS221" s="214"/>
      <c r="AT221" s="214"/>
      <c r="AU221" s="214"/>
      <c r="AV221" s="214"/>
      <c r="AW221" s="214"/>
      <c r="AX221" s="214"/>
      <c r="AY221" s="215"/>
      <c r="AZ221" s="215"/>
      <c r="BA221" s="215"/>
      <c r="BB221" s="215"/>
      <c r="BC221" s="215"/>
      <c r="BD221" s="215"/>
      <c r="BE221" s="215"/>
      <c r="BF221" s="215"/>
      <c r="BG221" s="215"/>
    </row>
    <row r="222" spans="2:73" s="164" customFormat="1" ht="18.75" customHeight="1">
      <c r="B222" s="215"/>
      <c r="C222" s="526" t="s">
        <v>480</v>
      </c>
      <c r="D222" s="526"/>
      <c r="E222" s="526"/>
      <c r="F222" s="526"/>
      <c r="G222" s="526"/>
      <c r="H222" s="214"/>
      <c r="J222" s="214"/>
      <c r="K222" s="214"/>
      <c r="L222" s="214"/>
      <c r="M222" s="214"/>
      <c r="N222" s="214"/>
      <c r="O222" s="214"/>
      <c r="P222" s="214"/>
      <c r="Q222" s="214"/>
      <c r="R222" s="167"/>
      <c r="S222" s="214"/>
      <c r="T222" s="214"/>
      <c r="U222" s="214"/>
      <c r="W222" s="214"/>
      <c r="X222" s="56" t="s">
        <v>87</v>
      </c>
      <c r="Y222" s="214"/>
      <c r="Z222" s="214"/>
      <c r="AA222" s="214"/>
      <c r="AB222" s="214"/>
      <c r="AC222" s="214"/>
      <c r="AD222" s="214"/>
      <c r="AE222" s="215"/>
      <c r="AF222" s="215"/>
      <c r="AG222" s="215"/>
      <c r="AH222" s="215"/>
      <c r="AI222" s="215"/>
      <c r="AJ222" s="215"/>
      <c r="AK222" s="215"/>
      <c r="AL222" s="215"/>
      <c r="AM222" s="215"/>
      <c r="AN222" s="215"/>
      <c r="AO222" s="215"/>
      <c r="AP222" s="215"/>
      <c r="AQ222" s="215"/>
      <c r="AR222" s="215"/>
      <c r="AS222" s="215"/>
      <c r="AT222" s="215"/>
      <c r="AU222" s="215"/>
      <c r="AV222" s="215"/>
      <c r="AW222" s="215"/>
      <c r="AX222" s="215"/>
      <c r="AY222" s="215"/>
      <c r="AZ222" s="215"/>
      <c r="BA222" s="215"/>
      <c r="BB222" s="215"/>
      <c r="BC222" s="215"/>
      <c r="BD222" s="215"/>
      <c r="BE222" s="215"/>
      <c r="BF222" s="215"/>
      <c r="BG222" s="215"/>
    </row>
    <row r="223" spans="2:73" s="164" customFormat="1" ht="18.75" customHeight="1">
      <c r="B223" s="215"/>
      <c r="C223" s="526"/>
      <c r="D223" s="526"/>
      <c r="E223" s="526"/>
      <c r="F223" s="526"/>
      <c r="G223" s="526"/>
      <c r="H223" s="214"/>
      <c r="I223" s="214"/>
      <c r="J223" s="214"/>
      <c r="K223" s="214"/>
      <c r="L223" s="214"/>
      <c r="M223" s="214"/>
      <c r="N223" s="214"/>
      <c r="O223" s="214"/>
      <c r="P223" s="214"/>
      <c r="Q223" s="214"/>
      <c r="R223" s="167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4"/>
      <c r="AD223" s="214"/>
      <c r="AE223" s="215"/>
      <c r="AF223" s="215"/>
      <c r="AG223" s="215"/>
      <c r="AH223" s="215"/>
      <c r="AI223" s="215"/>
      <c r="AJ223" s="215"/>
      <c r="AK223" s="215"/>
      <c r="AL223" s="215"/>
      <c r="AM223" s="215"/>
      <c r="AN223" s="215"/>
      <c r="AO223" s="215"/>
      <c r="AP223" s="215"/>
      <c r="AQ223" s="215"/>
      <c r="AR223" s="215"/>
      <c r="AS223" s="215"/>
      <c r="AT223" s="215"/>
      <c r="AU223" s="215"/>
      <c r="AV223" s="215"/>
      <c r="AW223" s="215"/>
      <c r="AX223" s="215"/>
      <c r="AY223" s="215"/>
      <c r="AZ223" s="215"/>
      <c r="BA223" s="215"/>
      <c r="BB223" s="215"/>
      <c r="BC223" s="215"/>
      <c r="BD223" s="215"/>
      <c r="BE223" s="215"/>
      <c r="BF223" s="215"/>
      <c r="BG223" s="215"/>
    </row>
    <row r="224" spans="2:73" s="164" customFormat="1" ht="18.75" customHeight="1">
      <c r="B224" s="215"/>
      <c r="C224" s="57"/>
      <c r="D224" s="214"/>
      <c r="E224" s="214"/>
      <c r="F224" s="214"/>
      <c r="G224" s="215"/>
      <c r="H224" s="214"/>
      <c r="I224" s="214"/>
      <c r="J224" s="214"/>
      <c r="K224" s="214"/>
      <c r="L224" s="214"/>
      <c r="M224" s="214"/>
      <c r="N224" s="214"/>
      <c r="O224" s="214"/>
      <c r="P224" s="214"/>
      <c r="Q224" s="214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4"/>
      <c r="AD224" s="214"/>
      <c r="AE224" s="215"/>
      <c r="AF224" s="214"/>
      <c r="AG224" s="215"/>
      <c r="AH224" s="215"/>
      <c r="AI224" s="215"/>
      <c r="AJ224" s="215"/>
      <c r="AK224" s="215"/>
      <c r="AL224" s="215"/>
      <c r="AM224" s="215"/>
      <c r="AN224" s="215"/>
      <c r="AO224" s="215"/>
      <c r="AP224" s="215"/>
      <c r="AQ224" s="215"/>
      <c r="AR224" s="215"/>
      <c r="AS224" s="215"/>
      <c r="AT224" s="215"/>
      <c r="AU224" s="215"/>
      <c r="AV224" s="215"/>
      <c r="AW224" s="215"/>
      <c r="AX224" s="215"/>
      <c r="AY224" s="215"/>
      <c r="AZ224" s="215"/>
      <c r="BA224" s="215"/>
      <c r="BB224" s="215"/>
      <c r="BC224" s="215"/>
      <c r="BD224" s="215"/>
      <c r="BE224" s="215"/>
      <c r="BF224" s="215"/>
      <c r="BG224" s="215"/>
    </row>
    <row r="225" spans="2:64" s="164" customFormat="1" ht="18.75" customHeight="1">
      <c r="B225" s="57" t="s">
        <v>685</v>
      </c>
      <c r="C225" s="214"/>
      <c r="E225" s="214"/>
      <c r="F225" s="214"/>
      <c r="G225" s="215"/>
      <c r="H225" s="214"/>
      <c r="I225" s="214"/>
      <c r="J225" s="214"/>
      <c r="K225" s="214"/>
      <c r="L225" s="214"/>
      <c r="M225" s="214"/>
      <c r="N225" s="214"/>
      <c r="O225" s="214"/>
      <c r="P225" s="214"/>
      <c r="Q225" s="214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4"/>
      <c r="AD225" s="214"/>
      <c r="AE225" s="215"/>
      <c r="AF225" s="214"/>
      <c r="AG225" s="215"/>
      <c r="AH225" s="215"/>
      <c r="AI225" s="215"/>
      <c r="AJ225" s="215"/>
      <c r="AK225" s="215"/>
      <c r="AL225" s="215"/>
      <c r="AM225" s="215"/>
      <c r="AN225" s="215"/>
      <c r="AO225" s="215"/>
      <c r="AP225" s="215"/>
      <c r="AQ225" s="215"/>
      <c r="AR225" s="215"/>
      <c r="AS225" s="215"/>
      <c r="AT225" s="215"/>
      <c r="AU225" s="215"/>
      <c r="AV225" s="215"/>
      <c r="AW225" s="215"/>
      <c r="AX225" s="215"/>
      <c r="AY225" s="215"/>
      <c r="AZ225" s="215"/>
      <c r="BA225" s="215"/>
      <c r="BB225" s="215"/>
      <c r="BC225" s="215"/>
      <c r="BD225" s="215"/>
      <c r="BE225" s="215"/>
      <c r="BF225" s="215"/>
      <c r="BG225" s="215"/>
    </row>
    <row r="226" spans="2:64" s="379" customFormat="1" ht="18.75" customHeight="1">
      <c r="B226" s="57"/>
      <c r="C226" s="214" t="s">
        <v>483</v>
      </c>
      <c r="D226" s="214"/>
      <c r="E226" s="380"/>
      <c r="F226" s="380"/>
      <c r="G226" s="378"/>
      <c r="H226" s="380"/>
      <c r="I226" s="380"/>
      <c r="J226" s="380"/>
      <c r="K226" s="380"/>
      <c r="L226" s="380"/>
      <c r="M226" s="380"/>
      <c r="N226" s="380"/>
      <c r="O226" s="380"/>
      <c r="P226" s="380"/>
      <c r="Q226" s="380"/>
      <c r="R226" s="380"/>
      <c r="S226" s="380"/>
      <c r="T226" s="380"/>
      <c r="U226" s="380"/>
      <c r="V226" s="380"/>
      <c r="W226" s="380"/>
      <c r="X226" s="380"/>
      <c r="Y226" s="380"/>
      <c r="Z226" s="380"/>
      <c r="AA226" s="380"/>
      <c r="AB226" s="380"/>
      <c r="AC226" s="380"/>
      <c r="AD226" s="380"/>
      <c r="AE226" s="378"/>
      <c r="AF226" s="380"/>
      <c r="AG226" s="378"/>
      <c r="AH226" s="378"/>
      <c r="AI226" s="378"/>
      <c r="AJ226" s="378"/>
      <c r="AK226" s="378"/>
      <c r="AL226" s="378"/>
      <c r="AM226" s="378"/>
      <c r="AN226" s="378"/>
      <c r="AO226" s="378"/>
      <c r="AP226" s="378"/>
      <c r="AQ226" s="378"/>
      <c r="AR226" s="378"/>
      <c r="AS226" s="378"/>
      <c r="AT226" s="378"/>
      <c r="AU226" s="378"/>
      <c r="AV226" s="378"/>
      <c r="AW226" s="378"/>
      <c r="AX226" s="378"/>
      <c r="AY226" s="378"/>
      <c r="AZ226" s="378"/>
      <c r="BA226" s="378"/>
      <c r="BB226" s="378"/>
      <c r="BC226" s="378"/>
      <c r="BD226" s="378"/>
      <c r="BE226" s="378"/>
      <c r="BF226" s="378"/>
      <c r="BG226" s="378"/>
    </row>
    <row r="227" spans="2:64" s="379" customFormat="1" ht="18.75" customHeight="1">
      <c r="B227" s="57"/>
      <c r="C227" s="214"/>
      <c r="D227" s="214" t="s">
        <v>484</v>
      </c>
      <c r="E227" s="380"/>
      <c r="F227" s="380"/>
      <c r="G227" s="378"/>
      <c r="H227" s="380"/>
      <c r="I227" s="380"/>
      <c r="J227" s="380"/>
      <c r="K227" s="380"/>
      <c r="L227" s="380"/>
      <c r="M227" s="380"/>
      <c r="N227" s="380"/>
      <c r="O227" s="380"/>
      <c r="P227" s="380"/>
      <c r="Q227" s="380"/>
      <c r="R227" s="380"/>
      <c r="S227" s="380"/>
      <c r="T227" s="380"/>
      <c r="U227" s="380"/>
      <c r="V227" s="380"/>
      <c r="W227" s="380"/>
      <c r="X227" s="380"/>
      <c r="Y227" s="380"/>
      <c r="Z227" s="380"/>
      <c r="AA227" s="380"/>
      <c r="AB227" s="380"/>
      <c r="AC227" s="380"/>
      <c r="AD227" s="380"/>
      <c r="AE227" s="378"/>
      <c r="AF227" s="380"/>
      <c r="AG227" s="378"/>
      <c r="AH227" s="378"/>
      <c r="AI227" s="378"/>
      <c r="AJ227" s="378"/>
      <c r="AK227" s="378"/>
      <c r="AL227" s="378"/>
      <c r="AM227" s="378"/>
      <c r="AN227" s="378"/>
      <c r="AO227" s="378"/>
      <c r="AP227" s="378"/>
      <c r="AQ227" s="378"/>
      <c r="AR227" s="378"/>
      <c r="AS227" s="378"/>
      <c r="AT227" s="378"/>
      <c r="AU227" s="378"/>
      <c r="AV227" s="378"/>
      <c r="AW227" s="378"/>
      <c r="AX227" s="378"/>
      <c r="AY227" s="378"/>
      <c r="AZ227" s="378"/>
      <c r="BA227" s="378"/>
      <c r="BB227" s="378"/>
      <c r="BC227" s="378"/>
      <c r="BD227" s="378"/>
      <c r="BE227" s="378"/>
      <c r="BF227" s="378"/>
      <c r="BG227" s="378"/>
    </row>
    <row r="228" spans="2:64" s="164" customFormat="1" ht="18.75" customHeight="1">
      <c r="B228" s="215"/>
      <c r="C228" s="218" t="s">
        <v>481</v>
      </c>
      <c r="D228" s="215"/>
      <c r="E228" s="215"/>
      <c r="F228" s="215"/>
      <c r="G228" s="215"/>
      <c r="H228" s="539">
        <v>0</v>
      </c>
      <c r="I228" s="539"/>
      <c r="J228" s="539"/>
      <c r="K228" s="539"/>
      <c r="L228" s="539"/>
      <c r="M228" s="539"/>
      <c r="N228" s="539"/>
      <c r="O228" s="539"/>
      <c r="P228" s="219"/>
      <c r="Q228" s="214"/>
      <c r="R228" s="214"/>
      <c r="S228" s="214"/>
      <c r="T228" s="214"/>
      <c r="U228" s="214"/>
      <c r="V228" s="214"/>
      <c r="W228" s="214"/>
      <c r="X228" s="214"/>
      <c r="Y228" s="214"/>
      <c r="Z228" s="214"/>
      <c r="AA228" s="214"/>
      <c r="AB228" s="214"/>
      <c r="AC228" s="214"/>
      <c r="AD228" s="214"/>
      <c r="AE228" s="214"/>
      <c r="AF228" s="214"/>
      <c r="AG228" s="214"/>
      <c r="AH228" s="214"/>
      <c r="AI228" s="214"/>
      <c r="AJ228" s="214"/>
      <c r="AK228" s="214"/>
      <c r="AL228" s="214"/>
      <c r="AM228" s="214"/>
      <c r="AN228" s="214"/>
      <c r="AO228" s="214"/>
      <c r="AP228" s="214"/>
      <c r="AQ228" s="214"/>
      <c r="AR228" s="214"/>
      <c r="AS228" s="214"/>
      <c r="AT228" s="214"/>
      <c r="AU228" s="214"/>
      <c r="AV228" s="214"/>
      <c r="AW228" s="214"/>
      <c r="AX228" s="214"/>
      <c r="AY228" s="215"/>
      <c r="AZ228" s="215"/>
      <c r="BA228" s="215"/>
      <c r="BB228" s="215"/>
      <c r="BC228" s="215"/>
      <c r="BD228" s="215"/>
      <c r="BE228" s="215"/>
      <c r="BF228" s="215"/>
      <c r="BG228" s="215"/>
    </row>
    <row r="229" spans="2:64" s="164" customFormat="1" ht="18.75" customHeight="1">
      <c r="B229" s="215"/>
      <c r="C229" s="214" t="s">
        <v>482</v>
      </c>
      <c r="D229" s="214"/>
      <c r="E229" s="214"/>
      <c r="F229" s="214"/>
      <c r="G229" s="214"/>
      <c r="H229" s="214"/>
      <c r="I229" s="215"/>
      <c r="J229" s="218" t="s">
        <v>485</v>
      </c>
      <c r="K229" s="175"/>
      <c r="L229" s="175"/>
      <c r="M229" s="175"/>
      <c r="N229" s="175"/>
      <c r="O229" s="521">
        <f>Calcu!G55</f>
        <v>0</v>
      </c>
      <c r="P229" s="521"/>
      <c r="Q229" s="521"/>
      <c r="R229" s="382" t="s">
        <v>604</v>
      </c>
      <c r="S229" s="381"/>
      <c r="T229" s="381"/>
      <c r="U229" s="175"/>
      <c r="V229" s="175"/>
      <c r="W229" s="175"/>
      <c r="X229" s="175"/>
      <c r="Y229" s="175"/>
      <c r="Z229" s="175"/>
      <c r="AA229" s="175"/>
      <c r="AB229" s="175"/>
      <c r="AC229" s="175"/>
      <c r="AD229" s="175"/>
      <c r="AE229" s="175"/>
      <c r="AF229" s="175"/>
      <c r="AG229" s="175"/>
      <c r="AH229" s="175"/>
      <c r="AI229" s="175"/>
      <c r="AJ229" s="175"/>
      <c r="AK229" s="175"/>
      <c r="AL229" s="175"/>
      <c r="AM229" s="175"/>
      <c r="AN229" s="175"/>
      <c r="AO229" s="175"/>
      <c r="AP229" s="175"/>
      <c r="AQ229" s="175"/>
      <c r="AR229" s="175"/>
      <c r="AS229" s="175"/>
      <c r="AT229" s="175"/>
      <c r="AU229" s="175"/>
      <c r="AV229" s="175"/>
      <c r="AW229" s="175"/>
      <c r="AX229" s="175"/>
      <c r="AY229" s="175"/>
      <c r="AZ229" s="175"/>
      <c r="BA229" s="175"/>
      <c r="BB229" s="215"/>
      <c r="BC229" s="215"/>
      <c r="BD229" s="215"/>
      <c r="BE229" s="215"/>
      <c r="BF229" s="215"/>
      <c r="BG229" s="215"/>
    </row>
    <row r="230" spans="2:64" s="164" customFormat="1" ht="18.75" customHeight="1">
      <c r="B230" s="215"/>
      <c r="C230" s="214"/>
      <c r="D230" s="214"/>
      <c r="E230" s="214"/>
      <c r="F230" s="214"/>
      <c r="G230" s="214"/>
      <c r="H230" s="380"/>
      <c r="I230" s="214"/>
      <c r="K230" s="519" t="s">
        <v>686</v>
      </c>
      <c r="L230" s="519"/>
      <c r="M230" s="519"/>
      <c r="N230" s="544" t="s">
        <v>239</v>
      </c>
      <c r="O230" s="546" t="s">
        <v>530</v>
      </c>
      <c r="P230" s="546"/>
      <c r="Q230" s="546"/>
      <c r="R230" s="544" t="s">
        <v>239</v>
      </c>
      <c r="S230" s="520">
        <f>O229</f>
        <v>0</v>
      </c>
      <c r="T230" s="520"/>
      <c r="U230" s="383" t="str">
        <f>R229</f>
        <v>μm</v>
      </c>
      <c r="V230" s="383"/>
      <c r="W230" s="544" t="s">
        <v>239</v>
      </c>
      <c r="X230" s="517">
        <f>S230/2/SQRT(3)</f>
        <v>0</v>
      </c>
      <c r="Y230" s="517"/>
      <c r="Z230" s="517"/>
      <c r="AA230" s="516" t="str">
        <f>U230</f>
        <v>μm</v>
      </c>
      <c r="AB230" s="516"/>
      <c r="AC230" s="171"/>
      <c r="AD230" s="171"/>
      <c r="AE230" s="171"/>
      <c r="AF230" s="214"/>
      <c r="AG230" s="214"/>
      <c r="AH230" s="214"/>
      <c r="AI230" s="214"/>
      <c r="AJ230" s="214"/>
      <c r="AK230" s="214"/>
      <c r="AL230" s="214"/>
      <c r="AM230" s="214"/>
      <c r="AN230" s="214"/>
      <c r="AO230" s="214"/>
      <c r="AP230" s="214"/>
      <c r="AQ230" s="214"/>
      <c r="AR230" s="215"/>
      <c r="AS230" s="215"/>
      <c r="AT230" s="215"/>
      <c r="AU230" s="215"/>
      <c r="AV230" s="214"/>
      <c r="AW230" s="214"/>
      <c r="AX230" s="214"/>
      <c r="AY230" s="214"/>
      <c r="AZ230" s="214"/>
      <c r="BA230" s="214"/>
      <c r="BB230" s="214"/>
      <c r="BC230" s="214"/>
      <c r="BD230" s="215"/>
      <c r="BE230" s="215"/>
      <c r="BF230" s="215"/>
      <c r="BG230" s="215"/>
      <c r="BH230" s="215"/>
      <c r="BI230" s="215"/>
      <c r="BJ230" s="215"/>
      <c r="BK230" s="215"/>
      <c r="BL230" s="215"/>
    </row>
    <row r="231" spans="2:64" s="164" customFormat="1" ht="18.75" customHeight="1">
      <c r="B231" s="215"/>
      <c r="C231" s="214"/>
      <c r="D231" s="214"/>
      <c r="E231" s="214"/>
      <c r="F231" s="214"/>
      <c r="G231" s="214"/>
      <c r="H231" s="380"/>
      <c r="I231" s="214"/>
      <c r="J231" s="388"/>
      <c r="K231" s="519"/>
      <c r="L231" s="519"/>
      <c r="M231" s="519"/>
      <c r="N231" s="544"/>
      <c r="O231" s="547"/>
      <c r="P231" s="547"/>
      <c r="Q231" s="547"/>
      <c r="R231" s="544"/>
      <c r="S231" s="547"/>
      <c r="T231" s="547"/>
      <c r="U231" s="547"/>
      <c r="V231" s="547"/>
      <c r="W231" s="544"/>
      <c r="X231" s="517"/>
      <c r="Y231" s="517"/>
      <c r="Z231" s="517"/>
      <c r="AA231" s="516"/>
      <c r="AB231" s="516"/>
      <c r="AC231" s="171"/>
      <c r="AD231" s="171"/>
      <c r="AE231" s="171"/>
      <c r="AF231" s="214"/>
      <c r="AG231" s="214"/>
      <c r="AH231" s="214"/>
      <c r="AI231" s="214"/>
      <c r="AJ231" s="214"/>
      <c r="AK231" s="214"/>
      <c r="AL231" s="214"/>
      <c r="AM231" s="214"/>
      <c r="AN231" s="214"/>
      <c r="AO231" s="214"/>
      <c r="AP231" s="214"/>
      <c r="AQ231" s="214"/>
      <c r="AR231" s="215"/>
      <c r="AS231" s="215"/>
      <c r="AT231" s="215"/>
      <c r="AU231" s="215"/>
      <c r="AV231" s="214"/>
      <c r="AW231" s="214"/>
      <c r="AX231" s="214"/>
      <c r="AY231" s="214"/>
      <c r="AZ231" s="214"/>
      <c r="BA231" s="214"/>
      <c r="BB231" s="214"/>
      <c r="BC231" s="214"/>
      <c r="BD231" s="215"/>
      <c r="BE231" s="215"/>
      <c r="BF231" s="215"/>
      <c r="BG231" s="215"/>
      <c r="BH231" s="215"/>
      <c r="BI231" s="215"/>
      <c r="BJ231" s="215"/>
      <c r="BK231" s="215"/>
      <c r="BL231" s="215"/>
    </row>
    <row r="232" spans="2:64" s="342" customFormat="1" ht="18.75" customHeight="1">
      <c r="B232" s="345"/>
      <c r="C232" s="344"/>
      <c r="D232" s="344"/>
      <c r="E232" s="344"/>
      <c r="F232" s="344"/>
      <c r="G232" s="344"/>
      <c r="H232" s="380"/>
      <c r="I232" s="344"/>
      <c r="J232" s="346"/>
      <c r="K232" s="188" t="s">
        <v>518</v>
      </c>
      <c r="L232" s="346"/>
      <c r="M232" s="346"/>
      <c r="N232" s="347"/>
      <c r="O232" s="343"/>
      <c r="P232" s="343"/>
      <c r="Q232" s="343"/>
      <c r="R232" s="347"/>
      <c r="S232" s="343"/>
      <c r="T232" s="343"/>
      <c r="U232" s="343"/>
      <c r="V232" s="343"/>
      <c r="W232" s="347"/>
      <c r="X232" s="338"/>
      <c r="Y232" s="338"/>
      <c r="Z232" s="338"/>
      <c r="AA232" s="338"/>
      <c r="AB232" s="338"/>
      <c r="AC232" s="171"/>
      <c r="AD232" s="171"/>
      <c r="AE232" s="171"/>
      <c r="AF232" s="344"/>
      <c r="AG232" s="344"/>
      <c r="AH232" s="344"/>
      <c r="AI232" s="344"/>
      <c r="AJ232" s="344"/>
      <c r="AK232" s="344"/>
      <c r="AL232" s="344"/>
      <c r="AM232" s="344"/>
      <c r="AN232" s="344"/>
      <c r="AO232" s="344"/>
      <c r="AP232" s="344"/>
      <c r="AQ232" s="344"/>
      <c r="AR232" s="345"/>
      <c r="AS232" s="345"/>
      <c r="AT232" s="345"/>
      <c r="AU232" s="345"/>
      <c r="AV232" s="344"/>
      <c r="AW232" s="344"/>
      <c r="AX232" s="344"/>
      <c r="AY232" s="344"/>
      <c r="AZ232" s="344"/>
      <c r="BA232" s="344"/>
      <c r="BB232" s="344"/>
      <c r="BC232" s="344"/>
      <c r="BD232" s="345"/>
      <c r="BE232" s="345"/>
      <c r="BF232" s="345"/>
      <c r="BG232" s="345"/>
      <c r="BH232" s="345"/>
      <c r="BI232" s="345"/>
      <c r="BJ232" s="345"/>
      <c r="BK232" s="345"/>
      <c r="BL232" s="345"/>
    </row>
    <row r="233" spans="2:64" s="342" customFormat="1" ht="18.75" customHeight="1">
      <c r="B233" s="345"/>
      <c r="C233" s="344"/>
      <c r="D233" s="344"/>
      <c r="E233" s="344"/>
      <c r="F233" s="344"/>
      <c r="G233" s="344"/>
      <c r="H233" s="380"/>
      <c r="I233" s="344"/>
      <c r="J233" s="379"/>
      <c r="K233" s="519" t="s">
        <v>687</v>
      </c>
      <c r="L233" s="519"/>
      <c r="M233" s="519"/>
      <c r="N233" s="544" t="s">
        <v>239</v>
      </c>
      <c r="O233" s="546" t="s">
        <v>307</v>
      </c>
      <c r="P233" s="546"/>
      <c r="Q233" s="546"/>
      <c r="R233" s="544" t="s">
        <v>239</v>
      </c>
      <c r="S233" s="520">
        <f>T216</f>
        <v>0</v>
      </c>
      <c r="T233" s="520"/>
      <c r="U233" s="383" t="str">
        <f>R229</f>
        <v>μm</v>
      </c>
      <c r="V233" s="383"/>
      <c r="W233" s="544" t="s">
        <v>239</v>
      </c>
      <c r="X233" s="517">
        <f>S233/2/SQRT(3)</f>
        <v>0</v>
      </c>
      <c r="Y233" s="517"/>
      <c r="Z233" s="517"/>
      <c r="AA233" s="516" t="str">
        <f>U233</f>
        <v>μm</v>
      </c>
      <c r="AB233" s="516"/>
      <c r="AC233" s="171"/>
      <c r="AD233" s="171"/>
      <c r="AE233" s="171"/>
      <c r="AF233" s="344"/>
      <c r="AG233" s="344"/>
      <c r="AH233" s="344"/>
      <c r="AI233" s="344"/>
      <c r="AJ233" s="344"/>
      <c r="AK233" s="344"/>
      <c r="AL233" s="344"/>
      <c r="AM233" s="344"/>
      <c r="AN233" s="344"/>
      <c r="AO233" s="344"/>
      <c r="AP233" s="344"/>
      <c r="AQ233" s="344"/>
      <c r="AR233" s="345"/>
      <c r="AS233" s="345"/>
      <c r="AT233" s="345"/>
      <c r="AU233" s="345"/>
      <c r="AV233" s="344"/>
      <c r="AW233" s="344"/>
      <c r="AX233" s="344"/>
      <c r="AY233" s="344"/>
      <c r="AZ233" s="344"/>
      <c r="BA233" s="344"/>
      <c r="BB233" s="344"/>
      <c r="BC233" s="344"/>
      <c r="BD233" s="345"/>
      <c r="BE233" s="345"/>
      <c r="BF233" s="345"/>
      <c r="BG233" s="345"/>
      <c r="BH233" s="345"/>
      <c r="BI233" s="345"/>
      <c r="BJ233" s="345"/>
      <c r="BK233" s="345"/>
      <c r="BL233" s="345"/>
    </row>
    <row r="234" spans="2:64" s="342" customFormat="1" ht="18.75" customHeight="1">
      <c r="B234" s="345"/>
      <c r="C234" s="344"/>
      <c r="D234" s="344"/>
      <c r="E234" s="344"/>
      <c r="F234" s="344"/>
      <c r="G234" s="344"/>
      <c r="H234" s="380"/>
      <c r="I234" s="344"/>
      <c r="J234" s="388"/>
      <c r="K234" s="519"/>
      <c r="L234" s="519"/>
      <c r="M234" s="519"/>
      <c r="N234" s="544"/>
      <c r="O234" s="547"/>
      <c r="P234" s="547"/>
      <c r="Q234" s="547"/>
      <c r="R234" s="544"/>
      <c r="S234" s="547"/>
      <c r="T234" s="547"/>
      <c r="U234" s="547"/>
      <c r="V234" s="547"/>
      <c r="W234" s="544"/>
      <c r="X234" s="517"/>
      <c r="Y234" s="517"/>
      <c r="Z234" s="517"/>
      <c r="AA234" s="516"/>
      <c r="AB234" s="516"/>
      <c r="AC234" s="171"/>
      <c r="AD234" s="171"/>
      <c r="AE234" s="171"/>
      <c r="AF234" s="344"/>
      <c r="AG234" s="344"/>
      <c r="AH234" s="344"/>
      <c r="AI234" s="344"/>
      <c r="AJ234" s="344"/>
      <c r="AK234" s="344"/>
      <c r="AL234" s="344"/>
      <c r="AM234" s="344"/>
      <c r="AN234" s="344"/>
      <c r="AO234" s="344"/>
      <c r="AP234" s="344"/>
      <c r="AQ234" s="344"/>
      <c r="AR234" s="345"/>
      <c r="AS234" s="345"/>
      <c r="AT234" s="345"/>
      <c r="AU234" s="345"/>
      <c r="AV234" s="344"/>
      <c r="AW234" s="344"/>
      <c r="AX234" s="344"/>
      <c r="AY234" s="344"/>
      <c r="AZ234" s="344"/>
      <c r="BA234" s="344"/>
      <c r="BB234" s="344"/>
      <c r="BC234" s="344"/>
      <c r="BD234" s="345"/>
      <c r="BE234" s="345"/>
      <c r="BF234" s="345"/>
      <c r="BG234" s="345"/>
      <c r="BH234" s="345"/>
      <c r="BI234" s="345"/>
      <c r="BJ234" s="345"/>
      <c r="BK234" s="345"/>
      <c r="BL234" s="345"/>
    </row>
    <row r="235" spans="2:64" s="164" customFormat="1" ht="18.75" customHeight="1">
      <c r="B235" s="215"/>
      <c r="C235" s="214" t="s">
        <v>486</v>
      </c>
      <c r="D235" s="214"/>
      <c r="E235" s="214"/>
      <c r="F235" s="214"/>
      <c r="G235" s="214"/>
      <c r="H235" s="214"/>
      <c r="I235" s="524" t="str">
        <f>AB82</f>
        <v>직사각형</v>
      </c>
      <c r="J235" s="524"/>
      <c r="K235" s="524"/>
      <c r="L235" s="524"/>
      <c r="M235" s="524"/>
      <c r="N235" s="524"/>
      <c r="O235" s="524"/>
      <c r="P235" s="524"/>
      <c r="Q235" s="214"/>
      <c r="R235" s="214"/>
      <c r="S235" s="214"/>
      <c r="T235" s="214"/>
      <c r="U235" s="214"/>
      <c r="V235" s="214"/>
      <c r="W235" s="214"/>
      <c r="X235" s="214"/>
      <c r="Y235" s="214"/>
      <c r="Z235" s="215"/>
      <c r="AA235" s="215"/>
      <c r="AB235" s="215"/>
      <c r="AC235" s="215"/>
      <c r="AD235" s="215"/>
      <c r="AE235" s="215"/>
      <c r="AF235" s="215"/>
      <c r="AG235" s="215"/>
      <c r="AH235" s="214"/>
      <c r="AI235" s="214"/>
      <c r="AJ235" s="214"/>
      <c r="AK235" s="214"/>
      <c r="AL235" s="215"/>
      <c r="AM235" s="215"/>
      <c r="AN235" s="215"/>
      <c r="AO235" s="215"/>
      <c r="AP235" s="215"/>
      <c r="AQ235" s="215"/>
      <c r="AR235" s="215"/>
      <c r="AS235" s="214"/>
      <c r="AT235" s="214"/>
      <c r="AU235" s="214"/>
      <c r="AV235" s="214"/>
      <c r="AW235" s="214"/>
      <c r="AX235" s="214"/>
      <c r="AY235" s="215"/>
      <c r="AZ235" s="215"/>
      <c r="BA235" s="215"/>
      <c r="BB235" s="215"/>
      <c r="BC235" s="215"/>
      <c r="BD235" s="215"/>
      <c r="BE235" s="215"/>
      <c r="BF235" s="215"/>
      <c r="BG235" s="215"/>
    </row>
    <row r="236" spans="2:64" s="164" customFormat="1" ht="18.75" customHeight="1">
      <c r="B236" s="215"/>
      <c r="C236" s="526" t="s">
        <v>487</v>
      </c>
      <c r="D236" s="526"/>
      <c r="E236" s="526"/>
      <c r="F236" s="526"/>
      <c r="G236" s="526"/>
      <c r="H236" s="526"/>
      <c r="I236" s="214"/>
      <c r="J236" s="214"/>
      <c r="K236" s="214"/>
      <c r="L236" s="214"/>
      <c r="M236" s="214"/>
      <c r="N236" s="214"/>
      <c r="O236" s="215"/>
      <c r="P236" s="172"/>
      <c r="Q236" s="172"/>
      <c r="R236" s="172"/>
      <c r="S236" s="214"/>
      <c r="T236" s="214"/>
      <c r="U236" s="214"/>
      <c r="V236" s="214"/>
      <c r="W236" s="214"/>
      <c r="X236" s="214"/>
      <c r="Y236" s="214"/>
      <c r="Z236" s="173"/>
      <c r="AA236" s="173"/>
      <c r="AB236" s="214"/>
      <c r="AC236" s="214"/>
      <c r="AD236" s="214"/>
      <c r="AE236" s="214"/>
      <c r="AF236" s="214"/>
      <c r="AG236" s="214"/>
      <c r="AH236" s="214"/>
      <c r="AI236" s="214"/>
      <c r="AJ236" s="214"/>
      <c r="AK236" s="214"/>
      <c r="AL236" s="215"/>
      <c r="AM236" s="215"/>
      <c r="AN236" s="215"/>
      <c r="AO236" s="214"/>
      <c r="AP236" s="214"/>
      <c r="AQ236" s="214"/>
      <c r="AR236" s="214"/>
      <c r="AS236" s="214"/>
      <c r="AT236" s="214"/>
      <c r="AU236" s="214"/>
      <c r="AV236" s="214"/>
      <c r="AW236" s="214"/>
      <c r="AX236" s="214"/>
      <c r="AY236" s="215"/>
      <c r="AZ236" s="215"/>
      <c r="BA236" s="215"/>
      <c r="BB236" s="215"/>
      <c r="BC236" s="215"/>
      <c r="BD236" s="215"/>
      <c r="BE236" s="215"/>
      <c r="BF236" s="215"/>
      <c r="BG236" s="215"/>
    </row>
    <row r="237" spans="2:64" s="164" customFormat="1" ht="18.75" customHeight="1">
      <c r="B237" s="215"/>
      <c r="C237" s="526"/>
      <c r="D237" s="526"/>
      <c r="E237" s="526"/>
      <c r="F237" s="526"/>
      <c r="G237" s="526"/>
      <c r="H237" s="526"/>
      <c r="I237" s="214"/>
      <c r="J237" s="214"/>
      <c r="K237" s="214"/>
      <c r="L237" s="214"/>
      <c r="M237" s="214"/>
      <c r="N237" s="214"/>
      <c r="O237" s="214"/>
      <c r="P237" s="172"/>
      <c r="Q237" s="172"/>
      <c r="R237" s="172"/>
      <c r="S237" s="214"/>
      <c r="T237" s="214"/>
      <c r="U237" s="214"/>
      <c r="V237" s="214"/>
      <c r="W237" s="214"/>
      <c r="X237" s="214"/>
      <c r="Y237" s="214"/>
      <c r="Z237" s="173"/>
      <c r="AA237" s="173"/>
      <c r="AB237" s="214"/>
      <c r="AC237" s="214"/>
      <c r="AD237" s="214"/>
      <c r="AE237" s="214"/>
      <c r="AF237" s="214"/>
      <c r="AG237" s="214"/>
      <c r="AH237" s="214"/>
      <c r="AI237" s="214"/>
      <c r="AJ237" s="214"/>
      <c r="AK237" s="214"/>
      <c r="AL237" s="215"/>
      <c r="AM237" s="215"/>
      <c r="AN237" s="215"/>
      <c r="AO237" s="214"/>
      <c r="AP237" s="214"/>
      <c r="AQ237" s="214"/>
      <c r="AR237" s="214"/>
      <c r="AS237" s="214"/>
      <c r="AT237" s="214"/>
      <c r="AU237" s="214"/>
      <c r="AV237" s="214"/>
      <c r="AW237" s="214"/>
      <c r="AX237" s="214"/>
      <c r="AY237" s="215"/>
      <c r="AZ237" s="215"/>
      <c r="BA237" s="215"/>
      <c r="BB237" s="215"/>
      <c r="BC237" s="215"/>
      <c r="BD237" s="215"/>
      <c r="BE237" s="215"/>
      <c r="BF237" s="215"/>
      <c r="BG237" s="215"/>
    </row>
    <row r="238" spans="2:64" s="164" customFormat="1" ht="18.75" customHeight="1">
      <c r="B238" s="215"/>
      <c r="C238" s="214" t="s">
        <v>488</v>
      </c>
      <c r="D238" s="214"/>
      <c r="E238" s="214"/>
      <c r="F238" s="214"/>
      <c r="G238" s="214"/>
      <c r="H238" s="214"/>
      <c r="I238" s="214"/>
      <c r="J238" s="215"/>
      <c r="K238" s="215" t="s">
        <v>80</v>
      </c>
      <c r="L238" s="523">
        <v>1</v>
      </c>
      <c r="M238" s="523"/>
      <c r="N238" s="378" t="s">
        <v>81</v>
      </c>
      <c r="O238" s="540">
        <f>IF(O229=0,X233,X230)</f>
        <v>0</v>
      </c>
      <c r="P238" s="540"/>
      <c r="Q238" s="540"/>
      <c r="R238" s="382" t="str">
        <f>AA230</f>
        <v>μm</v>
      </c>
      <c r="S238" s="381"/>
      <c r="T238" s="215" t="s">
        <v>80</v>
      </c>
      <c r="U238" s="215" t="s">
        <v>239</v>
      </c>
      <c r="V238" s="517">
        <f>L238*O238</f>
        <v>0</v>
      </c>
      <c r="W238" s="517"/>
      <c r="X238" s="517"/>
      <c r="Y238" s="386" t="str">
        <f>R238</f>
        <v>μm</v>
      </c>
      <c r="Z238" s="55"/>
      <c r="AA238" s="382"/>
      <c r="AB238" s="174"/>
      <c r="AC238" s="167"/>
      <c r="AD238" s="215"/>
      <c r="AE238" s="214"/>
      <c r="AF238" s="215"/>
      <c r="AG238" s="215"/>
      <c r="AH238" s="215"/>
      <c r="AI238" s="215"/>
      <c r="AJ238" s="215"/>
      <c r="AK238" s="214"/>
      <c r="AL238" s="215"/>
      <c r="AM238" s="215"/>
      <c r="AN238" s="215"/>
      <c r="AO238" s="214"/>
      <c r="AP238" s="214"/>
      <c r="AQ238" s="214"/>
      <c r="AR238" s="214"/>
      <c r="AS238" s="214"/>
      <c r="AT238" s="214"/>
      <c r="AU238" s="214"/>
      <c r="AV238" s="214"/>
      <c r="AW238" s="214"/>
      <c r="AX238" s="214"/>
      <c r="AY238" s="215"/>
      <c r="AZ238" s="215"/>
      <c r="BA238" s="215"/>
      <c r="BB238" s="215"/>
      <c r="BC238" s="215"/>
      <c r="BD238" s="215"/>
      <c r="BE238" s="215"/>
      <c r="BF238" s="215"/>
      <c r="BG238" s="215"/>
    </row>
    <row r="239" spans="2:64" s="164" customFormat="1" ht="18.75" customHeight="1">
      <c r="B239" s="215"/>
      <c r="C239" s="526" t="s">
        <v>489</v>
      </c>
      <c r="D239" s="526"/>
      <c r="E239" s="526"/>
      <c r="F239" s="526"/>
      <c r="G239" s="526"/>
      <c r="H239" s="214"/>
      <c r="J239" s="214"/>
      <c r="K239" s="214"/>
      <c r="L239" s="214"/>
      <c r="M239" s="214"/>
      <c r="N239" s="214"/>
      <c r="O239" s="214"/>
      <c r="P239" s="214"/>
      <c r="Q239" s="214"/>
      <c r="R239" s="167"/>
      <c r="S239" s="214"/>
      <c r="T239" s="214"/>
      <c r="U239" s="214"/>
      <c r="W239" s="214"/>
      <c r="X239" s="56" t="s">
        <v>532</v>
      </c>
      <c r="Y239" s="214"/>
      <c r="Z239" s="214"/>
      <c r="AA239" s="214"/>
      <c r="AB239" s="214"/>
      <c r="AC239" s="214"/>
      <c r="AD239" s="214"/>
      <c r="AE239" s="215"/>
      <c r="AF239" s="215"/>
      <c r="AG239" s="215"/>
      <c r="AH239" s="215"/>
      <c r="AI239" s="215"/>
      <c r="AJ239" s="215"/>
      <c r="AK239" s="215"/>
      <c r="AL239" s="215"/>
      <c r="AM239" s="215"/>
      <c r="AN239" s="215"/>
      <c r="AO239" s="215"/>
      <c r="AP239" s="215"/>
      <c r="AQ239" s="215"/>
      <c r="AR239" s="215"/>
      <c r="AS239" s="215"/>
      <c r="AT239" s="215"/>
      <c r="AU239" s="215"/>
      <c r="AV239" s="215"/>
      <c r="AW239" s="215"/>
      <c r="AX239" s="215"/>
      <c r="AY239" s="215"/>
      <c r="AZ239" s="215"/>
      <c r="BA239" s="215"/>
      <c r="BB239" s="215"/>
      <c r="BC239" s="215"/>
      <c r="BD239" s="215"/>
      <c r="BE239" s="215"/>
      <c r="BF239" s="215"/>
      <c r="BG239" s="215"/>
    </row>
    <row r="240" spans="2:64" s="164" customFormat="1" ht="18.75" customHeight="1">
      <c r="B240" s="215"/>
      <c r="C240" s="526"/>
      <c r="D240" s="526"/>
      <c r="E240" s="526"/>
      <c r="F240" s="526"/>
      <c r="G240" s="526"/>
      <c r="H240" s="214"/>
      <c r="I240" s="214"/>
      <c r="J240" s="214"/>
      <c r="K240" s="214"/>
      <c r="L240" s="214"/>
      <c r="M240" s="214"/>
      <c r="N240" s="214"/>
      <c r="O240" s="214"/>
      <c r="P240" s="214"/>
      <c r="Q240" s="214"/>
      <c r="R240" s="167"/>
      <c r="S240" s="214"/>
      <c r="T240" s="214"/>
      <c r="U240" s="214"/>
      <c r="V240" s="214"/>
      <c r="W240" s="214"/>
      <c r="X240" s="214"/>
      <c r="Y240" s="214"/>
      <c r="Z240" s="214"/>
      <c r="AA240" s="214"/>
      <c r="AB240" s="214"/>
      <c r="AC240" s="214"/>
      <c r="AD240" s="214"/>
      <c r="AE240" s="215"/>
      <c r="AF240" s="214"/>
      <c r="AG240" s="215"/>
      <c r="AH240" s="215"/>
      <c r="AI240" s="215"/>
      <c r="AJ240" s="215"/>
      <c r="AK240" s="215"/>
      <c r="AL240" s="215"/>
      <c r="AM240" s="215"/>
      <c r="AN240" s="215"/>
      <c r="AO240" s="215"/>
      <c r="AP240" s="215"/>
      <c r="AQ240" s="215"/>
      <c r="AR240" s="215"/>
      <c r="AS240" s="215"/>
      <c r="AT240" s="215"/>
      <c r="AU240" s="215"/>
      <c r="AV240" s="215"/>
      <c r="AW240" s="215"/>
      <c r="AX240" s="215"/>
      <c r="AY240" s="215"/>
      <c r="AZ240" s="215"/>
      <c r="BA240" s="215"/>
      <c r="BB240" s="215"/>
      <c r="BC240" s="215"/>
      <c r="BD240" s="215"/>
      <c r="BE240" s="215"/>
      <c r="BF240" s="215"/>
      <c r="BG240" s="215"/>
    </row>
    <row r="241" spans="1:63" s="164" customFormat="1" ht="18.75" customHeight="1">
      <c r="B241" s="215"/>
      <c r="C241" s="214"/>
      <c r="D241" s="214"/>
      <c r="E241" s="214"/>
      <c r="F241" s="214"/>
      <c r="G241" s="215"/>
      <c r="H241" s="214"/>
      <c r="I241" s="214"/>
      <c r="J241" s="214"/>
      <c r="K241" s="214"/>
      <c r="L241" s="214"/>
      <c r="M241" s="214"/>
      <c r="N241" s="214"/>
      <c r="O241" s="214"/>
      <c r="P241" s="214"/>
      <c r="Q241" s="214"/>
      <c r="R241" s="214"/>
      <c r="S241" s="214"/>
      <c r="T241" s="214"/>
      <c r="U241" s="214"/>
      <c r="V241" s="214"/>
      <c r="W241" s="214"/>
      <c r="X241" s="214"/>
      <c r="Y241" s="214"/>
      <c r="Z241" s="214"/>
      <c r="AA241" s="214"/>
      <c r="AB241" s="214"/>
      <c r="AC241" s="214"/>
      <c r="AD241" s="214"/>
      <c r="AE241" s="215"/>
      <c r="AF241" s="214"/>
      <c r="AG241" s="215"/>
      <c r="AH241" s="215"/>
      <c r="AI241" s="215"/>
      <c r="AJ241" s="215"/>
      <c r="AK241" s="215"/>
      <c r="AL241" s="215"/>
      <c r="AM241" s="215"/>
      <c r="AN241" s="215"/>
      <c r="AO241" s="215"/>
      <c r="AP241" s="215"/>
      <c r="AQ241" s="215"/>
      <c r="AR241" s="215"/>
      <c r="AS241" s="215"/>
      <c r="AT241" s="215"/>
      <c r="AU241" s="215"/>
      <c r="AV241" s="215"/>
      <c r="AW241" s="215"/>
      <c r="AX241" s="215"/>
      <c r="AY241" s="215"/>
      <c r="AZ241" s="215"/>
      <c r="BA241" s="215"/>
      <c r="BB241" s="215"/>
      <c r="BC241" s="215"/>
      <c r="BD241" s="215"/>
      <c r="BE241" s="215"/>
      <c r="BF241" s="215"/>
      <c r="BG241" s="215"/>
    </row>
    <row r="242" spans="1:63" s="164" customFormat="1" ht="18.75" customHeight="1">
      <c r="B242" s="57" t="s">
        <v>490</v>
      </c>
      <c r="C242" s="214"/>
      <c r="E242" s="214"/>
      <c r="F242" s="214"/>
      <c r="G242" s="215"/>
      <c r="H242" s="214"/>
      <c r="I242" s="214"/>
      <c r="J242" s="214"/>
      <c r="K242" s="214"/>
      <c r="L242" s="214"/>
      <c r="M242" s="214"/>
      <c r="N242" s="214"/>
      <c r="O242" s="214"/>
      <c r="P242" s="214"/>
      <c r="Q242" s="214"/>
      <c r="R242" s="214"/>
      <c r="S242" s="214"/>
      <c r="T242" s="214"/>
      <c r="U242" s="214"/>
      <c r="V242" s="214"/>
      <c r="W242" s="214"/>
      <c r="X242" s="214"/>
      <c r="Y242" s="214"/>
      <c r="Z242" s="214"/>
      <c r="AA242" s="214"/>
      <c r="AB242" s="214"/>
      <c r="AC242" s="214"/>
      <c r="AD242" s="214"/>
      <c r="AE242" s="215"/>
      <c r="AF242" s="214"/>
      <c r="AG242" s="215"/>
      <c r="AH242" s="215"/>
      <c r="AI242" s="215"/>
      <c r="AJ242" s="215"/>
      <c r="AK242" s="215"/>
      <c r="AL242" s="215"/>
      <c r="AM242" s="215"/>
      <c r="AN242" s="215"/>
      <c r="AO242" s="215"/>
      <c r="AP242" s="215"/>
      <c r="AQ242" s="215"/>
      <c r="AR242" s="215"/>
      <c r="AS242" s="215"/>
      <c r="AT242" s="215"/>
      <c r="AU242" s="215"/>
      <c r="AV242" s="215"/>
      <c r="AW242" s="215"/>
      <c r="AX242" s="215"/>
      <c r="AY242" s="215"/>
      <c r="AZ242" s="215"/>
      <c r="BA242" s="215"/>
      <c r="BB242" s="215"/>
      <c r="BC242" s="215"/>
      <c r="BD242" s="215"/>
      <c r="BE242" s="215"/>
      <c r="BF242" s="215"/>
      <c r="BG242" s="215"/>
    </row>
    <row r="243" spans="1:63" s="164" customFormat="1" ht="18.75" customHeight="1">
      <c r="B243" s="215"/>
      <c r="C243" s="218" t="s">
        <v>491</v>
      </c>
      <c r="D243" s="215"/>
      <c r="E243" s="215"/>
      <c r="F243" s="215"/>
      <c r="G243" s="215"/>
      <c r="H243" s="539" t="str">
        <f>H83</f>
        <v>-</v>
      </c>
      <c r="I243" s="539"/>
      <c r="J243" s="539"/>
      <c r="K243" s="539"/>
      <c r="L243" s="539"/>
      <c r="M243" s="539"/>
      <c r="N243" s="539"/>
      <c r="O243" s="539"/>
      <c r="P243" s="219"/>
      <c r="Q243" s="214"/>
      <c r="R243" s="214"/>
      <c r="S243" s="214"/>
      <c r="T243" s="214"/>
      <c r="U243" s="214"/>
      <c r="V243" s="214"/>
      <c r="W243" s="214"/>
      <c r="X243" s="214"/>
      <c r="Y243" s="214"/>
      <c r="Z243" s="214"/>
      <c r="AA243" s="214"/>
      <c r="AB243" s="214"/>
      <c r="AC243" s="214"/>
      <c r="AD243" s="214"/>
      <c r="AE243" s="214"/>
      <c r="AF243" s="214"/>
      <c r="AG243" s="214"/>
      <c r="AH243" s="214"/>
      <c r="AI243" s="214"/>
      <c r="AJ243" s="214"/>
      <c r="AK243" s="214"/>
      <c r="AL243" s="214"/>
      <c r="AM243" s="214"/>
      <c r="AN243" s="214"/>
      <c r="AO243" s="214"/>
      <c r="AP243" s="214"/>
      <c r="AQ243" s="214"/>
      <c r="AR243" s="214"/>
      <c r="AS243" s="214"/>
      <c r="AT243" s="214"/>
      <c r="AU243" s="214"/>
      <c r="AV243" s="214"/>
      <c r="AW243" s="214"/>
      <c r="AX243" s="214"/>
      <c r="AY243" s="215"/>
      <c r="AZ243" s="215"/>
      <c r="BA243" s="215"/>
      <c r="BB243" s="215"/>
      <c r="BC243" s="215"/>
      <c r="BD243" s="215"/>
      <c r="BE243" s="215"/>
      <c r="BF243" s="215"/>
      <c r="BG243" s="215"/>
    </row>
    <row r="244" spans="1:63" s="164" customFormat="1" ht="18.75" customHeight="1">
      <c r="B244" s="215"/>
      <c r="C244" s="214" t="s">
        <v>492</v>
      </c>
      <c r="D244" s="214"/>
      <c r="E244" s="214"/>
      <c r="F244" s="214"/>
      <c r="G244" s="214"/>
      <c r="H244" s="214"/>
      <c r="I244" s="215"/>
      <c r="J244" s="214" t="s">
        <v>493</v>
      </c>
      <c r="K244" s="214"/>
      <c r="L244" s="214"/>
      <c r="M244" s="214"/>
      <c r="N244" s="214"/>
      <c r="O244" s="214"/>
      <c r="P244" s="214"/>
      <c r="Q244" s="214"/>
      <c r="R244" s="214"/>
      <c r="S244" s="214"/>
      <c r="T244" s="214"/>
      <c r="U244" s="214"/>
      <c r="V244" s="214"/>
      <c r="W244" s="214"/>
      <c r="X244" s="214"/>
      <c r="Y244" s="214"/>
      <c r="Z244" s="214"/>
      <c r="AA244" s="214"/>
      <c r="AB244" s="214"/>
      <c r="AC244" s="214"/>
      <c r="AD244" s="214"/>
      <c r="AE244" s="214"/>
      <c r="AF244" s="214"/>
      <c r="AG244" s="214"/>
      <c r="AH244" s="214"/>
      <c r="AI244" s="214"/>
      <c r="AJ244" s="214"/>
      <c r="AK244" s="214"/>
      <c r="AL244" s="214"/>
      <c r="AM244" s="214"/>
      <c r="AN244" s="214"/>
      <c r="AO244" s="214"/>
      <c r="AP244" s="214"/>
      <c r="AQ244" s="214"/>
      <c r="AR244" s="214"/>
      <c r="AS244" s="214"/>
      <c r="AT244" s="214"/>
      <c r="AU244" s="214"/>
      <c r="AV244" s="214"/>
      <c r="AW244" s="214"/>
      <c r="AX244" s="214"/>
      <c r="AY244" s="214"/>
      <c r="AZ244" s="214"/>
      <c r="BA244" s="214"/>
      <c r="BB244" s="215"/>
      <c r="BC244" s="215"/>
      <c r="BD244" s="215"/>
      <c r="BE244" s="215"/>
      <c r="BF244" s="215"/>
      <c r="BG244" s="215"/>
    </row>
    <row r="245" spans="1:63" s="164" customFormat="1" ht="18.75" customHeight="1">
      <c r="B245" s="215"/>
      <c r="C245" s="214"/>
      <c r="D245" s="214"/>
      <c r="E245" s="214"/>
      <c r="F245" s="214"/>
      <c r="G245" s="214"/>
      <c r="H245" s="214"/>
      <c r="I245" s="538" t="s">
        <v>494</v>
      </c>
      <c r="J245" s="538"/>
      <c r="K245" s="538"/>
      <c r="L245" s="538"/>
      <c r="M245" s="217" t="s">
        <v>239</v>
      </c>
      <c r="N245" s="322" t="s">
        <v>495</v>
      </c>
      <c r="O245" s="323"/>
      <c r="P245" s="323"/>
      <c r="Q245" s="324"/>
      <c r="R245" s="178"/>
      <c r="S245" s="325" t="s">
        <v>496</v>
      </c>
      <c r="T245" s="517">
        <f>O80</f>
        <v>0.57735026918962584</v>
      </c>
      <c r="U245" s="517"/>
      <c r="V245" s="517"/>
      <c r="W245" s="178" t="s">
        <v>497</v>
      </c>
      <c r="X245" s="178"/>
      <c r="Y245" s="325" t="s">
        <v>464</v>
      </c>
      <c r="Z245" s="517">
        <f>O79*T245*10^6</f>
        <v>0.47140452079103179</v>
      </c>
      <c r="AA245" s="517"/>
      <c r="AB245" s="517"/>
      <c r="AC245" s="162" t="s">
        <v>498</v>
      </c>
      <c r="AD245" s="178"/>
      <c r="AE245" s="178"/>
      <c r="AF245" s="214"/>
      <c r="AG245" s="214"/>
      <c r="AH245" s="214"/>
      <c r="AI245" s="214"/>
      <c r="AJ245" s="214"/>
      <c r="AK245" s="214"/>
      <c r="AL245" s="214"/>
      <c r="AM245" s="214"/>
      <c r="AN245" s="214"/>
      <c r="AO245" s="214"/>
      <c r="AP245" s="214"/>
      <c r="AQ245" s="215"/>
      <c r="AR245" s="215"/>
      <c r="AS245" s="215"/>
      <c r="AT245" s="215"/>
      <c r="AU245" s="214"/>
      <c r="AV245" s="214"/>
      <c r="AW245" s="214"/>
      <c r="AX245" s="214"/>
      <c r="AY245" s="214"/>
      <c r="AZ245" s="214"/>
      <c r="BA245" s="214"/>
      <c r="BB245" s="214"/>
      <c r="BC245" s="215"/>
      <c r="BD245" s="215"/>
      <c r="BE245" s="215"/>
      <c r="BF245" s="215"/>
      <c r="BG245" s="215"/>
      <c r="BH245" s="215"/>
      <c r="BI245" s="215"/>
      <c r="BJ245" s="215"/>
      <c r="BK245" s="215"/>
    </row>
    <row r="246" spans="1:63" s="164" customFormat="1" ht="18.75" customHeight="1">
      <c r="B246" s="215"/>
      <c r="C246" s="214" t="s">
        <v>499</v>
      </c>
      <c r="D246" s="214"/>
      <c r="E246" s="214"/>
      <c r="F246" s="214"/>
      <c r="G246" s="214"/>
      <c r="H246" s="214"/>
      <c r="I246" s="524" t="str">
        <f>AB83</f>
        <v>정규</v>
      </c>
      <c r="J246" s="524"/>
      <c r="K246" s="524"/>
      <c r="L246" s="524"/>
      <c r="M246" s="524"/>
      <c r="N246" s="524"/>
      <c r="O246" s="524"/>
      <c r="P246" s="524"/>
      <c r="Q246" s="214"/>
      <c r="R246" s="214"/>
      <c r="S246" s="214"/>
      <c r="T246" s="214"/>
      <c r="U246" s="214"/>
      <c r="V246" s="214"/>
      <c r="W246" s="214"/>
      <c r="X246" s="214"/>
      <c r="Y246" s="214"/>
      <c r="Z246" s="215"/>
      <c r="AA246" s="215"/>
      <c r="AB246" s="215"/>
      <c r="AC246" s="215"/>
      <c r="AD246" s="215"/>
      <c r="AE246" s="215"/>
      <c r="AF246" s="215"/>
      <c r="AG246" s="215"/>
      <c r="AH246" s="214"/>
      <c r="AI246" s="214"/>
      <c r="AJ246" s="214"/>
      <c r="AK246" s="214"/>
      <c r="AL246" s="215"/>
      <c r="AM246" s="215"/>
      <c r="AN246" s="215"/>
      <c r="AO246" s="215"/>
      <c r="AP246" s="215"/>
      <c r="AQ246" s="215"/>
      <c r="AR246" s="215"/>
      <c r="AS246" s="214"/>
      <c r="AT246" s="214"/>
      <c r="AU246" s="214"/>
      <c r="AV246" s="214"/>
      <c r="AW246" s="214"/>
      <c r="AX246" s="214"/>
      <c r="AY246" s="215"/>
      <c r="AZ246" s="215"/>
      <c r="BA246" s="215"/>
      <c r="BB246" s="215"/>
      <c r="BC246" s="215"/>
      <c r="BD246" s="215"/>
      <c r="BE246" s="215"/>
      <c r="BF246" s="215"/>
      <c r="BG246" s="215"/>
    </row>
    <row r="247" spans="1:63" s="164" customFormat="1" ht="18.75" customHeight="1">
      <c r="B247" s="215"/>
      <c r="C247" s="526" t="s">
        <v>500</v>
      </c>
      <c r="D247" s="526"/>
      <c r="E247" s="526"/>
      <c r="F247" s="526"/>
      <c r="G247" s="526"/>
      <c r="H247" s="526"/>
      <c r="I247" s="214"/>
      <c r="J247" s="214"/>
      <c r="K247" s="214"/>
      <c r="L247" s="214"/>
      <c r="M247" s="214"/>
      <c r="N247" s="214"/>
      <c r="O247" s="523" t="s">
        <v>501</v>
      </c>
      <c r="P247" s="523"/>
      <c r="Q247" s="523"/>
      <c r="R247" s="523"/>
      <c r="S247" s="523"/>
      <c r="T247" s="523"/>
      <c r="U247" s="527">
        <v>1000</v>
      </c>
      <c r="V247" s="527"/>
      <c r="W247" s="527"/>
      <c r="X247" s="526" t="s">
        <v>432</v>
      </c>
      <c r="Y247" s="526"/>
      <c r="Z247" s="526"/>
      <c r="AA247" s="526"/>
      <c r="AC247" s="214"/>
      <c r="AD247" s="214"/>
      <c r="AE247" s="214"/>
      <c r="AF247" s="214"/>
      <c r="AG247" s="214"/>
      <c r="AH247" s="214"/>
      <c r="AI247" s="214"/>
      <c r="AJ247" s="214"/>
      <c r="AK247" s="214"/>
      <c r="AL247" s="215"/>
      <c r="AM247" s="215"/>
      <c r="AN247" s="215"/>
      <c r="AO247" s="214"/>
      <c r="AP247" s="214"/>
      <c r="AQ247" s="214"/>
      <c r="AR247" s="214"/>
      <c r="AS247" s="214"/>
      <c r="AT247" s="214"/>
      <c r="AU247" s="214"/>
      <c r="AV247" s="214"/>
      <c r="AW247" s="214"/>
      <c r="AX247" s="214"/>
      <c r="AY247" s="215"/>
      <c r="AZ247" s="215"/>
      <c r="BA247" s="215"/>
      <c r="BB247" s="215"/>
      <c r="BC247" s="215"/>
      <c r="BD247" s="215"/>
      <c r="BE247" s="215"/>
      <c r="BF247" s="215"/>
      <c r="BG247" s="215"/>
    </row>
    <row r="248" spans="1:63" s="164" customFormat="1" ht="18.75" customHeight="1">
      <c r="B248" s="215"/>
      <c r="C248" s="526"/>
      <c r="D248" s="526"/>
      <c r="E248" s="526"/>
      <c r="F248" s="526"/>
      <c r="G248" s="526"/>
      <c r="H248" s="526"/>
      <c r="I248" s="214"/>
      <c r="J248" s="214"/>
      <c r="K248" s="214"/>
      <c r="L248" s="214"/>
      <c r="M248" s="214"/>
      <c r="N248" s="214"/>
      <c r="O248" s="523"/>
      <c r="P248" s="523"/>
      <c r="Q248" s="523"/>
      <c r="R248" s="523"/>
      <c r="S248" s="523"/>
      <c r="T248" s="523"/>
      <c r="U248" s="527"/>
      <c r="V248" s="527"/>
      <c r="W248" s="527"/>
      <c r="X248" s="526"/>
      <c r="Y248" s="526"/>
      <c r="Z248" s="526"/>
      <c r="AA248" s="526"/>
      <c r="AB248" s="214"/>
      <c r="AC248" s="214"/>
      <c r="AD248" s="214"/>
      <c r="AE248" s="214"/>
      <c r="AF248" s="214"/>
      <c r="AG248" s="214"/>
      <c r="AH248" s="214"/>
      <c r="AI248" s="214"/>
      <c r="AJ248" s="214"/>
      <c r="AK248" s="214"/>
      <c r="AL248" s="215"/>
      <c r="AM248" s="215"/>
      <c r="AN248" s="215"/>
      <c r="AO248" s="214"/>
      <c r="AP248" s="214"/>
      <c r="AQ248" s="214"/>
      <c r="AR248" s="214"/>
      <c r="AS248" s="214"/>
      <c r="AT248" s="214"/>
      <c r="AU248" s="214"/>
      <c r="AV248" s="214"/>
      <c r="AW248" s="214"/>
      <c r="AX248" s="214"/>
      <c r="AY248" s="215"/>
      <c r="AZ248" s="215"/>
      <c r="BA248" s="215"/>
      <c r="BB248" s="215"/>
      <c r="BC248" s="215"/>
      <c r="BD248" s="215"/>
      <c r="BE248" s="215"/>
      <c r="BF248" s="215"/>
      <c r="BG248" s="215"/>
    </row>
    <row r="249" spans="1:63" s="164" customFormat="1" ht="18.75" customHeight="1">
      <c r="B249" s="215"/>
      <c r="C249" s="214" t="s">
        <v>502</v>
      </c>
      <c r="D249" s="214"/>
      <c r="E249" s="214"/>
      <c r="F249" s="214"/>
      <c r="G249" s="214"/>
      <c r="H249" s="214"/>
      <c r="I249" s="215"/>
      <c r="K249" s="214" t="s">
        <v>503</v>
      </c>
      <c r="L249" s="214"/>
      <c r="M249" s="214"/>
      <c r="N249" s="214"/>
      <c r="O249" s="214"/>
      <c r="P249" s="214"/>
      <c r="Q249" s="214"/>
      <c r="R249" s="214"/>
      <c r="S249" s="214"/>
      <c r="T249" s="214"/>
      <c r="U249" s="214"/>
      <c r="V249" s="214"/>
      <c r="W249" s="214"/>
      <c r="X249" s="214"/>
      <c r="Y249" s="214"/>
      <c r="Z249" s="214"/>
      <c r="AA249" s="214"/>
      <c r="AB249" s="214"/>
      <c r="AC249" s="214"/>
      <c r="AD249" s="214"/>
      <c r="AE249" s="214"/>
      <c r="AF249" s="214"/>
      <c r="AG249" s="214"/>
      <c r="AI249" s="214"/>
      <c r="AJ249" s="214"/>
      <c r="AK249" s="214"/>
      <c r="AL249" s="214"/>
      <c r="AM249" s="214"/>
      <c r="AN249" s="214"/>
      <c r="AO249" s="214"/>
      <c r="AP249" s="214"/>
      <c r="AQ249" s="214"/>
      <c r="AR249" s="214"/>
      <c r="AS249" s="214"/>
      <c r="AT249" s="214"/>
      <c r="AU249" s="214"/>
      <c r="AV249" s="214"/>
      <c r="AW249" s="214"/>
      <c r="AX249" s="214"/>
      <c r="AY249" s="214"/>
      <c r="AZ249" s="214"/>
      <c r="BA249" s="214"/>
      <c r="BB249" s="215"/>
      <c r="BC249" s="215"/>
      <c r="BD249" s="215"/>
      <c r="BE249" s="215"/>
      <c r="BF249" s="215"/>
      <c r="BG249" s="215"/>
    </row>
    <row r="250" spans="1:63" s="164" customFormat="1" ht="18.75" customHeight="1">
      <c r="B250" s="215"/>
      <c r="D250" s="214"/>
      <c r="E250" s="214"/>
      <c r="F250" s="214"/>
      <c r="G250" s="214"/>
      <c r="H250" s="214"/>
      <c r="I250" s="214"/>
      <c r="J250" s="215"/>
      <c r="K250" s="215" t="s">
        <v>80</v>
      </c>
      <c r="L250" s="523">
        <f>U247</f>
        <v>1000</v>
      </c>
      <c r="M250" s="523"/>
      <c r="N250" s="523"/>
      <c r="O250" s="214" t="s">
        <v>504</v>
      </c>
      <c r="P250" s="214"/>
      <c r="Q250" s="214"/>
      <c r="R250" s="168"/>
      <c r="S250" s="540">
        <f>Z245</f>
        <v>0.47140452079103179</v>
      </c>
      <c r="T250" s="540"/>
      <c r="U250" s="540"/>
      <c r="V250" s="162" t="s">
        <v>498</v>
      </c>
      <c r="W250" s="326"/>
      <c r="X250" s="326"/>
      <c r="Y250" s="215" t="s">
        <v>80</v>
      </c>
      <c r="Z250" s="215" t="s">
        <v>239</v>
      </c>
      <c r="AA250" s="541">
        <f>L250*S250*10^-6</f>
        <v>4.714045207910318E-4</v>
      </c>
      <c r="AB250" s="541"/>
      <c r="AC250" s="541"/>
      <c r="AD250" s="541"/>
      <c r="AE250" s="541"/>
      <c r="AF250" s="214" t="s">
        <v>432</v>
      </c>
      <c r="AG250" s="174"/>
      <c r="AH250" s="215"/>
      <c r="AI250" s="214"/>
      <c r="AK250" s="214"/>
      <c r="AL250" s="214"/>
      <c r="AM250" s="214"/>
      <c r="AN250" s="214"/>
      <c r="AO250" s="214"/>
      <c r="AP250" s="215"/>
      <c r="AQ250" s="215"/>
      <c r="AR250" s="215"/>
      <c r="AS250" s="214"/>
      <c r="AT250" s="214"/>
      <c r="AU250" s="214"/>
      <c r="AV250" s="214"/>
      <c r="AW250" s="214"/>
      <c r="AX250" s="214"/>
      <c r="AY250" s="214"/>
      <c r="AZ250" s="214"/>
      <c r="BA250" s="214"/>
      <c r="BB250" s="214"/>
      <c r="BC250" s="215"/>
      <c r="BD250" s="215"/>
      <c r="BE250" s="215"/>
      <c r="BF250" s="215"/>
      <c r="BG250" s="215"/>
      <c r="BH250" s="215"/>
      <c r="BI250" s="215"/>
      <c r="BJ250" s="215"/>
      <c r="BK250" s="215"/>
    </row>
    <row r="251" spans="1:63" s="164" customFormat="1" ht="18.75" customHeight="1">
      <c r="B251" s="215"/>
      <c r="C251" s="526" t="s">
        <v>505</v>
      </c>
      <c r="D251" s="526"/>
      <c r="E251" s="526"/>
      <c r="F251" s="526"/>
      <c r="G251" s="526"/>
      <c r="H251" s="214"/>
      <c r="J251" s="214"/>
      <c r="K251" s="214"/>
      <c r="L251" s="214"/>
      <c r="M251" s="214"/>
      <c r="N251" s="214"/>
      <c r="O251" s="214"/>
      <c r="P251" s="214"/>
      <c r="Q251" s="214"/>
      <c r="R251" s="167"/>
      <c r="S251" s="214"/>
      <c r="T251" s="214"/>
      <c r="U251" s="214"/>
      <c r="W251" s="56" t="s">
        <v>87</v>
      </c>
      <c r="X251" s="214"/>
      <c r="Y251" s="214"/>
      <c r="Z251" s="214"/>
      <c r="AA251" s="214"/>
      <c r="AB251" s="214"/>
      <c r="AC251" s="214"/>
      <c r="AD251" s="214"/>
      <c r="AE251" s="215"/>
      <c r="AF251" s="215"/>
      <c r="AG251" s="215"/>
      <c r="AH251" s="215"/>
      <c r="AI251" s="215"/>
      <c r="AJ251" s="214"/>
      <c r="AK251" s="214"/>
      <c r="AL251" s="214"/>
      <c r="AM251" s="214"/>
      <c r="AN251" s="215"/>
      <c r="AO251" s="215"/>
      <c r="AP251" s="215"/>
      <c r="AQ251" s="215"/>
      <c r="AR251" s="215"/>
      <c r="AS251" s="215"/>
      <c r="AT251" s="215"/>
      <c r="AU251" s="215"/>
      <c r="AV251" s="215"/>
      <c r="AW251" s="215"/>
      <c r="AX251" s="215"/>
      <c r="AY251" s="215"/>
      <c r="AZ251" s="215"/>
      <c r="BA251" s="215"/>
      <c r="BB251" s="215"/>
      <c r="BC251" s="215"/>
      <c r="BD251" s="215"/>
      <c r="BE251" s="215"/>
      <c r="BF251" s="215"/>
      <c r="BG251" s="215"/>
    </row>
    <row r="252" spans="1:63" s="164" customFormat="1" ht="18.75" customHeight="1">
      <c r="B252" s="215"/>
      <c r="C252" s="526"/>
      <c r="D252" s="526"/>
      <c r="E252" s="526"/>
      <c r="F252" s="526"/>
      <c r="G252" s="526"/>
      <c r="H252" s="214"/>
      <c r="I252" s="214"/>
      <c r="J252" s="214"/>
      <c r="K252" s="214"/>
      <c r="L252" s="214"/>
      <c r="M252" s="214"/>
      <c r="N252" s="214"/>
      <c r="O252" s="214"/>
      <c r="P252" s="214"/>
      <c r="Q252" s="214"/>
      <c r="R252" s="167"/>
      <c r="S252" s="214"/>
      <c r="T252" s="214"/>
      <c r="U252" s="214"/>
      <c r="V252" s="214"/>
      <c r="W252" s="214"/>
      <c r="X252" s="214"/>
      <c r="Y252" s="214"/>
      <c r="Z252" s="214"/>
      <c r="AA252" s="214"/>
      <c r="AB252" s="214"/>
      <c r="AC252" s="214"/>
      <c r="AD252" s="214"/>
      <c r="AE252" s="215"/>
      <c r="AF252" s="214"/>
      <c r="AG252" s="215"/>
      <c r="AH252" s="215"/>
      <c r="AI252" s="215"/>
      <c r="AJ252" s="215"/>
      <c r="AK252" s="215"/>
      <c r="AL252" s="215"/>
      <c r="AM252" s="215"/>
      <c r="AN252" s="215"/>
      <c r="AO252" s="215"/>
      <c r="AP252" s="215"/>
      <c r="AQ252" s="215"/>
      <c r="AR252" s="215"/>
      <c r="AS252" s="215"/>
      <c r="AT252" s="215"/>
      <c r="AU252" s="215"/>
      <c r="AV252" s="215"/>
      <c r="AW252" s="215"/>
      <c r="AX252" s="215"/>
      <c r="AY252" s="215"/>
      <c r="AZ252" s="215"/>
      <c r="BA252" s="215"/>
      <c r="BB252" s="215"/>
      <c r="BC252" s="215"/>
      <c r="BD252" s="215"/>
      <c r="BE252" s="215"/>
      <c r="BF252" s="215"/>
      <c r="BG252" s="215"/>
    </row>
    <row r="253" spans="1:63" s="164" customFormat="1" ht="18.75" customHeight="1">
      <c r="B253" s="215"/>
      <c r="C253" s="214"/>
      <c r="D253" s="214"/>
      <c r="E253" s="214"/>
      <c r="F253" s="214"/>
      <c r="G253" s="215"/>
      <c r="H253" s="214"/>
      <c r="I253" s="214"/>
      <c r="J253" s="214"/>
      <c r="K253" s="214"/>
      <c r="L253" s="214"/>
      <c r="M253" s="214"/>
      <c r="N253" s="214"/>
      <c r="O253" s="214"/>
      <c r="P253" s="214"/>
      <c r="Q253" s="214"/>
      <c r="R253" s="214"/>
      <c r="S253" s="214"/>
      <c r="T253" s="214"/>
      <c r="U253" s="214"/>
      <c r="V253" s="214"/>
      <c r="W253" s="214"/>
      <c r="X253" s="214"/>
      <c r="Y253" s="214"/>
      <c r="Z253" s="214"/>
      <c r="AA253" s="214"/>
      <c r="AB253" s="214"/>
      <c r="AC253" s="214"/>
      <c r="AD253" s="214"/>
      <c r="AE253" s="215"/>
      <c r="AF253" s="214"/>
      <c r="AG253" s="215"/>
      <c r="AH253" s="215"/>
      <c r="AI253" s="215"/>
      <c r="AJ253" s="215"/>
      <c r="AK253" s="215"/>
      <c r="AL253" s="215"/>
      <c r="AM253" s="215"/>
      <c r="AN253" s="215"/>
      <c r="AO253" s="215"/>
      <c r="AP253" s="215"/>
      <c r="AQ253" s="215"/>
      <c r="AR253" s="215"/>
      <c r="AS253" s="215"/>
      <c r="AT253" s="215"/>
      <c r="AU253" s="215"/>
      <c r="AV253" s="215"/>
      <c r="AW253" s="215"/>
      <c r="AX253" s="215"/>
      <c r="AY253" s="215"/>
      <c r="AZ253" s="215"/>
      <c r="BA253" s="215"/>
      <c r="BB253" s="215"/>
      <c r="BC253" s="215"/>
      <c r="BD253" s="215"/>
      <c r="BE253" s="215"/>
      <c r="BF253" s="215"/>
      <c r="BG253" s="215"/>
    </row>
    <row r="254" spans="1:63" s="164" customFormat="1" ht="18.75" customHeight="1">
      <c r="A254" s="57" t="s">
        <v>282</v>
      </c>
      <c r="B254" s="215"/>
      <c r="C254" s="215"/>
      <c r="D254" s="215"/>
      <c r="E254" s="215"/>
      <c r="F254" s="215"/>
      <c r="G254" s="215"/>
      <c r="H254" s="215"/>
      <c r="I254" s="215"/>
      <c r="J254" s="215"/>
      <c r="K254" s="215"/>
      <c r="L254" s="215"/>
      <c r="M254" s="215"/>
      <c r="N254" s="215"/>
      <c r="O254" s="215"/>
      <c r="P254" s="215"/>
      <c r="Q254" s="215"/>
      <c r="R254" s="215"/>
      <c r="S254" s="215"/>
      <c r="T254" s="215"/>
      <c r="U254" s="215"/>
      <c r="V254" s="215"/>
      <c r="W254" s="215"/>
      <c r="X254" s="215"/>
      <c r="Y254" s="215"/>
      <c r="Z254" s="215"/>
      <c r="AA254" s="215"/>
      <c r="AB254" s="215"/>
      <c r="AC254" s="215"/>
      <c r="AD254" s="215"/>
      <c r="AE254" s="215"/>
      <c r="AF254" s="215"/>
      <c r="AG254" s="215"/>
      <c r="AH254" s="215"/>
      <c r="AI254" s="215"/>
      <c r="AJ254" s="215"/>
      <c r="AK254" s="215"/>
      <c r="AL254" s="215"/>
      <c r="AM254" s="215"/>
      <c r="AN254" s="215"/>
      <c r="AO254" s="215"/>
      <c r="AP254" s="215"/>
      <c r="AQ254" s="215"/>
      <c r="AR254" s="215"/>
      <c r="AS254" s="215"/>
      <c r="AT254" s="215"/>
      <c r="AU254" s="215"/>
      <c r="AV254" s="215"/>
      <c r="AW254" s="215"/>
      <c r="AX254" s="215"/>
      <c r="AY254" s="215"/>
      <c r="AZ254" s="215"/>
      <c r="BA254" s="215"/>
      <c r="BB254" s="215"/>
      <c r="BC254" s="215"/>
      <c r="BD254" s="215"/>
      <c r="BE254" s="215"/>
      <c r="BF254" s="215"/>
    </row>
    <row r="255" spans="1:63" s="164" customFormat="1" ht="18.75" customHeight="1">
      <c r="A255" s="215"/>
      <c r="B255" s="215"/>
      <c r="C255" s="215"/>
      <c r="D255" s="215"/>
      <c r="E255" s="215"/>
      <c r="F255" s="215"/>
      <c r="G255" s="215"/>
      <c r="H255" s="215"/>
      <c r="I255" s="215"/>
      <c r="J255" s="215"/>
      <c r="K255" s="215"/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  <c r="AA255" s="215"/>
      <c r="AB255" s="215"/>
      <c r="AC255" s="215"/>
      <c r="AD255" s="215"/>
      <c r="AE255" s="214"/>
      <c r="AF255" s="215"/>
      <c r="AG255" s="215"/>
      <c r="AH255" s="215"/>
      <c r="AI255" s="215"/>
      <c r="AJ255" s="215"/>
      <c r="AK255" s="215"/>
      <c r="AL255" s="215"/>
      <c r="AM255" s="215"/>
      <c r="AN255" s="215"/>
      <c r="AO255" s="215"/>
      <c r="AP255" s="215"/>
      <c r="AQ255" s="215"/>
      <c r="AR255" s="215"/>
      <c r="AS255" s="215"/>
      <c r="AT255" s="215"/>
      <c r="AU255" s="215"/>
      <c r="AV255" s="215"/>
      <c r="AW255" s="215"/>
      <c r="AX255" s="215"/>
      <c r="AY255" s="215"/>
      <c r="AZ255" s="215"/>
      <c r="BA255" s="215"/>
      <c r="BB255" s="215"/>
      <c r="BC255" s="215"/>
      <c r="BD255" s="215"/>
      <c r="BE255" s="215"/>
      <c r="BF255" s="215"/>
    </row>
    <row r="256" spans="1:63" s="58" customFormat="1" ht="18.75" customHeight="1">
      <c r="C256" s="214"/>
      <c r="D256" s="214"/>
      <c r="E256" s="215" t="s">
        <v>239</v>
      </c>
      <c r="F256" s="532" t="e">
        <f>AP73</f>
        <v>#N/A</v>
      </c>
      <c r="G256" s="532"/>
      <c r="H256" s="532"/>
      <c r="I256" s="214" t="s">
        <v>130</v>
      </c>
      <c r="J256" s="214"/>
      <c r="K256" s="523" t="s">
        <v>95</v>
      </c>
      <c r="L256" s="523"/>
      <c r="M256" s="533" t="e">
        <f>AT73</f>
        <v>#N/A</v>
      </c>
      <c r="N256" s="534"/>
      <c r="O256" s="534"/>
      <c r="P256" s="534"/>
      <c r="Q256" s="534"/>
      <c r="S256" s="214" t="s">
        <v>130</v>
      </c>
      <c r="U256" s="523" t="s">
        <v>95</v>
      </c>
      <c r="V256" s="523"/>
      <c r="W256" s="532">
        <f>AP76</f>
        <v>0</v>
      </c>
      <c r="X256" s="532"/>
      <c r="Y256" s="532"/>
      <c r="Z256" s="214" t="s">
        <v>130</v>
      </c>
      <c r="AA256" s="214"/>
      <c r="AB256" s="523" t="s">
        <v>95</v>
      </c>
      <c r="AC256" s="523"/>
      <c r="AD256" s="533" t="e">
        <f>AP77</f>
        <v>#VALUE!</v>
      </c>
      <c r="AE256" s="534"/>
      <c r="AF256" s="534"/>
      <c r="AG256" s="534"/>
      <c r="AH256" s="534"/>
      <c r="AJ256" s="214" t="s">
        <v>130</v>
      </c>
      <c r="AL256" s="523" t="s">
        <v>95</v>
      </c>
      <c r="AM256" s="523"/>
      <c r="AN256" s="533" t="e">
        <f ca="1">AP78</f>
        <v>#N/A</v>
      </c>
      <c r="AO256" s="534"/>
      <c r="AP256" s="534"/>
      <c r="AQ256" s="534"/>
      <c r="AR256" s="534"/>
      <c r="AT256" s="214" t="s">
        <v>130</v>
      </c>
      <c r="BF256" s="214"/>
      <c r="BG256" s="214"/>
      <c r="BH256" s="214"/>
    </row>
    <row r="257" spans="1:78" s="58" customFormat="1" ht="18.75" customHeight="1">
      <c r="C257" s="214"/>
      <c r="D257" s="214"/>
      <c r="E257" s="214"/>
      <c r="F257" s="523" t="s">
        <v>95</v>
      </c>
      <c r="G257" s="523"/>
      <c r="H257" s="533" t="e">
        <f>AP79</f>
        <v>#VALUE!</v>
      </c>
      <c r="I257" s="534"/>
      <c r="J257" s="534"/>
      <c r="K257" s="534"/>
      <c r="L257" s="534"/>
      <c r="N257" s="214" t="s">
        <v>130</v>
      </c>
      <c r="P257" s="523" t="s">
        <v>95</v>
      </c>
      <c r="Q257" s="523"/>
      <c r="R257" s="533" t="e">
        <f ca="1">AP80</f>
        <v>#N/A</v>
      </c>
      <c r="S257" s="534"/>
      <c r="T257" s="534"/>
      <c r="U257" s="534"/>
      <c r="V257" s="534"/>
      <c r="X257" s="214" t="s">
        <v>130</v>
      </c>
      <c r="Z257" s="523" t="s">
        <v>95</v>
      </c>
      <c r="AA257" s="523"/>
      <c r="AB257" s="532">
        <f>AP81</f>
        <v>0</v>
      </c>
      <c r="AC257" s="532"/>
      <c r="AD257" s="532"/>
      <c r="AE257" s="214" t="s">
        <v>130</v>
      </c>
      <c r="AF257" s="214"/>
      <c r="AG257" s="523" t="s">
        <v>95</v>
      </c>
      <c r="AH257" s="523"/>
      <c r="AI257" s="532">
        <f>AP82</f>
        <v>0</v>
      </c>
      <c r="AJ257" s="532"/>
      <c r="AK257" s="532"/>
      <c r="AL257" s="214" t="s">
        <v>130</v>
      </c>
      <c r="AM257" s="214"/>
      <c r="AN257" s="523" t="s">
        <v>95</v>
      </c>
      <c r="AO257" s="523"/>
      <c r="AP257" s="533">
        <f>AP83</f>
        <v>0</v>
      </c>
      <c r="AQ257" s="534"/>
      <c r="AR257" s="534"/>
      <c r="AS257" s="534"/>
      <c r="AT257" s="534"/>
      <c r="AV257" s="214" t="s">
        <v>130</v>
      </c>
      <c r="AX257" s="214"/>
      <c r="AY257" s="214"/>
      <c r="AZ257" s="214"/>
      <c r="BA257" s="214"/>
      <c r="BB257" s="214"/>
      <c r="BC257" s="214"/>
      <c r="BD257" s="214"/>
      <c r="BE257" s="214"/>
      <c r="BF257" s="214"/>
      <c r="BG257" s="214"/>
      <c r="BH257" s="214"/>
      <c r="BI257" s="214"/>
      <c r="BJ257" s="214"/>
      <c r="BK257" s="214"/>
      <c r="BL257" s="214"/>
      <c r="BM257" s="214"/>
      <c r="BN257" s="214"/>
      <c r="BO257" s="214"/>
      <c r="BP257" s="214"/>
      <c r="BQ257" s="214"/>
      <c r="BR257" s="214"/>
    </row>
    <row r="258" spans="1:78" s="58" customFormat="1" ht="18.75" customHeight="1">
      <c r="C258" s="214"/>
      <c r="D258" s="214"/>
      <c r="E258" s="215" t="s">
        <v>239</v>
      </c>
      <c r="F258" s="532" t="e">
        <f>AP84</f>
        <v>#N/A</v>
      </c>
      <c r="G258" s="532"/>
      <c r="H258" s="532"/>
      <c r="I258" s="214" t="s">
        <v>130</v>
      </c>
      <c r="J258" s="214"/>
      <c r="K258" s="523" t="s">
        <v>95</v>
      </c>
      <c r="L258" s="523"/>
      <c r="M258" s="533" t="e">
        <f>AT84</f>
        <v>#N/A</v>
      </c>
      <c r="N258" s="534"/>
      <c r="O258" s="534"/>
      <c r="P258" s="534"/>
      <c r="Q258" s="534"/>
      <c r="S258" s="214" t="s">
        <v>130</v>
      </c>
      <c r="U258" s="214"/>
      <c r="V258" s="214"/>
      <c r="W258" s="214"/>
      <c r="X258" s="214"/>
      <c r="Y258" s="214"/>
      <c r="Z258" s="214"/>
      <c r="AA258" s="214"/>
      <c r="AB258" s="214"/>
      <c r="AC258" s="214"/>
      <c r="AD258" s="214"/>
      <c r="AE258" s="214"/>
      <c r="AF258" s="214"/>
      <c r="AG258" s="215"/>
      <c r="AH258" s="214"/>
      <c r="AI258" s="214"/>
      <c r="AJ258" s="214"/>
      <c r="AK258" s="214"/>
      <c r="AL258" s="214"/>
      <c r="AM258" s="214"/>
      <c r="AN258" s="214"/>
      <c r="AO258" s="214"/>
      <c r="AP258" s="214"/>
      <c r="AQ258" s="214"/>
      <c r="AR258" s="214"/>
      <c r="AS258" s="214"/>
      <c r="AT258" s="214"/>
      <c r="AU258" s="214"/>
      <c r="AV258" s="214"/>
      <c r="AW258" s="214"/>
      <c r="AX258" s="214"/>
      <c r="AY258" s="214"/>
      <c r="AZ258" s="214"/>
      <c r="BA258" s="214"/>
      <c r="BB258" s="214"/>
      <c r="BC258" s="214"/>
      <c r="BD258" s="214"/>
      <c r="BE258" s="214"/>
      <c r="BF258" s="214"/>
      <c r="BG258" s="214"/>
      <c r="BH258" s="214"/>
    </row>
    <row r="259" spans="1:78" s="58" customFormat="1" ht="18.75" customHeight="1">
      <c r="A259" s="214"/>
      <c r="B259" s="214"/>
      <c r="C259" s="214"/>
      <c r="D259" s="397"/>
      <c r="E259" s="163"/>
      <c r="F259" s="163"/>
      <c r="G259" s="163"/>
      <c r="H259" s="214"/>
      <c r="I259" s="214"/>
      <c r="J259" s="215"/>
      <c r="K259" s="215"/>
      <c r="L259" s="176"/>
      <c r="M259" s="176"/>
      <c r="N259" s="176"/>
      <c r="O259" s="176"/>
      <c r="P259" s="214"/>
      <c r="Q259" s="214"/>
      <c r="R259" s="214"/>
      <c r="S259" s="214"/>
      <c r="T259" s="214"/>
      <c r="U259" s="214"/>
      <c r="V259" s="214"/>
      <c r="W259" s="214"/>
      <c r="X259" s="214"/>
      <c r="Y259" s="214"/>
      <c r="Z259" s="214"/>
      <c r="AA259" s="214"/>
      <c r="AB259" s="214"/>
      <c r="AC259" s="214"/>
      <c r="AD259" s="214"/>
      <c r="AE259" s="214"/>
      <c r="AF259" s="214"/>
      <c r="AG259" s="214"/>
      <c r="AH259" s="214"/>
      <c r="AI259" s="214"/>
      <c r="AJ259" s="214"/>
      <c r="AK259" s="214"/>
      <c r="AL259" s="214"/>
      <c r="AT259" s="221"/>
      <c r="AU259" s="221"/>
      <c r="AV259" s="221"/>
      <c r="AW259" s="214"/>
      <c r="AX259" s="214"/>
      <c r="AY259" s="214"/>
      <c r="AZ259" s="214"/>
      <c r="BA259" s="221"/>
      <c r="BF259" s="214"/>
      <c r="BG259" s="214"/>
      <c r="BH259" s="221"/>
      <c r="BI259" s="221"/>
      <c r="BJ259" s="221"/>
      <c r="BK259" s="214"/>
      <c r="BL259" s="214"/>
    </row>
    <row r="260" spans="1:78" s="164" customFormat="1" ht="18.75" customHeight="1">
      <c r="A260" s="215"/>
      <c r="B260" s="215"/>
      <c r="C260" s="215"/>
      <c r="D260" s="168" t="s">
        <v>629</v>
      </c>
      <c r="E260" s="398" t="s">
        <v>239</v>
      </c>
      <c r="F260" s="517" t="e">
        <f>AP84</f>
        <v>#N/A</v>
      </c>
      <c r="G260" s="517"/>
      <c r="H260" s="517"/>
      <c r="I260" s="162"/>
      <c r="J260" s="535" t="e">
        <f>AT84</f>
        <v>#N/A</v>
      </c>
      <c r="K260" s="535"/>
      <c r="L260" s="535"/>
      <c r="M260" s="535"/>
      <c r="N260" s="535"/>
      <c r="O260" s="56"/>
      <c r="P260" s="56"/>
      <c r="Q260" s="536" t="s">
        <v>506</v>
      </c>
      <c r="R260" s="536"/>
      <c r="S260" s="214"/>
      <c r="T260" s="58"/>
      <c r="U260" s="215"/>
      <c r="V260" s="215"/>
      <c r="W260" s="215"/>
      <c r="X260" s="215"/>
      <c r="Y260" s="215"/>
      <c r="Z260" s="215"/>
      <c r="AA260" s="215"/>
      <c r="AB260" s="215"/>
      <c r="AC260" s="215"/>
      <c r="AD260" s="215"/>
      <c r="AE260" s="215"/>
      <c r="AF260" s="214"/>
      <c r="AG260" s="215"/>
      <c r="AH260" s="215"/>
      <c r="AI260" s="215"/>
      <c r="AJ260" s="215"/>
      <c r="AK260" s="215"/>
      <c r="AL260" s="215"/>
      <c r="AM260" s="215"/>
      <c r="AN260" s="215"/>
      <c r="AO260" s="215"/>
      <c r="AP260" s="215"/>
      <c r="AQ260" s="215"/>
      <c r="AR260" s="215"/>
      <c r="AS260" s="215"/>
      <c r="AT260" s="215"/>
      <c r="AU260" s="215"/>
      <c r="AV260" s="215"/>
      <c r="AW260" s="215"/>
      <c r="AX260" s="215"/>
      <c r="AY260" s="215"/>
      <c r="AZ260" s="215"/>
      <c r="BA260" s="215"/>
      <c r="BF260" s="215"/>
      <c r="BG260" s="215"/>
    </row>
    <row r="261" spans="1:78" s="214" customFormat="1" ht="18.75" customHeight="1">
      <c r="D261" s="397"/>
    </row>
    <row r="262" spans="1:78" ht="18.75" customHeight="1">
      <c r="A262" s="57" t="s">
        <v>283</v>
      </c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  <c r="AB262" s="56"/>
      <c r="AC262" s="56"/>
      <c r="AD262" s="56"/>
      <c r="AE262" s="56"/>
      <c r="AF262" s="56"/>
      <c r="AG262" s="56"/>
      <c r="AH262" s="56"/>
      <c r="AI262" s="56"/>
      <c r="AJ262" s="56"/>
      <c r="AK262" s="56"/>
      <c r="AL262" s="56"/>
      <c r="AM262" s="56"/>
      <c r="AN262" s="56"/>
      <c r="AO262" s="56"/>
      <c r="AP262" s="56"/>
      <c r="AQ262" s="56"/>
      <c r="AR262" s="56"/>
      <c r="AS262" s="56"/>
      <c r="AT262" s="56"/>
      <c r="AU262" s="56"/>
      <c r="AV262" s="56"/>
      <c r="AW262" s="56"/>
      <c r="AX262" s="56"/>
      <c r="AY262" s="56"/>
      <c r="AZ262" s="56"/>
      <c r="BA262" s="56"/>
      <c r="BB262" s="56"/>
      <c r="BC262" s="56"/>
      <c r="BD262" s="56"/>
      <c r="BE262" s="56"/>
      <c r="BF262" s="56"/>
    </row>
    <row r="263" spans="1:78" ht="18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37" t="e">
        <f>Calcu!V57</f>
        <v>#N/A</v>
      </c>
      <c r="K263" s="537"/>
      <c r="L263" s="537"/>
      <c r="M263" s="537"/>
      <c r="N263" s="537"/>
      <c r="O263" s="537"/>
      <c r="P263" s="537"/>
      <c r="Q263" s="537"/>
      <c r="R263" s="537"/>
      <c r="S263" s="537"/>
      <c r="T263" s="537"/>
      <c r="U263" s="537"/>
      <c r="V263" s="537"/>
      <c r="W263" s="537"/>
      <c r="X263" s="537"/>
      <c r="Y263" s="537"/>
      <c r="Z263" s="537"/>
      <c r="AA263" s="537"/>
      <c r="AB263" s="537"/>
      <c r="AC263" s="537"/>
      <c r="AD263" s="537"/>
      <c r="AE263" s="537"/>
      <c r="AF263" s="537"/>
      <c r="AG263" s="537"/>
      <c r="AH263" s="537"/>
      <c r="AI263" s="537"/>
      <c r="AJ263" s="537"/>
      <c r="AK263" s="537"/>
      <c r="AL263" s="537"/>
      <c r="AM263" s="537"/>
      <c r="AN263" s="537"/>
      <c r="AO263" s="537"/>
      <c r="AP263" s="537"/>
      <c r="AQ263" s="537"/>
      <c r="AR263" s="537"/>
      <c r="AS263" s="537"/>
      <c r="AT263" s="537"/>
      <c r="AU263" s="537"/>
      <c r="AV263" s="537"/>
      <c r="AW263" s="537"/>
      <c r="AX263" s="537"/>
      <c r="AY263" s="537"/>
      <c r="AZ263" s="537"/>
      <c r="BA263" s="537"/>
      <c r="BB263" s="523" t="s">
        <v>239</v>
      </c>
      <c r="BC263" s="722" t="e">
        <f>Calcu!U57</f>
        <v>#VALUE!</v>
      </c>
      <c r="BD263" s="722"/>
      <c r="BE263" s="722"/>
      <c r="BF263" s="214"/>
      <c r="BI263" s="177"/>
      <c r="BJ263" s="177"/>
      <c r="BK263" s="177"/>
      <c r="BL263" s="177"/>
      <c r="BM263" s="177"/>
      <c r="BN263" s="58"/>
      <c r="BO263" s="58"/>
      <c r="BP263" s="58"/>
      <c r="BQ263" s="58"/>
      <c r="BR263" s="58"/>
      <c r="BS263" s="58"/>
      <c r="BT263" s="58"/>
      <c r="BU263" s="58"/>
      <c r="BV263" s="58"/>
      <c r="BW263" s="58"/>
      <c r="BX263" s="58"/>
      <c r="BY263" s="58"/>
      <c r="BZ263" s="58"/>
    </row>
    <row r="264" spans="1:78" ht="18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723" t="e">
        <f>Calcu!V48</f>
        <v>#N/A</v>
      </c>
      <c r="K264" s="723"/>
      <c r="L264" s="723"/>
      <c r="M264" s="723"/>
      <c r="N264" s="523" t="s">
        <v>95</v>
      </c>
      <c r="O264" s="723">
        <f>Calcu!V49</f>
        <v>0</v>
      </c>
      <c r="P264" s="723"/>
      <c r="Q264" s="723"/>
      <c r="R264" s="723"/>
      <c r="S264" s="523" t="s">
        <v>95</v>
      </c>
      <c r="T264" s="537" t="e">
        <f>Calcu!V50</f>
        <v>#VALUE!</v>
      </c>
      <c r="U264" s="537"/>
      <c r="V264" s="537"/>
      <c r="W264" s="537"/>
      <c r="X264" s="523" t="s">
        <v>95</v>
      </c>
      <c r="Y264" s="723" t="e">
        <f ca="1">Calcu!V51</f>
        <v>#N/A</v>
      </c>
      <c r="Z264" s="723"/>
      <c r="AA264" s="723"/>
      <c r="AB264" s="723"/>
      <c r="AC264" s="523" t="s">
        <v>95</v>
      </c>
      <c r="AD264" s="537" t="e">
        <f>Calcu!V52</f>
        <v>#VALUE!</v>
      </c>
      <c r="AE264" s="537"/>
      <c r="AF264" s="537"/>
      <c r="AG264" s="537"/>
      <c r="AH264" s="523" t="s">
        <v>95</v>
      </c>
      <c r="AI264" s="537" t="e">
        <f ca="1">Calcu!V53</f>
        <v>#N/A</v>
      </c>
      <c r="AJ264" s="537"/>
      <c r="AK264" s="537"/>
      <c r="AL264" s="537"/>
      <c r="AM264" s="523" t="s">
        <v>95</v>
      </c>
      <c r="AN264" s="537">
        <f>Calcu!V54</f>
        <v>0</v>
      </c>
      <c r="AO264" s="537"/>
      <c r="AP264" s="537"/>
      <c r="AQ264" s="537"/>
      <c r="AR264" s="523" t="s">
        <v>95</v>
      </c>
      <c r="AS264" s="537">
        <f>Calcu!V55</f>
        <v>0</v>
      </c>
      <c r="AT264" s="537"/>
      <c r="AU264" s="537"/>
      <c r="AV264" s="537"/>
      <c r="AW264" s="523" t="s">
        <v>95</v>
      </c>
      <c r="AX264" s="537" t="e">
        <f ca="1">Calcu!V56</f>
        <v>#N/A</v>
      </c>
      <c r="AY264" s="537"/>
      <c r="AZ264" s="537"/>
      <c r="BA264" s="537"/>
      <c r="BB264" s="523"/>
      <c r="BC264" s="722"/>
      <c r="BD264" s="722"/>
      <c r="BE264" s="722"/>
      <c r="BF264" s="56"/>
      <c r="BI264" s="177"/>
      <c r="BJ264" s="177"/>
      <c r="BK264" s="177"/>
      <c r="BL264" s="177"/>
      <c r="BM264" s="177"/>
    </row>
    <row r="265" spans="1:78" ht="18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23" t="str">
        <f>Calcu!U48</f>
        <v>∞</v>
      </c>
      <c r="K265" s="523"/>
      <c r="L265" s="523"/>
      <c r="M265" s="523"/>
      <c r="N265" s="523"/>
      <c r="O265" s="523" t="str">
        <f>Calcu!U49</f>
        <v>∞</v>
      </c>
      <c r="P265" s="523"/>
      <c r="Q265" s="523"/>
      <c r="R265" s="523"/>
      <c r="S265" s="523"/>
      <c r="T265" s="523">
        <f>Calcu!U50</f>
        <v>100.00000000000004</v>
      </c>
      <c r="U265" s="523"/>
      <c r="V265" s="523"/>
      <c r="W265" s="523"/>
      <c r="X265" s="523"/>
      <c r="Y265" s="523" t="str">
        <f>Calcu!U51</f>
        <v>∞</v>
      </c>
      <c r="Z265" s="523"/>
      <c r="AA265" s="523"/>
      <c r="AB265" s="523"/>
      <c r="AC265" s="523"/>
      <c r="AD265" s="674">
        <f>Calcu!U52</f>
        <v>100.00000000000004</v>
      </c>
      <c r="AE265" s="674"/>
      <c r="AF265" s="674"/>
      <c r="AG265" s="674"/>
      <c r="AH265" s="523"/>
      <c r="AI265" s="523" t="str">
        <f>Calcu!U53</f>
        <v>∞</v>
      </c>
      <c r="AJ265" s="523"/>
      <c r="AK265" s="523"/>
      <c r="AL265" s="523"/>
      <c r="AM265" s="523"/>
      <c r="AN265" s="523" t="str">
        <f>Calcu!U54</f>
        <v>∞</v>
      </c>
      <c r="AO265" s="523"/>
      <c r="AP265" s="523"/>
      <c r="AQ265" s="523"/>
      <c r="AR265" s="523"/>
      <c r="AS265" s="523">
        <f>Calcu!U55</f>
        <v>12</v>
      </c>
      <c r="AT265" s="523"/>
      <c r="AU265" s="523"/>
      <c r="AV265" s="523"/>
      <c r="AW265" s="523"/>
      <c r="AX265" s="523" t="str">
        <f>Calcu!U56</f>
        <v>∞</v>
      </c>
      <c r="AY265" s="523"/>
      <c r="AZ265" s="523"/>
      <c r="BA265" s="523"/>
      <c r="BB265" s="56"/>
      <c r="BC265" s="56"/>
      <c r="BD265" s="56"/>
      <c r="BE265" s="56"/>
      <c r="BF265" s="56"/>
    </row>
    <row r="266" spans="1:78" ht="18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  <c r="AB266" s="56"/>
      <c r="AC266" s="56"/>
      <c r="AD266" s="56"/>
      <c r="AE266" s="56"/>
      <c r="AF266" s="56"/>
      <c r="AG266" s="56"/>
      <c r="AH266" s="56"/>
      <c r="AI266" s="56"/>
      <c r="AJ266" s="56"/>
      <c r="AK266" s="56"/>
      <c r="AL266" s="56"/>
      <c r="AM266" s="56"/>
      <c r="AN266" s="56"/>
      <c r="AO266" s="56"/>
      <c r="AP266" s="56"/>
      <c r="AQ266" s="56"/>
      <c r="AR266" s="56"/>
      <c r="AS266" s="56"/>
      <c r="AT266" s="56"/>
      <c r="AU266" s="56"/>
      <c r="AV266" s="56"/>
      <c r="AW266" s="56"/>
      <c r="AX266" s="56"/>
      <c r="AY266" s="56"/>
      <c r="AZ266" s="56"/>
      <c r="BA266" s="56"/>
      <c r="BB266" s="56"/>
      <c r="BC266" s="56"/>
      <c r="BD266" s="56"/>
      <c r="BE266" s="56"/>
      <c r="BF266" s="56"/>
    </row>
    <row r="267" spans="1:78" ht="18.75" customHeight="1">
      <c r="A267" s="57" t="s">
        <v>533</v>
      </c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  <c r="AB267" s="56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  <c r="AN267" s="56"/>
      <c r="AO267" s="56"/>
      <c r="AP267" s="56"/>
      <c r="AQ267" s="56"/>
      <c r="AR267" s="56"/>
      <c r="AS267" s="56"/>
      <c r="AT267" s="56"/>
      <c r="AU267" s="56"/>
      <c r="AV267" s="56"/>
      <c r="AW267" s="56"/>
      <c r="AX267" s="56"/>
      <c r="AY267" s="56"/>
      <c r="AZ267" s="56"/>
      <c r="BA267" s="56"/>
      <c r="BB267" s="56"/>
      <c r="BC267" s="56"/>
      <c r="BD267" s="56"/>
    </row>
    <row r="268" spans="1:78" ht="18.75" customHeight="1">
      <c r="A268" s="57"/>
      <c r="B268" s="56" t="s">
        <v>284</v>
      </c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  <c r="AB268" s="56"/>
      <c r="AC268" s="56"/>
      <c r="AD268" s="56"/>
      <c r="AE268" s="56"/>
      <c r="AF268" s="56"/>
      <c r="AG268" s="56"/>
      <c r="AH268" s="56"/>
      <c r="AI268" s="56"/>
      <c r="AJ268" s="56"/>
      <c r="AK268" s="56"/>
      <c r="AL268" s="56"/>
      <c r="AM268" s="56"/>
      <c r="AN268" s="56"/>
      <c r="AO268" s="56"/>
      <c r="AP268" s="56"/>
      <c r="AQ268" s="56"/>
      <c r="AR268" s="56"/>
      <c r="AS268" s="56"/>
      <c r="AT268" s="56"/>
      <c r="AU268" s="56"/>
      <c r="AV268" s="56"/>
      <c r="AW268" s="56"/>
      <c r="AX268" s="56"/>
      <c r="AY268" s="56"/>
      <c r="AZ268" s="56"/>
      <c r="BA268" s="56"/>
      <c r="BB268" s="56"/>
      <c r="BC268" s="56"/>
      <c r="BD268" s="56"/>
    </row>
    <row r="269" spans="1:78" ht="18.75" customHeight="1">
      <c r="A269" s="57"/>
      <c r="B269" s="56"/>
      <c r="C269" s="56" t="s">
        <v>285</v>
      </c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  <c r="AB269" s="56"/>
      <c r="AC269" s="56"/>
      <c r="AD269" s="56"/>
      <c r="AE269" s="56"/>
      <c r="AF269" s="56"/>
      <c r="AG269" s="56"/>
      <c r="AH269" s="56"/>
      <c r="AI269" s="56"/>
      <c r="AJ269" s="56"/>
      <c r="AK269" s="56"/>
      <c r="AL269" s="56"/>
      <c r="AM269" s="56"/>
      <c r="AN269" s="56"/>
      <c r="AO269" s="56"/>
      <c r="AP269" s="56"/>
      <c r="AQ269" s="56"/>
      <c r="AR269" s="56"/>
      <c r="AS269" s="56"/>
      <c r="AT269" s="56"/>
      <c r="AU269" s="56"/>
      <c r="AV269" s="56"/>
      <c r="AW269" s="56"/>
      <c r="AX269" s="56"/>
      <c r="AY269" s="56"/>
      <c r="AZ269" s="56"/>
      <c r="BA269" s="56"/>
      <c r="BB269" s="56"/>
      <c r="BC269" s="56"/>
      <c r="BD269" s="56"/>
    </row>
    <row r="270" spans="1:78" ht="18.75" customHeight="1">
      <c r="A270" s="57"/>
      <c r="B270" s="56"/>
      <c r="C270" s="55" t="s">
        <v>286</v>
      </c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  <c r="AB270" s="56"/>
      <c r="AC270" s="56"/>
      <c r="AD270" s="56"/>
      <c r="AE270" s="56"/>
      <c r="AF270" s="56"/>
      <c r="AG270" s="56"/>
      <c r="AH270" s="56"/>
      <c r="AI270" s="56"/>
      <c r="AJ270" s="56"/>
      <c r="AK270" s="56"/>
      <c r="AL270" s="56"/>
      <c r="AM270" s="56"/>
      <c r="AN270" s="56"/>
      <c r="AO270" s="56"/>
      <c r="AP270" s="56"/>
      <c r="AQ270" s="56"/>
      <c r="AR270" s="56"/>
      <c r="AS270" s="56"/>
      <c r="AT270" s="56"/>
      <c r="AU270" s="56"/>
      <c r="AV270" s="56"/>
      <c r="AW270" s="56"/>
      <c r="AX270" s="56"/>
      <c r="AY270" s="56"/>
      <c r="AZ270" s="56"/>
      <c r="BA270" s="56"/>
      <c r="BB270" s="56"/>
      <c r="BC270" s="56"/>
      <c r="BD270" s="56"/>
    </row>
    <row r="271" spans="1:78" ht="18.75" customHeight="1">
      <c r="A271" s="57"/>
      <c r="B271" s="56"/>
      <c r="D271" s="56"/>
      <c r="E271" s="168"/>
      <c r="F271" s="56"/>
      <c r="G271" s="224"/>
      <c r="H271" s="215"/>
      <c r="I271" s="215"/>
      <c r="J271" s="215"/>
      <c r="R271" s="168"/>
      <c r="S271" s="178"/>
      <c r="T271" s="178"/>
      <c r="U271" s="178"/>
      <c r="V271" s="178"/>
      <c r="W271" s="178"/>
      <c r="X271" s="56"/>
      <c r="Y271" s="56"/>
      <c r="Z271" s="56"/>
      <c r="AA271" s="56"/>
      <c r="AB271" s="56"/>
      <c r="AC271" s="56"/>
      <c r="AD271" s="56"/>
      <c r="AE271" s="56"/>
      <c r="AF271" s="56"/>
      <c r="AG271" s="56"/>
      <c r="AH271" s="56"/>
      <c r="AI271" s="56"/>
      <c r="AJ271" s="56"/>
      <c r="AK271" s="56"/>
      <c r="AL271" s="56"/>
      <c r="AM271" s="56"/>
      <c r="AN271" s="56"/>
      <c r="AO271" s="56"/>
      <c r="AP271" s="56"/>
      <c r="AQ271" s="56"/>
      <c r="AR271" s="56"/>
      <c r="AS271" s="56"/>
      <c r="AT271" s="56"/>
      <c r="AU271" s="56"/>
      <c r="AV271" s="56"/>
      <c r="AW271" s="56"/>
      <c r="AX271" s="56"/>
      <c r="AY271" s="56"/>
      <c r="AZ271" s="56"/>
      <c r="BA271" s="56"/>
      <c r="BB271" s="56"/>
      <c r="BC271" s="56"/>
      <c r="BD271" s="56"/>
    </row>
    <row r="272" spans="1:78" ht="18.75" customHeight="1">
      <c r="A272" s="57"/>
      <c r="B272" s="56" t="s">
        <v>284</v>
      </c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  <c r="AB272" s="56"/>
      <c r="AC272" s="56"/>
      <c r="AD272" s="56"/>
      <c r="AE272" s="56"/>
      <c r="AF272" s="56"/>
      <c r="AG272" s="56"/>
      <c r="AH272" s="56"/>
      <c r="AI272" s="56"/>
      <c r="AJ272" s="56"/>
      <c r="AK272" s="56"/>
      <c r="AL272" s="56"/>
      <c r="AM272" s="56"/>
      <c r="AN272" s="56"/>
      <c r="AO272" s="56"/>
      <c r="AP272" s="56"/>
      <c r="AQ272" s="56"/>
      <c r="AR272" s="56"/>
      <c r="AS272" s="56"/>
      <c r="AT272" s="56"/>
      <c r="AU272" s="56"/>
      <c r="AV272" s="56"/>
      <c r="AW272" s="56"/>
      <c r="AX272" s="56"/>
      <c r="AY272" s="56"/>
      <c r="AZ272" s="56"/>
      <c r="BA272" s="56"/>
      <c r="BB272" s="56"/>
      <c r="BC272" s="56"/>
      <c r="BD272" s="56"/>
    </row>
    <row r="273" spans="1:56" ht="18.75" customHeight="1">
      <c r="A273" s="57"/>
      <c r="B273" s="56"/>
      <c r="C273" s="56" t="s">
        <v>290</v>
      </c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  <c r="AB273" s="56"/>
      <c r="AC273" s="56"/>
      <c r="AD273" s="56"/>
      <c r="AE273" s="56"/>
      <c r="AF273" s="56"/>
      <c r="AG273" s="56"/>
      <c r="AH273" s="56"/>
      <c r="AI273" s="56"/>
      <c r="AJ273" s="56"/>
      <c r="AK273" s="56"/>
      <c r="AL273" s="56"/>
      <c r="AM273" s="56"/>
      <c r="AN273" s="56"/>
      <c r="AO273" s="56"/>
      <c r="AP273" s="56"/>
      <c r="AQ273" s="56"/>
      <c r="AR273" s="56"/>
      <c r="AS273" s="56"/>
      <c r="AT273" s="56"/>
      <c r="AU273" s="56"/>
      <c r="AV273" s="56"/>
      <c r="AW273" s="56"/>
      <c r="AX273" s="56"/>
      <c r="AY273" s="56"/>
      <c r="AZ273" s="56"/>
      <c r="BA273" s="56"/>
      <c r="BB273" s="56"/>
      <c r="BC273" s="56"/>
      <c r="BD273" s="56"/>
    </row>
    <row r="274" spans="1:56" ht="18.75" customHeight="1">
      <c r="B274" s="56"/>
      <c r="C274" s="56" t="s">
        <v>507</v>
      </c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  <c r="AB274" s="56"/>
      <c r="AC274" s="56"/>
      <c r="AD274" s="56"/>
      <c r="AE274" s="56"/>
      <c r="AF274" s="56"/>
      <c r="AG274" s="56"/>
      <c r="AH274" s="56"/>
      <c r="AI274" s="56"/>
      <c r="AJ274" s="56"/>
      <c r="AK274" s="56"/>
      <c r="AL274" s="56"/>
      <c r="AM274" s="56"/>
      <c r="AN274" s="56"/>
      <c r="AO274" s="56"/>
      <c r="AP274" s="56"/>
      <c r="AQ274" s="56"/>
      <c r="AR274" s="56"/>
      <c r="AS274" s="56"/>
      <c r="AT274" s="56"/>
      <c r="AU274" s="56"/>
      <c r="AV274" s="56"/>
      <c r="AW274" s="56"/>
      <c r="AX274" s="56"/>
      <c r="AY274" s="56"/>
      <c r="AZ274" s="56"/>
      <c r="BA274" s="56"/>
      <c r="BB274" s="56"/>
      <c r="BC274" s="56"/>
      <c r="BD274" s="56"/>
    </row>
    <row r="275" spans="1:56" ht="18.75" customHeight="1">
      <c r="A275" s="56"/>
      <c r="B275" s="56"/>
      <c r="C275" s="55" t="s">
        <v>584</v>
      </c>
      <c r="AL275" s="56"/>
      <c r="AM275" s="56"/>
      <c r="AN275" s="56"/>
      <c r="AO275" s="56"/>
      <c r="AP275" s="56"/>
      <c r="AQ275" s="56"/>
      <c r="AR275" s="56"/>
      <c r="AS275" s="56"/>
      <c r="AT275" s="56"/>
      <c r="AU275" s="56"/>
      <c r="AV275" s="56"/>
      <c r="AW275" s="56"/>
      <c r="AX275" s="56"/>
      <c r="AY275" s="56"/>
      <c r="AZ275" s="56"/>
      <c r="BA275" s="56"/>
      <c r="BB275" s="56"/>
    </row>
    <row r="276" spans="1:56" ht="18.75" customHeight="1">
      <c r="A276" s="57"/>
      <c r="B276" s="56"/>
      <c r="C276" s="214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  <c r="AB276" s="56"/>
      <c r="AC276" s="56"/>
      <c r="AD276" s="56"/>
      <c r="AE276" s="56"/>
      <c r="AF276" s="56"/>
      <c r="AG276" s="56"/>
      <c r="AH276" s="56"/>
      <c r="AI276" s="56"/>
      <c r="AJ276" s="56"/>
      <c r="AK276" s="56"/>
      <c r="AL276" s="56"/>
      <c r="AM276" s="56"/>
      <c r="AN276" s="56"/>
      <c r="AO276" s="56"/>
      <c r="AP276" s="56"/>
      <c r="AQ276" s="56"/>
      <c r="AR276" s="56"/>
      <c r="AS276" s="56"/>
      <c r="AT276" s="56"/>
      <c r="AU276" s="56"/>
      <c r="AV276" s="56"/>
      <c r="AW276" s="56"/>
      <c r="AX276" s="56"/>
      <c r="AY276" s="56"/>
      <c r="AZ276" s="56"/>
      <c r="BA276" s="56"/>
      <c r="BB276" s="56"/>
      <c r="BC276" s="56"/>
      <c r="BD276" s="56"/>
    </row>
    <row r="277" spans="1:56" ht="18.75" customHeight="1">
      <c r="A277" s="57"/>
      <c r="B277" s="56"/>
      <c r="C277" s="56"/>
      <c r="D277" s="56"/>
      <c r="E277" s="59"/>
      <c r="F277" s="56"/>
      <c r="G277" s="56"/>
      <c r="H277" s="224" t="s">
        <v>287</v>
      </c>
      <c r="I277" s="523" t="e">
        <f ca="1">Calcu!E72</f>
        <v>#N/A</v>
      </c>
      <c r="J277" s="523"/>
      <c r="K277" s="523"/>
      <c r="L277" s="358" t="s">
        <v>288</v>
      </c>
      <c r="N277" s="724" t="e">
        <f>F260</f>
        <v>#N/A</v>
      </c>
      <c r="O277" s="724"/>
      <c r="P277" s="724"/>
      <c r="Q277" s="724"/>
      <c r="R277" s="533" t="e">
        <f>J260</f>
        <v>#N/A</v>
      </c>
      <c r="S277" s="534"/>
      <c r="T277" s="534"/>
      <c r="U277" s="534"/>
      <c r="V277" s="534"/>
      <c r="W277" s="357"/>
      <c r="X277" s="356"/>
      <c r="Y277" s="536" t="s">
        <v>506</v>
      </c>
      <c r="Z277" s="536"/>
      <c r="AA277" s="56" t="s">
        <v>289</v>
      </c>
      <c r="AB277" s="725" t="e">
        <f ca="1">I277*N277</f>
        <v>#N/A</v>
      </c>
      <c r="AC277" s="725"/>
      <c r="AD277" s="725"/>
      <c r="AE277" s="365"/>
      <c r="AF277" s="724" t="e">
        <f ca="1">I277*R277</f>
        <v>#N/A</v>
      </c>
      <c r="AG277" s="724"/>
      <c r="AH277" s="724"/>
      <c r="AI277" s="724"/>
      <c r="AJ277" s="364"/>
      <c r="AL277" s="536" t="s">
        <v>506</v>
      </c>
      <c r="AM277" s="536"/>
      <c r="AN277" s="366" t="s">
        <v>573</v>
      </c>
      <c r="AO277" s="726" t="e">
        <f ca="1">SQRT(SUMSQ(AB277,AF277*Calcu!K3))</f>
        <v>#N/A</v>
      </c>
      <c r="AP277" s="726"/>
      <c r="AQ277" s="726"/>
      <c r="AR277" s="726"/>
      <c r="AS277" s="726"/>
      <c r="AT277" s="726"/>
      <c r="AU277" s="56"/>
      <c r="AV277" s="56"/>
      <c r="AW277" s="56"/>
      <c r="AX277" s="56"/>
      <c r="AY277" s="56"/>
      <c r="AZ277" s="56"/>
      <c r="BA277" s="56"/>
      <c r="BB277" s="56"/>
      <c r="BC277" s="56"/>
      <c r="BD277" s="56"/>
    </row>
  </sheetData>
  <mergeCells count="735">
    <mergeCell ref="AP41:AT41"/>
    <mergeCell ref="AP42:AT42"/>
    <mergeCell ref="AP43:AT43"/>
    <mergeCell ref="AP44:AT44"/>
    <mergeCell ref="AP45:AT45"/>
    <mergeCell ref="AP32:AT32"/>
    <mergeCell ref="AP33:AT33"/>
    <mergeCell ref="AP34:AT34"/>
    <mergeCell ref="AU41:AY41"/>
    <mergeCell ref="AU42:AY42"/>
    <mergeCell ref="AU43:AY43"/>
    <mergeCell ref="AU44:AY44"/>
    <mergeCell ref="AU45:AY45"/>
    <mergeCell ref="AU32:AY32"/>
    <mergeCell ref="AU33:AY33"/>
    <mergeCell ref="AU34:AY34"/>
    <mergeCell ref="AU35:AY35"/>
    <mergeCell ref="AU36:AY36"/>
    <mergeCell ref="AU37:AY37"/>
    <mergeCell ref="AU38:AY38"/>
    <mergeCell ref="AU39:AY39"/>
    <mergeCell ref="AU40:AY40"/>
    <mergeCell ref="AP35:AT35"/>
    <mergeCell ref="AP36:AT36"/>
    <mergeCell ref="AU22:AY23"/>
    <mergeCell ref="AU24:AY24"/>
    <mergeCell ref="AU25:AY25"/>
    <mergeCell ref="AU26:AY26"/>
    <mergeCell ref="AU27:AY27"/>
    <mergeCell ref="AU28:AY28"/>
    <mergeCell ref="AU29:AY29"/>
    <mergeCell ref="AU30:AY30"/>
    <mergeCell ref="AU31:AY31"/>
    <mergeCell ref="AP37:AT37"/>
    <mergeCell ref="AP38:AT38"/>
    <mergeCell ref="AP39:AT39"/>
    <mergeCell ref="AP40:AT40"/>
    <mergeCell ref="AP22:AT23"/>
    <mergeCell ref="AP24:AT24"/>
    <mergeCell ref="AP25:AT25"/>
    <mergeCell ref="AP26:AT26"/>
    <mergeCell ref="AP27:AT27"/>
    <mergeCell ref="AP28:AT28"/>
    <mergeCell ref="AP29:AT29"/>
    <mergeCell ref="AP30:AT30"/>
    <mergeCell ref="AP31:AT31"/>
    <mergeCell ref="AW264:AW265"/>
    <mergeCell ref="AX264:BA264"/>
    <mergeCell ref="J265:M265"/>
    <mergeCell ref="O265:R265"/>
    <mergeCell ref="T265:W265"/>
    <mergeCell ref="Y265:AB265"/>
    <mergeCell ref="AD265:AG265"/>
    <mergeCell ref="AI265:AL265"/>
    <mergeCell ref="AN265:AQ265"/>
    <mergeCell ref="AS265:AV265"/>
    <mergeCell ref="AX265:BA265"/>
    <mergeCell ref="N277:Q277"/>
    <mergeCell ref="R277:V277"/>
    <mergeCell ref="Y277:Z277"/>
    <mergeCell ref="AB277:AD277"/>
    <mergeCell ref="AF277:AI277"/>
    <mergeCell ref="AO277:AT277"/>
    <mergeCell ref="K256:L256"/>
    <mergeCell ref="M256:Q256"/>
    <mergeCell ref="U256:V256"/>
    <mergeCell ref="W256:Y256"/>
    <mergeCell ref="AB256:AC256"/>
    <mergeCell ref="C239:G240"/>
    <mergeCell ref="K230:M231"/>
    <mergeCell ref="BB263:BB264"/>
    <mergeCell ref="BC263:BE264"/>
    <mergeCell ref="J264:M264"/>
    <mergeCell ref="N264:N265"/>
    <mergeCell ref="O264:R264"/>
    <mergeCell ref="S264:S265"/>
    <mergeCell ref="T264:W264"/>
    <mergeCell ref="X264:X265"/>
    <mergeCell ref="Y264:AB264"/>
    <mergeCell ref="AC264:AC265"/>
    <mergeCell ref="AD264:AG264"/>
    <mergeCell ref="AH264:AH265"/>
    <mergeCell ref="AI264:AL264"/>
    <mergeCell ref="AM264:AM265"/>
    <mergeCell ref="AN264:AQ264"/>
    <mergeCell ref="AR264:AR265"/>
    <mergeCell ref="AS264:AV264"/>
    <mergeCell ref="Y141:Z141"/>
    <mergeCell ref="AF206:AL207"/>
    <mergeCell ref="L208:O208"/>
    <mergeCell ref="P208:T208"/>
    <mergeCell ref="U208:X208"/>
    <mergeCell ref="AA208:AD208"/>
    <mergeCell ref="AF149:AF150"/>
    <mergeCell ref="AG149:AL150"/>
    <mergeCell ref="AF152:AJ153"/>
    <mergeCell ref="I154:P154"/>
    <mergeCell ref="P156:Q157"/>
    <mergeCell ref="Y156:Z157"/>
    <mergeCell ref="AA156:AE157"/>
    <mergeCell ref="L158:M158"/>
    <mergeCell ref="AB162:AC163"/>
    <mergeCell ref="H169:O169"/>
    <mergeCell ref="L142:S142"/>
    <mergeCell ref="H146:J146"/>
    <mergeCell ref="J147:W148"/>
    <mergeCell ref="S206:Z207"/>
    <mergeCell ref="C147:I148"/>
    <mergeCell ref="J170:L171"/>
    <mergeCell ref="M170:M171"/>
    <mergeCell ref="C170:I171"/>
    <mergeCell ref="AA133:AB134"/>
    <mergeCell ref="R134:V134"/>
    <mergeCell ref="U136:V136"/>
    <mergeCell ref="W136:W137"/>
    <mergeCell ref="X136:Z137"/>
    <mergeCell ref="AA136:AB137"/>
    <mergeCell ref="R137:V137"/>
    <mergeCell ref="O137:P137"/>
    <mergeCell ref="O134:P134"/>
    <mergeCell ref="O136:P136"/>
    <mergeCell ref="Q136:Q137"/>
    <mergeCell ref="R136:T136"/>
    <mergeCell ref="AI109:AJ110"/>
    <mergeCell ref="I111:M111"/>
    <mergeCell ref="C112:H113"/>
    <mergeCell ref="N114:P114"/>
    <mergeCell ref="R114:U114"/>
    <mergeCell ref="AC114:AE114"/>
    <mergeCell ref="AG114:AJ114"/>
    <mergeCell ref="AK100:AL101"/>
    <mergeCell ref="AB109:AE110"/>
    <mergeCell ref="AC104:AF104"/>
    <mergeCell ref="Q101:Y101"/>
    <mergeCell ref="K109:W110"/>
    <mergeCell ref="X109:Z110"/>
    <mergeCell ref="AG107:AK108"/>
    <mergeCell ref="AF107:AF108"/>
    <mergeCell ref="K104:M104"/>
    <mergeCell ref="X105:AA105"/>
    <mergeCell ref="AE100:AH101"/>
    <mergeCell ref="S100:V100"/>
    <mergeCell ref="AA100:AA101"/>
    <mergeCell ref="AC100:AD101"/>
    <mergeCell ref="Q100:R100"/>
    <mergeCell ref="AH105:AK105"/>
    <mergeCell ref="O100:O101"/>
    <mergeCell ref="AK32:AO32"/>
    <mergeCell ref="B30:F30"/>
    <mergeCell ref="G30:K30"/>
    <mergeCell ref="L30:P30"/>
    <mergeCell ref="Q30:U30"/>
    <mergeCell ref="AA31:AE31"/>
    <mergeCell ref="C91:H92"/>
    <mergeCell ref="O93:Q93"/>
    <mergeCell ref="S93:V93"/>
    <mergeCell ref="AE93:AG93"/>
    <mergeCell ref="AI93:AL93"/>
    <mergeCell ref="Y89:AA89"/>
    <mergeCell ref="AC89:AG89"/>
    <mergeCell ref="C58:E58"/>
    <mergeCell ref="AF37:AJ37"/>
    <mergeCell ref="B39:F39"/>
    <mergeCell ref="AA32:AE32"/>
    <mergeCell ref="Q37:U37"/>
    <mergeCell ref="V37:Z37"/>
    <mergeCell ref="AF32:AJ32"/>
    <mergeCell ref="AF31:AJ31"/>
    <mergeCell ref="G31:K31"/>
    <mergeCell ref="L31:P31"/>
    <mergeCell ref="Q31:U31"/>
    <mergeCell ref="B4:G4"/>
    <mergeCell ref="H4:M4"/>
    <mergeCell ref="B5:G5"/>
    <mergeCell ref="H5:M5"/>
    <mergeCell ref="B28:F28"/>
    <mergeCell ref="G28:K28"/>
    <mergeCell ref="L28:P28"/>
    <mergeCell ref="Q28:U28"/>
    <mergeCell ref="V28:Z28"/>
    <mergeCell ref="Q25:U25"/>
    <mergeCell ref="V25:Z25"/>
    <mergeCell ref="B25:F25"/>
    <mergeCell ref="G25:K25"/>
    <mergeCell ref="L25:P25"/>
    <mergeCell ref="B10:F10"/>
    <mergeCell ref="B18:F18"/>
    <mergeCell ref="G16:L16"/>
    <mergeCell ref="M16:R16"/>
    <mergeCell ref="S16:X16"/>
    <mergeCell ref="Y16:AD16"/>
    <mergeCell ref="AA23:AE23"/>
    <mergeCell ref="AK27:AO27"/>
    <mergeCell ref="B16:F16"/>
    <mergeCell ref="B27:F27"/>
    <mergeCell ref="G27:K27"/>
    <mergeCell ref="L27:P27"/>
    <mergeCell ref="Q27:U27"/>
    <mergeCell ref="V27:Z27"/>
    <mergeCell ref="B24:F24"/>
    <mergeCell ref="G24:K24"/>
    <mergeCell ref="L24:P24"/>
    <mergeCell ref="Q24:U24"/>
    <mergeCell ref="V24:Z24"/>
    <mergeCell ref="AA27:AE27"/>
    <mergeCell ref="B26:F26"/>
    <mergeCell ref="G26:K26"/>
    <mergeCell ref="L26:P26"/>
    <mergeCell ref="Q26:U26"/>
    <mergeCell ref="V26:Z26"/>
    <mergeCell ref="AA26:AE26"/>
    <mergeCell ref="AF26:AJ26"/>
    <mergeCell ref="AA24:AE24"/>
    <mergeCell ref="AA25:AE25"/>
    <mergeCell ref="AF25:AJ25"/>
    <mergeCell ref="AF27:AJ27"/>
    <mergeCell ref="V31:Z31"/>
    <mergeCell ref="AF24:AJ24"/>
    <mergeCell ref="B29:F29"/>
    <mergeCell ref="G29:K29"/>
    <mergeCell ref="L29:P29"/>
    <mergeCell ref="Q29:U29"/>
    <mergeCell ref="V29:Z29"/>
    <mergeCell ref="B31:F31"/>
    <mergeCell ref="B8:F9"/>
    <mergeCell ref="G9:K9"/>
    <mergeCell ref="L9:P9"/>
    <mergeCell ref="B11:F11"/>
    <mergeCell ref="G11:K11"/>
    <mergeCell ref="L11:P11"/>
    <mergeCell ref="V11:Z11"/>
    <mergeCell ref="AE16:AI19"/>
    <mergeCell ref="AE14:AI15"/>
    <mergeCell ref="G10:K10"/>
    <mergeCell ref="L10:P10"/>
    <mergeCell ref="V10:Z10"/>
    <mergeCell ref="AF28:AJ28"/>
    <mergeCell ref="V30:Z30"/>
    <mergeCell ref="AA30:AE30"/>
    <mergeCell ref="AF30:AJ30"/>
    <mergeCell ref="Q32:U32"/>
    <mergeCell ref="V32:Z32"/>
    <mergeCell ref="AJ16:AN19"/>
    <mergeCell ref="G17:L17"/>
    <mergeCell ref="M17:R17"/>
    <mergeCell ref="S17:X17"/>
    <mergeCell ref="Y17:AD17"/>
    <mergeCell ref="G18:L18"/>
    <mergeCell ref="M18:R18"/>
    <mergeCell ref="S18:X18"/>
    <mergeCell ref="Y18:AD18"/>
    <mergeCell ref="G19:L19"/>
    <mergeCell ref="M19:R19"/>
    <mergeCell ref="S19:X19"/>
    <mergeCell ref="AA28:AE28"/>
    <mergeCell ref="AK25:AO25"/>
    <mergeCell ref="AK31:AO31"/>
    <mergeCell ref="AK24:AO24"/>
    <mergeCell ref="AF22:AJ23"/>
    <mergeCell ref="AK22:AO23"/>
    <mergeCell ref="G23:K23"/>
    <mergeCell ref="L23:P23"/>
    <mergeCell ref="Q23:U23"/>
    <mergeCell ref="V23:Z23"/>
    <mergeCell ref="AK28:AO28"/>
    <mergeCell ref="AJ14:AN15"/>
    <mergeCell ref="B17:F17"/>
    <mergeCell ref="B19:F19"/>
    <mergeCell ref="I124:J124"/>
    <mergeCell ref="N125:P125"/>
    <mergeCell ref="U125:W125"/>
    <mergeCell ref="G8:P8"/>
    <mergeCell ref="Q8:U9"/>
    <mergeCell ref="V8:Z9"/>
    <mergeCell ref="Q10:U11"/>
    <mergeCell ref="B14:F15"/>
    <mergeCell ref="G14:AD14"/>
    <mergeCell ref="G15:L15"/>
    <mergeCell ref="M15:R15"/>
    <mergeCell ref="S15:X15"/>
    <mergeCell ref="Y15:AD15"/>
    <mergeCell ref="Y19:AD19"/>
    <mergeCell ref="B22:F23"/>
    <mergeCell ref="G22:AE22"/>
    <mergeCell ref="B32:F32"/>
    <mergeCell ref="G32:K32"/>
    <mergeCell ref="L32:P32"/>
    <mergeCell ref="AK26:AO26"/>
    <mergeCell ref="L34:P34"/>
    <mergeCell ref="Q34:U34"/>
    <mergeCell ref="V34:Z34"/>
    <mergeCell ref="AA34:AE34"/>
    <mergeCell ref="AF34:AJ34"/>
    <mergeCell ref="AK34:AO34"/>
    <mergeCell ref="B33:F33"/>
    <mergeCell ref="G33:K33"/>
    <mergeCell ref="L33:P33"/>
    <mergeCell ref="Q33:U33"/>
    <mergeCell ref="V33:Z33"/>
    <mergeCell ref="AA33:AE33"/>
    <mergeCell ref="AK30:AO30"/>
    <mergeCell ref="AA29:AE29"/>
    <mergeCell ref="AF29:AJ29"/>
    <mergeCell ref="AK29:AO29"/>
    <mergeCell ref="AF35:AJ35"/>
    <mergeCell ref="AK35:AO35"/>
    <mergeCell ref="B36:F36"/>
    <mergeCell ref="G36:K36"/>
    <mergeCell ref="L36:P36"/>
    <mergeCell ref="Q36:U36"/>
    <mergeCell ref="V36:Z36"/>
    <mergeCell ref="AA36:AE36"/>
    <mergeCell ref="AF36:AJ36"/>
    <mergeCell ref="AK36:AO36"/>
    <mergeCell ref="B35:F35"/>
    <mergeCell ref="G35:K35"/>
    <mergeCell ref="L35:P35"/>
    <mergeCell ref="Q35:U35"/>
    <mergeCell ref="V35:Z35"/>
    <mergeCell ref="AA35:AE35"/>
    <mergeCell ref="AF33:AJ33"/>
    <mergeCell ref="AK33:AO33"/>
    <mergeCell ref="B34:F34"/>
    <mergeCell ref="G34:K34"/>
    <mergeCell ref="AK37:AO37"/>
    <mergeCell ref="B38:F38"/>
    <mergeCell ref="G38:K38"/>
    <mergeCell ref="L38:P38"/>
    <mergeCell ref="Q38:U38"/>
    <mergeCell ref="V38:Z38"/>
    <mergeCell ref="AA38:AE38"/>
    <mergeCell ref="AF38:AJ38"/>
    <mergeCell ref="AK38:AO38"/>
    <mergeCell ref="B37:F37"/>
    <mergeCell ref="G37:K37"/>
    <mergeCell ref="L37:P37"/>
    <mergeCell ref="AA37:AE37"/>
    <mergeCell ref="G39:K39"/>
    <mergeCell ref="L39:P39"/>
    <mergeCell ref="Q39:U39"/>
    <mergeCell ref="V39:Z39"/>
    <mergeCell ref="AA39:AE39"/>
    <mergeCell ref="AF39:AJ39"/>
    <mergeCell ref="AK39:AO39"/>
    <mergeCell ref="B40:F40"/>
    <mergeCell ref="G40:K40"/>
    <mergeCell ref="L40:P40"/>
    <mergeCell ref="Q40:U40"/>
    <mergeCell ref="V40:Z40"/>
    <mergeCell ref="AA40:AE40"/>
    <mergeCell ref="AF40:AJ40"/>
    <mergeCell ref="AK40:AO40"/>
    <mergeCell ref="AK41:AO41"/>
    <mergeCell ref="B42:F42"/>
    <mergeCell ref="G42:K42"/>
    <mergeCell ref="L42:P42"/>
    <mergeCell ref="Q42:U42"/>
    <mergeCell ref="V42:Z42"/>
    <mergeCell ref="AA42:AE42"/>
    <mergeCell ref="AF42:AJ42"/>
    <mergeCell ref="AK42:AO42"/>
    <mergeCell ref="B41:F41"/>
    <mergeCell ref="G41:K41"/>
    <mergeCell ref="L41:P41"/>
    <mergeCell ref="Q41:U41"/>
    <mergeCell ref="V41:Z41"/>
    <mergeCell ref="AA41:AE41"/>
    <mergeCell ref="AF41:AJ41"/>
    <mergeCell ref="AK43:AO43"/>
    <mergeCell ref="B44:F44"/>
    <mergeCell ref="G44:K44"/>
    <mergeCell ref="L44:P44"/>
    <mergeCell ref="Q44:U44"/>
    <mergeCell ref="V44:Z44"/>
    <mergeCell ref="AA44:AE44"/>
    <mergeCell ref="AF44:AJ44"/>
    <mergeCell ref="AK44:AO44"/>
    <mergeCell ref="B43:F43"/>
    <mergeCell ref="G43:K43"/>
    <mergeCell ref="L43:P43"/>
    <mergeCell ref="Q43:U43"/>
    <mergeCell ref="V43:Z43"/>
    <mergeCell ref="AA43:AE43"/>
    <mergeCell ref="AF43:AJ43"/>
    <mergeCell ref="AK45:AO45"/>
    <mergeCell ref="C50:E50"/>
    <mergeCell ref="C51:E51"/>
    <mergeCell ref="C52:E52"/>
    <mergeCell ref="C53:E53"/>
    <mergeCell ref="C54:E54"/>
    <mergeCell ref="C55:E55"/>
    <mergeCell ref="C56:E56"/>
    <mergeCell ref="C57:E57"/>
    <mergeCell ref="B45:F45"/>
    <mergeCell ref="G45:K45"/>
    <mergeCell ref="L45:P45"/>
    <mergeCell ref="Q45:U45"/>
    <mergeCell ref="V45:Z45"/>
    <mergeCell ref="AA45:AE45"/>
    <mergeCell ref="AF45:AJ45"/>
    <mergeCell ref="C59:E59"/>
    <mergeCell ref="D70:G70"/>
    <mergeCell ref="H70:N70"/>
    <mergeCell ref="O70:AA70"/>
    <mergeCell ref="AB70:AF70"/>
    <mergeCell ref="AG70:AO70"/>
    <mergeCell ref="AP70:BB70"/>
    <mergeCell ref="BC70:BF70"/>
    <mergeCell ref="D71:G71"/>
    <mergeCell ref="H71:N71"/>
    <mergeCell ref="O71:AA71"/>
    <mergeCell ref="AB71:AF71"/>
    <mergeCell ref="AG71:AO71"/>
    <mergeCell ref="AP71:BB71"/>
    <mergeCell ref="BC71:BF71"/>
    <mergeCell ref="C60:E60"/>
    <mergeCell ref="B70:C72"/>
    <mergeCell ref="AG72:AO72"/>
    <mergeCell ref="AP72:BB72"/>
    <mergeCell ref="BC72:BF72"/>
    <mergeCell ref="B73:C73"/>
    <mergeCell ref="D73:G73"/>
    <mergeCell ref="H73:L73"/>
    <mergeCell ref="M73:N73"/>
    <mergeCell ref="O73:Q73"/>
    <mergeCell ref="S73:W73"/>
    <mergeCell ref="Z73:AA73"/>
    <mergeCell ref="AB73:AF73"/>
    <mergeCell ref="AG73:AO73"/>
    <mergeCell ref="AP73:AR73"/>
    <mergeCell ref="AT73:AX73"/>
    <mergeCell ref="BA73:BB73"/>
    <mergeCell ref="BC73:BF73"/>
    <mergeCell ref="D72:G72"/>
    <mergeCell ref="H72:N72"/>
    <mergeCell ref="O72:AA72"/>
    <mergeCell ref="AB72:AF72"/>
    <mergeCell ref="AT74:AX74"/>
    <mergeCell ref="BA74:BB74"/>
    <mergeCell ref="BC74:BF74"/>
    <mergeCell ref="AG76:AO76"/>
    <mergeCell ref="AP76:AV76"/>
    <mergeCell ref="BC75:BF75"/>
    <mergeCell ref="B74:C74"/>
    <mergeCell ref="D74:G74"/>
    <mergeCell ref="H74:N74"/>
    <mergeCell ref="O74:Q74"/>
    <mergeCell ref="S74:W74"/>
    <mergeCell ref="Z74:AA74"/>
    <mergeCell ref="AB74:AF74"/>
    <mergeCell ref="AG74:AO74"/>
    <mergeCell ref="AP74:AR74"/>
    <mergeCell ref="B75:C75"/>
    <mergeCell ref="D75:G75"/>
    <mergeCell ref="H75:N75"/>
    <mergeCell ref="O75:U75"/>
    <mergeCell ref="V75:AA75"/>
    <mergeCell ref="AB75:AF75"/>
    <mergeCell ref="AG75:AO75"/>
    <mergeCell ref="AP75:AV75"/>
    <mergeCell ref="AW75:BB75"/>
    <mergeCell ref="AB78:AF78"/>
    <mergeCell ref="AG78:AJ78"/>
    <mergeCell ref="AK78:AO78"/>
    <mergeCell ref="AW76:BB76"/>
    <mergeCell ref="BC76:BF76"/>
    <mergeCell ref="B77:C77"/>
    <mergeCell ref="D77:G77"/>
    <mergeCell ref="H77:L77"/>
    <mergeCell ref="M77:N77"/>
    <mergeCell ref="O77:U77"/>
    <mergeCell ref="V77:AA77"/>
    <mergeCell ref="AB77:AF77"/>
    <mergeCell ref="AG77:AJ77"/>
    <mergeCell ref="AK77:AO77"/>
    <mergeCell ref="AP77:AV77"/>
    <mergeCell ref="AW77:BB77"/>
    <mergeCell ref="BC77:BF77"/>
    <mergeCell ref="B76:C76"/>
    <mergeCell ref="D76:G76"/>
    <mergeCell ref="H76:L76"/>
    <mergeCell ref="M76:N76"/>
    <mergeCell ref="O76:U76"/>
    <mergeCell ref="V76:AA76"/>
    <mergeCell ref="AB76:AF76"/>
    <mergeCell ref="AB80:AF80"/>
    <mergeCell ref="AG80:AJ80"/>
    <mergeCell ref="AK80:AO80"/>
    <mergeCell ref="AP78:AV78"/>
    <mergeCell ref="AW78:BB78"/>
    <mergeCell ref="BC78:BF78"/>
    <mergeCell ref="B79:C79"/>
    <mergeCell ref="D79:G79"/>
    <mergeCell ref="H79:L79"/>
    <mergeCell ref="M79:N79"/>
    <mergeCell ref="O79:U79"/>
    <mergeCell ref="V79:AA79"/>
    <mergeCell ref="AB79:AF79"/>
    <mergeCell ref="AG79:AJ79"/>
    <mergeCell ref="AK79:AO79"/>
    <mergeCell ref="AP79:AV79"/>
    <mergeCell ref="AW79:BB79"/>
    <mergeCell ref="BC79:BF79"/>
    <mergeCell ref="B78:C78"/>
    <mergeCell ref="D78:G78"/>
    <mergeCell ref="H78:L78"/>
    <mergeCell ref="M78:N78"/>
    <mergeCell ref="O78:U78"/>
    <mergeCell ref="V78:AA78"/>
    <mergeCell ref="AB84:AF84"/>
    <mergeCell ref="AG82:AO82"/>
    <mergeCell ref="H88:M88"/>
    <mergeCell ref="AP82:AV82"/>
    <mergeCell ref="AP80:AV80"/>
    <mergeCell ref="AW80:BB80"/>
    <mergeCell ref="BC80:BF80"/>
    <mergeCell ref="B81:C81"/>
    <mergeCell ref="D81:G81"/>
    <mergeCell ref="H81:L81"/>
    <mergeCell ref="M81:N81"/>
    <mergeCell ref="O81:U81"/>
    <mergeCell ref="V81:AA81"/>
    <mergeCell ref="AB81:AF81"/>
    <mergeCell ref="AG81:AO81"/>
    <mergeCell ref="AP81:AV81"/>
    <mergeCell ref="AW81:BB81"/>
    <mergeCell ref="BC81:BF81"/>
    <mergeCell ref="B80:C80"/>
    <mergeCell ref="D80:G80"/>
    <mergeCell ref="H80:L80"/>
    <mergeCell ref="M80:N80"/>
    <mergeCell ref="O80:U80"/>
    <mergeCell ref="V80:AA80"/>
    <mergeCell ref="AW82:BB82"/>
    <mergeCell ref="BC82:BF82"/>
    <mergeCell ref="B83:C83"/>
    <mergeCell ref="D83:G83"/>
    <mergeCell ref="H83:N83"/>
    <mergeCell ref="O83:AA83"/>
    <mergeCell ref="AB83:AF83"/>
    <mergeCell ref="AG83:AK83"/>
    <mergeCell ref="AL83:AO83"/>
    <mergeCell ref="AP83:AV83"/>
    <mergeCell ref="AW83:BB83"/>
    <mergeCell ref="BC83:BF83"/>
    <mergeCell ref="B82:C82"/>
    <mergeCell ref="D82:G82"/>
    <mergeCell ref="H82:L82"/>
    <mergeCell ref="M82:N82"/>
    <mergeCell ref="O82:U82"/>
    <mergeCell ref="V82:AA82"/>
    <mergeCell ref="AB82:AF82"/>
    <mergeCell ref="V170:W171"/>
    <mergeCell ref="B84:C84"/>
    <mergeCell ref="D84:G84"/>
    <mergeCell ref="H84:L84"/>
    <mergeCell ref="M84:N84"/>
    <mergeCell ref="O84:AA84"/>
    <mergeCell ref="V121:X122"/>
    <mergeCell ref="Y121:AA122"/>
    <mergeCell ref="Q122:T122"/>
    <mergeCell ref="X125:Z125"/>
    <mergeCell ref="I129:M129"/>
    <mergeCell ref="N129:O129"/>
    <mergeCell ref="I123:M123"/>
    <mergeCell ref="Q132:S132"/>
    <mergeCell ref="T132:U132"/>
    <mergeCell ref="O133:P133"/>
    <mergeCell ref="Q133:Q134"/>
    <mergeCell ref="R133:T133"/>
    <mergeCell ref="Y98:Z98"/>
    <mergeCell ref="AA98:AD98"/>
    <mergeCell ref="J149:Z150"/>
    <mergeCell ref="AC105:AF105"/>
    <mergeCell ref="H97:M97"/>
    <mergeCell ref="I90:M90"/>
    <mergeCell ref="BC84:BF84"/>
    <mergeCell ref="AO100:AQ101"/>
    <mergeCell ref="AS100:AV101"/>
    <mergeCell ref="AZ100:BA101"/>
    <mergeCell ref="AR104:AU104"/>
    <mergeCell ref="AW104:AZ104"/>
    <mergeCell ref="AR105:AU105"/>
    <mergeCell ref="AH104:AK104"/>
    <mergeCell ref="AM104:AP104"/>
    <mergeCell ref="AM105:AP105"/>
    <mergeCell ref="AM100:AN101"/>
    <mergeCell ref="AJ89:AM89"/>
    <mergeCell ref="AP84:AR84"/>
    <mergeCell ref="AT84:AX84"/>
    <mergeCell ref="AQ89:AS89"/>
    <mergeCell ref="AU89:AX89"/>
    <mergeCell ref="BA84:BB84"/>
    <mergeCell ref="AG84:AO84"/>
    <mergeCell ref="C176:G177"/>
    <mergeCell ref="H181:J181"/>
    <mergeCell ref="S185:X185"/>
    <mergeCell ref="I186:P186"/>
    <mergeCell ref="Q189:R190"/>
    <mergeCell ref="H118:M118"/>
    <mergeCell ref="Q121:R121"/>
    <mergeCell ref="U121:U122"/>
    <mergeCell ref="U133:V133"/>
    <mergeCell ref="W133:W134"/>
    <mergeCell ref="X133:Z134"/>
    <mergeCell ref="K133:M134"/>
    <mergeCell ref="N133:N134"/>
    <mergeCell ref="I138:P138"/>
    <mergeCell ref="C139:H140"/>
    <mergeCell ref="M139:N140"/>
    <mergeCell ref="K136:M137"/>
    <mergeCell ref="N136:N137"/>
    <mergeCell ref="L141:M141"/>
    <mergeCell ref="O141:Q141"/>
    <mergeCell ref="R141:S141"/>
    <mergeCell ref="V141:X141"/>
    <mergeCell ref="N170:O170"/>
    <mergeCell ref="S170:U171"/>
    <mergeCell ref="AF173:AL174"/>
    <mergeCell ref="L175:O175"/>
    <mergeCell ref="P175:T175"/>
    <mergeCell ref="U175:X175"/>
    <mergeCell ref="AA175:AD175"/>
    <mergeCell ref="S173:Z174"/>
    <mergeCell ref="AA173:AA174"/>
    <mergeCell ref="R203:T204"/>
    <mergeCell ref="U203:V204"/>
    <mergeCell ref="Z189:AA190"/>
    <mergeCell ref="C222:G223"/>
    <mergeCell ref="H228:O228"/>
    <mergeCell ref="N230:N231"/>
    <mergeCell ref="C209:G210"/>
    <mergeCell ref="W230:W231"/>
    <mergeCell ref="AA206:AA207"/>
    <mergeCell ref="H214:O214"/>
    <mergeCell ref="O231:Q231"/>
    <mergeCell ref="S231:V231"/>
    <mergeCell ref="Y216:AA217"/>
    <mergeCell ref="P215:R215"/>
    <mergeCell ref="I235:P235"/>
    <mergeCell ref="C236:H237"/>
    <mergeCell ref="L238:M238"/>
    <mergeCell ref="O216:R216"/>
    <mergeCell ref="S216:S217"/>
    <mergeCell ref="X216:X217"/>
    <mergeCell ref="O217:R217"/>
    <mergeCell ref="T217:W217"/>
    <mergeCell ref="I218:P218"/>
    <mergeCell ref="N233:N234"/>
    <mergeCell ref="O233:Q233"/>
    <mergeCell ref="R233:R234"/>
    <mergeCell ref="O230:Q230"/>
    <mergeCell ref="R230:R231"/>
    <mergeCell ref="K216:M217"/>
    <mergeCell ref="N216:N217"/>
    <mergeCell ref="T216:U216"/>
    <mergeCell ref="O238:Q238"/>
    <mergeCell ref="V238:X238"/>
    <mergeCell ref="W233:W234"/>
    <mergeCell ref="O234:Q234"/>
    <mergeCell ref="S234:V234"/>
    <mergeCell ref="C219:H220"/>
    <mergeCell ref="L221:M221"/>
    <mergeCell ref="I245:L245"/>
    <mergeCell ref="T245:V245"/>
    <mergeCell ref="Z245:AB245"/>
    <mergeCell ref="I246:P246"/>
    <mergeCell ref="H243:O243"/>
    <mergeCell ref="L250:N250"/>
    <mergeCell ref="S250:U250"/>
    <mergeCell ref="AA250:AE250"/>
    <mergeCell ref="C247:H248"/>
    <mergeCell ref="O247:T248"/>
    <mergeCell ref="U247:W248"/>
    <mergeCell ref="X247:AA248"/>
    <mergeCell ref="F258:H258"/>
    <mergeCell ref="K258:L258"/>
    <mergeCell ref="M258:Q258"/>
    <mergeCell ref="F260:H260"/>
    <mergeCell ref="J260:N260"/>
    <mergeCell ref="Q260:R260"/>
    <mergeCell ref="J263:BA263"/>
    <mergeCell ref="I277:K277"/>
    <mergeCell ref="C251:G252"/>
    <mergeCell ref="AL277:AM277"/>
    <mergeCell ref="F257:G257"/>
    <mergeCell ref="H257:L257"/>
    <mergeCell ref="P257:Q257"/>
    <mergeCell ref="R257:V257"/>
    <mergeCell ref="Z257:AA257"/>
    <mergeCell ref="AB257:AD257"/>
    <mergeCell ref="AG257:AH257"/>
    <mergeCell ref="AI257:AK257"/>
    <mergeCell ref="AN257:AO257"/>
    <mergeCell ref="AP257:AT257"/>
    <mergeCell ref="AN256:AR256"/>
    <mergeCell ref="AD256:AH256"/>
    <mergeCell ref="AL256:AM256"/>
    <mergeCell ref="F256:H256"/>
    <mergeCell ref="AA149:AE149"/>
    <mergeCell ref="R170:R171"/>
    <mergeCell ref="I172:P172"/>
    <mergeCell ref="AA158:AD158"/>
    <mergeCell ref="R156:W157"/>
    <mergeCell ref="X156:X157"/>
    <mergeCell ref="AB206:AE207"/>
    <mergeCell ref="X195:Z196"/>
    <mergeCell ref="H202:O202"/>
    <mergeCell ref="Q203:Q204"/>
    <mergeCell ref="I205:P205"/>
    <mergeCell ref="C206:H207"/>
    <mergeCell ref="P206:R207"/>
    <mergeCell ref="I203:K204"/>
    <mergeCell ref="L203:L204"/>
    <mergeCell ref="M203:N203"/>
    <mergeCell ref="AB189:AF190"/>
    <mergeCell ref="L191:M191"/>
    <mergeCell ref="AA191:AD191"/>
    <mergeCell ref="S189:X190"/>
    <mergeCell ref="Y189:Y190"/>
    <mergeCell ref="C173:H174"/>
    <mergeCell ref="P173:R174"/>
    <mergeCell ref="AB173:AE174"/>
    <mergeCell ref="AB216:AC217"/>
    <mergeCell ref="O221:Q221"/>
    <mergeCell ref="R221:S221"/>
    <mergeCell ref="V221:X221"/>
    <mergeCell ref="K233:M234"/>
    <mergeCell ref="S233:T233"/>
    <mergeCell ref="S230:T230"/>
    <mergeCell ref="X233:Z234"/>
    <mergeCell ref="X230:Z231"/>
    <mergeCell ref="O229:Q229"/>
    <mergeCell ref="AA230:AB231"/>
    <mergeCell ref="AA233:AB234"/>
  </mergeCells>
  <phoneticPr fontId="4" type="noConversion"/>
  <pageMargins left="0.39370078740157483" right="0.39370078740157483" top="0.39370078740157483" bottom="0.39370078740157483" header="0.19685039370078741" footer="0.19685039370078741"/>
  <pageSetup paperSize="9" fitToHeight="10" orientation="portrait" r:id="rId1"/>
  <headerFooter alignWithMargins="0">
    <oddFooter>&amp;L&amp;10F-02P-04-001 (Rev.00)&amp;C&amp;10&amp;P of &amp;N&amp;R&amp;"돋움,굵게"&amp;9(주)에이치시티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2533" r:id="rId4">
          <objectPr defaultSize="0" r:id="rId5">
            <anchor moveWithCells="1">
              <from>
                <xdr:col>3</xdr:col>
                <xdr:colOff>9525</xdr:colOff>
                <xdr:row>53</xdr:row>
                <xdr:rowOff>19050</xdr:rowOff>
              </from>
              <to>
                <xdr:col>4</xdr:col>
                <xdr:colOff>0</xdr:colOff>
                <xdr:row>54</xdr:row>
                <xdr:rowOff>0</xdr:rowOff>
              </to>
            </anchor>
          </objectPr>
        </oleObject>
      </mc:Choice>
      <mc:Fallback>
        <oleObject progId="Equation.3" shapeId="2533" r:id="rId4"/>
      </mc:Fallback>
    </mc:AlternateContent>
    <mc:AlternateContent xmlns:mc="http://schemas.openxmlformats.org/markup-compatibility/2006">
      <mc:Choice Requires="x14">
        <oleObject progId="Equation.3" shapeId="2535" r:id="rId6">
          <objectPr defaultSize="0" r:id="rId5">
            <anchor moveWithCells="1">
              <from>
                <xdr:col>4</xdr:col>
                <xdr:colOff>85725</xdr:colOff>
                <xdr:row>76</xdr:row>
                <xdr:rowOff>19050</xdr:rowOff>
              </from>
              <to>
                <xdr:col>5</xdr:col>
                <xdr:colOff>76200</xdr:colOff>
                <xdr:row>77</xdr:row>
                <xdr:rowOff>0</xdr:rowOff>
              </to>
            </anchor>
          </objectPr>
        </oleObject>
      </mc:Choice>
      <mc:Fallback>
        <oleObject progId="Equation.3" shapeId="2535" r:id="rId6"/>
      </mc:Fallback>
    </mc:AlternateContent>
    <mc:AlternateContent xmlns:mc="http://schemas.openxmlformats.org/markup-compatibility/2006">
      <mc:Choice Requires="x14">
        <oleObject progId="Equation.3" shapeId="2570" r:id="rId7">
          <objectPr defaultSize="0" r:id="rId8">
            <anchor moveWithCells="1">
              <from>
                <xdr:col>13</xdr:col>
                <xdr:colOff>142875</xdr:colOff>
                <xdr:row>71</xdr:row>
                <xdr:rowOff>228600</xdr:rowOff>
              </from>
              <to>
                <xdr:col>24</xdr:col>
                <xdr:colOff>142875</xdr:colOff>
                <xdr:row>73</xdr:row>
                <xdr:rowOff>19050</xdr:rowOff>
              </to>
            </anchor>
          </objectPr>
        </oleObject>
      </mc:Choice>
      <mc:Fallback>
        <oleObject progId="Equation.3" shapeId="2570" r:id="rId7"/>
      </mc:Fallback>
    </mc:AlternateContent>
    <mc:AlternateContent xmlns:mc="http://schemas.openxmlformats.org/markup-compatibility/2006">
      <mc:Choice Requires="x14">
        <oleObject progId="Equation.3" shapeId="2571" r:id="rId9">
          <objectPr defaultSize="0" r:id="rId8">
            <anchor moveWithCells="1">
              <from>
                <xdr:col>13</xdr:col>
                <xdr:colOff>142875</xdr:colOff>
                <xdr:row>72</xdr:row>
                <xdr:rowOff>257175</xdr:rowOff>
              </from>
              <to>
                <xdr:col>24</xdr:col>
                <xdr:colOff>142875</xdr:colOff>
                <xdr:row>74</xdr:row>
                <xdr:rowOff>28575</xdr:rowOff>
              </to>
            </anchor>
          </objectPr>
        </oleObject>
      </mc:Choice>
      <mc:Fallback>
        <oleObject progId="Equation.3" shapeId="2571" r:id="rId9"/>
      </mc:Fallback>
    </mc:AlternateContent>
    <mc:AlternateContent xmlns:mc="http://schemas.openxmlformats.org/markup-compatibility/2006">
      <mc:Choice Requires="x14">
        <oleObject progId="Equation.3" shapeId="2572" r:id="rId10">
          <objectPr defaultSize="0" r:id="rId8">
            <anchor moveWithCells="1">
              <from>
                <xdr:col>40</xdr:col>
                <xdr:colOff>142875</xdr:colOff>
                <xdr:row>71</xdr:row>
                <xdr:rowOff>228600</xdr:rowOff>
              </from>
              <to>
                <xdr:col>51</xdr:col>
                <xdr:colOff>142875</xdr:colOff>
                <xdr:row>73</xdr:row>
                <xdr:rowOff>19050</xdr:rowOff>
              </to>
            </anchor>
          </objectPr>
        </oleObject>
      </mc:Choice>
      <mc:Fallback>
        <oleObject progId="Equation.3" shapeId="2572" r:id="rId10"/>
      </mc:Fallback>
    </mc:AlternateContent>
    <mc:AlternateContent xmlns:mc="http://schemas.openxmlformats.org/markup-compatibility/2006">
      <mc:Choice Requires="x14">
        <oleObject progId="Equation.3" shapeId="2573" r:id="rId11">
          <objectPr defaultSize="0" r:id="rId8">
            <anchor moveWithCells="1">
              <from>
                <xdr:col>40</xdr:col>
                <xdr:colOff>142875</xdr:colOff>
                <xdr:row>72</xdr:row>
                <xdr:rowOff>257175</xdr:rowOff>
              </from>
              <to>
                <xdr:col>51</xdr:col>
                <xdr:colOff>142875</xdr:colOff>
                <xdr:row>74</xdr:row>
                <xdr:rowOff>28575</xdr:rowOff>
              </to>
            </anchor>
          </objectPr>
        </oleObject>
      </mc:Choice>
      <mc:Fallback>
        <oleObject progId="Equation.3" shapeId="2573" r:id="rId11"/>
      </mc:Fallback>
    </mc:AlternateContent>
    <mc:AlternateContent xmlns:mc="http://schemas.openxmlformats.org/markup-compatibility/2006">
      <mc:Choice Requires="x14">
        <oleObject progId="Equation.3" shapeId="2574" r:id="rId12">
          <objectPr defaultSize="0" r:id="rId8">
            <anchor moveWithCells="1">
              <from>
                <xdr:col>40</xdr:col>
                <xdr:colOff>142875</xdr:colOff>
                <xdr:row>82</xdr:row>
                <xdr:rowOff>228600</xdr:rowOff>
              </from>
              <to>
                <xdr:col>51</xdr:col>
                <xdr:colOff>142875</xdr:colOff>
                <xdr:row>84</xdr:row>
                <xdr:rowOff>19050</xdr:rowOff>
              </to>
            </anchor>
          </objectPr>
        </oleObject>
      </mc:Choice>
      <mc:Fallback>
        <oleObject progId="Equation.3" shapeId="2574" r:id="rId12"/>
      </mc:Fallback>
    </mc:AlternateContent>
    <mc:AlternateContent xmlns:mc="http://schemas.openxmlformats.org/markup-compatibility/2006">
      <mc:Choice Requires="x14">
        <oleObject progId="Equation.DSMT4" shapeId="2531" r:id="rId13">
          <objectPr defaultSize="0" autoPict="0" r:id="rId14">
            <anchor moveWithCells="1">
              <from>
                <xdr:col>14</xdr:col>
                <xdr:colOff>28575</xdr:colOff>
                <xdr:row>133</xdr:row>
                <xdr:rowOff>9525</xdr:rowOff>
              </from>
              <to>
                <xdr:col>15</xdr:col>
                <xdr:colOff>85725</xdr:colOff>
                <xdr:row>133</xdr:row>
                <xdr:rowOff>209550</xdr:rowOff>
              </to>
            </anchor>
          </objectPr>
        </oleObject>
      </mc:Choice>
      <mc:Fallback>
        <oleObject progId="Equation.DSMT4" shapeId="2531" r:id="rId13"/>
      </mc:Fallback>
    </mc:AlternateContent>
    <mc:AlternateContent xmlns:mc="http://schemas.openxmlformats.org/markup-compatibility/2006">
      <mc:Choice Requires="x14">
        <oleObject progId="Equation.DSMT4" shapeId="2532" r:id="rId15">
          <objectPr defaultSize="0" r:id="rId16">
            <anchor moveWithCells="1">
              <from>
                <xdr:col>18</xdr:col>
                <xdr:colOff>123825</xdr:colOff>
                <xdr:row>133</xdr:row>
                <xdr:rowOff>0</xdr:rowOff>
              </from>
              <to>
                <xdr:col>20</xdr:col>
                <xdr:colOff>19050</xdr:colOff>
                <xdr:row>133</xdr:row>
                <xdr:rowOff>200025</xdr:rowOff>
              </to>
            </anchor>
          </objectPr>
        </oleObject>
      </mc:Choice>
      <mc:Fallback>
        <oleObject progId="Equation.DSMT4" shapeId="2532" r:id="rId15"/>
      </mc:Fallback>
    </mc:AlternateContent>
    <mc:AlternateContent xmlns:mc="http://schemas.openxmlformats.org/markup-compatibility/2006">
      <mc:Choice Requires="x14">
        <oleObject progId="Equation.3" shapeId="2536" r:id="rId17">
          <objectPr defaultSize="0" r:id="rId18">
            <anchor moveWithCells="1">
              <from>
                <xdr:col>7</xdr:col>
                <xdr:colOff>123825</xdr:colOff>
                <xdr:row>138</xdr:row>
                <xdr:rowOff>57150</xdr:rowOff>
              </from>
              <to>
                <xdr:col>12</xdr:col>
                <xdr:colOff>0</xdr:colOff>
                <xdr:row>139</xdr:row>
                <xdr:rowOff>200025</xdr:rowOff>
              </to>
            </anchor>
          </objectPr>
        </oleObject>
      </mc:Choice>
      <mc:Fallback>
        <oleObject progId="Equation.3" shapeId="2536" r:id="rId17"/>
      </mc:Fallback>
    </mc:AlternateContent>
    <mc:AlternateContent xmlns:mc="http://schemas.openxmlformats.org/markup-compatibility/2006">
      <mc:Choice Requires="x14">
        <oleObject progId="Equation.3" shapeId="2537" r:id="rId19">
          <objectPr defaultSize="0" r:id="rId20">
            <anchor moveWithCells="1">
              <from>
                <xdr:col>1</xdr:col>
                <xdr:colOff>19050</xdr:colOff>
                <xdr:row>262</xdr:row>
                <xdr:rowOff>19050</xdr:rowOff>
              </from>
              <to>
                <xdr:col>9</xdr:col>
                <xdr:colOff>0</xdr:colOff>
                <xdr:row>264</xdr:row>
                <xdr:rowOff>190500</xdr:rowOff>
              </to>
            </anchor>
          </objectPr>
        </oleObject>
      </mc:Choice>
      <mc:Fallback>
        <oleObject progId="Equation.3" shapeId="2537" r:id="rId19"/>
      </mc:Fallback>
    </mc:AlternateContent>
    <mc:AlternateContent xmlns:mc="http://schemas.openxmlformats.org/markup-compatibility/2006">
      <mc:Choice Requires="x14">
        <oleObject progId="Equation.3" shapeId="2538" r:id="rId21">
          <objectPr defaultSize="0" autoPict="0" r:id="rId22">
            <anchor moveWithCells="1">
              <from>
                <xdr:col>14</xdr:col>
                <xdr:colOff>47625</xdr:colOff>
                <xdr:row>263</xdr:row>
                <xdr:rowOff>0</xdr:rowOff>
              </from>
              <to>
                <xdr:col>18</xdr:col>
                <xdr:colOff>19050</xdr:colOff>
                <xdr:row>263</xdr:row>
                <xdr:rowOff>219075</xdr:rowOff>
              </to>
            </anchor>
          </objectPr>
        </oleObject>
      </mc:Choice>
      <mc:Fallback>
        <oleObject progId="Equation.3" shapeId="2538" r:id="rId21"/>
      </mc:Fallback>
    </mc:AlternateContent>
    <mc:AlternateContent xmlns:mc="http://schemas.openxmlformats.org/markup-compatibility/2006">
      <mc:Choice Requires="x14">
        <oleObject progId="Equation.3" shapeId="2539" r:id="rId23">
          <objectPr defaultSize="0" autoPict="0" r:id="rId22">
            <anchor moveWithCells="1">
              <from>
                <xdr:col>9</xdr:col>
                <xdr:colOff>47625</xdr:colOff>
                <xdr:row>263</xdr:row>
                <xdr:rowOff>9525</xdr:rowOff>
              </from>
              <to>
                <xdr:col>12</xdr:col>
                <xdr:colOff>133350</xdr:colOff>
                <xdr:row>263</xdr:row>
                <xdr:rowOff>228600</xdr:rowOff>
              </to>
            </anchor>
          </objectPr>
        </oleObject>
      </mc:Choice>
      <mc:Fallback>
        <oleObject progId="Equation.3" shapeId="2539" r:id="rId23"/>
      </mc:Fallback>
    </mc:AlternateContent>
    <mc:AlternateContent xmlns:mc="http://schemas.openxmlformats.org/markup-compatibility/2006">
      <mc:Choice Requires="x14">
        <oleObject progId="Equation.3" shapeId="2540" r:id="rId24">
          <objectPr defaultSize="0" autoPict="0" r:id="rId22">
            <anchor moveWithCells="1">
              <from>
                <xdr:col>24</xdr:col>
                <xdr:colOff>57150</xdr:colOff>
                <xdr:row>263</xdr:row>
                <xdr:rowOff>0</xdr:rowOff>
              </from>
              <to>
                <xdr:col>27</xdr:col>
                <xdr:colOff>142875</xdr:colOff>
                <xdr:row>263</xdr:row>
                <xdr:rowOff>219075</xdr:rowOff>
              </to>
            </anchor>
          </objectPr>
        </oleObject>
      </mc:Choice>
      <mc:Fallback>
        <oleObject progId="Equation.3" shapeId="2540" r:id="rId24"/>
      </mc:Fallback>
    </mc:AlternateContent>
    <mc:AlternateContent xmlns:mc="http://schemas.openxmlformats.org/markup-compatibility/2006">
      <mc:Choice Requires="x14">
        <oleObject progId="Equation.3" shapeId="2541" r:id="rId25">
          <objectPr defaultSize="0" autoPict="0" r:id="rId22">
            <anchor moveWithCells="1">
              <from>
                <xdr:col>19</xdr:col>
                <xdr:colOff>57150</xdr:colOff>
                <xdr:row>263</xdr:row>
                <xdr:rowOff>0</xdr:rowOff>
              </from>
              <to>
                <xdr:col>22</xdr:col>
                <xdr:colOff>142875</xdr:colOff>
                <xdr:row>263</xdr:row>
                <xdr:rowOff>219075</xdr:rowOff>
              </to>
            </anchor>
          </objectPr>
        </oleObject>
      </mc:Choice>
      <mc:Fallback>
        <oleObject progId="Equation.3" shapeId="2541" r:id="rId25"/>
      </mc:Fallback>
    </mc:AlternateContent>
    <mc:AlternateContent xmlns:mc="http://schemas.openxmlformats.org/markup-compatibility/2006">
      <mc:Choice Requires="x14">
        <oleObject progId="Equation.3" shapeId="2542" r:id="rId26">
          <objectPr defaultSize="0" autoPict="0" r:id="rId22">
            <anchor moveWithCells="1">
              <from>
                <xdr:col>34</xdr:col>
                <xdr:colOff>57150</xdr:colOff>
                <xdr:row>263</xdr:row>
                <xdr:rowOff>0</xdr:rowOff>
              </from>
              <to>
                <xdr:col>37</xdr:col>
                <xdr:colOff>142875</xdr:colOff>
                <xdr:row>263</xdr:row>
                <xdr:rowOff>219075</xdr:rowOff>
              </to>
            </anchor>
          </objectPr>
        </oleObject>
      </mc:Choice>
      <mc:Fallback>
        <oleObject progId="Equation.3" shapeId="2542" r:id="rId26"/>
      </mc:Fallback>
    </mc:AlternateContent>
    <mc:AlternateContent xmlns:mc="http://schemas.openxmlformats.org/markup-compatibility/2006">
      <mc:Choice Requires="x14">
        <oleObject progId="Equation.3" shapeId="2543" r:id="rId27">
          <objectPr defaultSize="0" autoPict="0" r:id="rId22">
            <anchor moveWithCells="1">
              <from>
                <xdr:col>29</xdr:col>
                <xdr:colOff>38100</xdr:colOff>
                <xdr:row>262</xdr:row>
                <xdr:rowOff>0</xdr:rowOff>
              </from>
              <to>
                <xdr:col>32</xdr:col>
                <xdr:colOff>123825</xdr:colOff>
                <xdr:row>262</xdr:row>
                <xdr:rowOff>219075</xdr:rowOff>
              </to>
            </anchor>
          </objectPr>
        </oleObject>
      </mc:Choice>
      <mc:Fallback>
        <oleObject progId="Equation.3" shapeId="2543" r:id="rId27"/>
      </mc:Fallback>
    </mc:AlternateContent>
    <mc:AlternateContent xmlns:mc="http://schemas.openxmlformats.org/markup-compatibility/2006">
      <mc:Choice Requires="x14">
        <oleObject progId="Equation.DSMT4" shapeId="2544" r:id="rId28">
          <objectPr defaultSize="0" r:id="rId29">
            <anchor moveWithCells="1">
              <from>
                <xdr:col>8</xdr:col>
                <xdr:colOff>9525</xdr:colOff>
                <xdr:row>155</xdr:row>
                <xdr:rowOff>57150</xdr:rowOff>
              </from>
              <to>
                <xdr:col>15</xdr:col>
                <xdr:colOff>19050</xdr:colOff>
                <xdr:row>156</xdr:row>
                <xdr:rowOff>171450</xdr:rowOff>
              </to>
            </anchor>
          </objectPr>
        </oleObject>
      </mc:Choice>
      <mc:Fallback>
        <oleObject progId="Equation.DSMT4" shapeId="2544" r:id="rId28"/>
      </mc:Fallback>
    </mc:AlternateContent>
    <mc:AlternateContent xmlns:mc="http://schemas.openxmlformats.org/markup-compatibility/2006">
      <mc:Choice Requires="x14">
        <oleObject progId="Equation.DSMT4" shapeId="2545" r:id="rId30">
          <objectPr defaultSize="0" r:id="rId31">
            <anchor moveWithCells="1">
              <from>
                <xdr:col>23</xdr:col>
                <xdr:colOff>9525</xdr:colOff>
                <xdr:row>146</xdr:row>
                <xdr:rowOff>19050</xdr:rowOff>
              </from>
              <to>
                <xdr:col>34</xdr:col>
                <xdr:colOff>123825</xdr:colOff>
                <xdr:row>147</xdr:row>
                <xdr:rowOff>209550</xdr:rowOff>
              </to>
            </anchor>
          </objectPr>
        </oleObject>
      </mc:Choice>
      <mc:Fallback>
        <oleObject progId="Equation.DSMT4" shapeId="2545" r:id="rId30"/>
      </mc:Fallback>
    </mc:AlternateContent>
    <mc:AlternateContent xmlns:mc="http://schemas.openxmlformats.org/markup-compatibility/2006">
      <mc:Choice Requires="x14">
        <oleObject progId="Equation.DSMT4" shapeId="2546" r:id="rId32">
          <objectPr defaultSize="0" r:id="rId33">
            <anchor moveWithCells="1">
              <from>
                <xdr:col>27</xdr:col>
                <xdr:colOff>104775</xdr:colOff>
                <xdr:row>148</xdr:row>
                <xdr:rowOff>228600</xdr:rowOff>
              </from>
              <to>
                <xdr:col>29</xdr:col>
                <xdr:colOff>66675</xdr:colOff>
                <xdr:row>150</xdr:row>
                <xdr:rowOff>9525</xdr:rowOff>
              </to>
            </anchor>
          </objectPr>
        </oleObject>
      </mc:Choice>
      <mc:Fallback>
        <oleObject progId="Equation.DSMT4" shapeId="2546" r:id="rId32"/>
      </mc:Fallback>
    </mc:AlternateContent>
    <mc:AlternateContent xmlns:mc="http://schemas.openxmlformats.org/markup-compatibility/2006">
      <mc:Choice Requires="x14">
        <oleObject progId="Equation.DSMT4" shapeId="2547" r:id="rId34">
          <objectPr defaultSize="0" r:id="rId35">
            <anchor moveWithCells="1">
              <from>
                <xdr:col>10</xdr:col>
                <xdr:colOff>0</xdr:colOff>
                <xdr:row>150</xdr:row>
                <xdr:rowOff>228600</xdr:rowOff>
              </from>
              <to>
                <xdr:col>30</xdr:col>
                <xdr:colOff>133350</xdr:colOff>
                <xdr:row>152</xdr:row>
                <xdr:rowOff>209550</xdr:rowOff>
              </to>
            </anchor>
          </objectPr>
        </oleObject>
      </mc:Choice>
      <mc:Fallback>
        <oleObject progId="Equation.DSMT4" shapeId="2547" r:id="rId34"/>
      </mc:Fallback>
    </mc:AlternateContent>
    <mc:AlternateContent xmlns:mc="http://schemas.openxmlformats.org/markup-compatibility/2006">
      <mc:Choice Requires="x14">
        <oleObject progId="Equation.DSMT4" shapeId="2548" r:id="rId36">
          <objectPr defaultSize="0" r:id="rId37">
            <anchor moveWithCells="1">
              <from>
                <xdr:col>8</xdr:col>
                <xdr:colOff>9525</xdr:colOff>
                <xdr:row>172</xdr:row>
                <xdr:rowOff>66675</xdr:rowOff>
              </from>
              <to>
                <xdr:col>15</xdr:col>
                <xdr:colOff>9525</xdr:colOff>
                <xdr:row>173</xdr:row>
                <xdr:rowOff>180975</xdr:rowOff>
              </to>
            </anchor>
          </objectPr>
        </oleObject>
      </mc:Choice>
      <mc:Fallback>
        <oleObject progId="Equation.DSMT4" shapeId="2548" r:id="rId36"/>
      </mc:Fallback>
    </mc:AlternateContent>
    <mc:AlternateContent xmlns:mc="http://schemas.openxmlformats.org/markup-compatibility/2006">
      <mc:Choice Requires="x14">
        <oleObject progId="Equation.DSMT4" shapeId="2549" r:id="rId38">
          <objectPr defaultSize="0" r:id="rId39">
            <anchor moveWithCells="1">
              <from>
                <xdr:col>8</xdr:col>
                <xdr:colOff>47625</xdr:colOff>
                <xdr:row>188</xdr:row>
                <xdr:rowOff>57150</xdr:rowOff>
              </from>
              <to>
                <xdr:col>16</xdr:col>
                <xdr:colOff>0</xdr:colOff>
                <xdr:row>189</xdr:row>
                <xdr:rowOff>171450</xdr:rowOff>
              </to>
            </anchor>
          </objectPr>
        </oleObject>
      </mc:Choice>
      <mc:Fallback>
        <oleObject progId="Equation.DSMT4" shapeId="2549" r:id="rId38"/>
      </mc:Fallback>
    </mc:AlternateContent>
    <mc:AlternateContent xmlns:mc="http://schemas.openxmlformats.org/markup-compatibility/2006">
      <mc:Choice Requires="x14">
        <oleObject progId="Equation.DSMT4" shapeId="2550" r:id="rId40">
          <objectPr defaultSize="0" r:id="rId41">
            <anchor moveWithCells="1">
              <from>
                <xdr:col>8</xdr:col>
                <xdr:colOff>9525</xdr:colOff>
                <xdr:row>205</xdr:row>
                <xdr:rowOff>57150</xdr:rowOff>
              </from>
              <to>
                <xdr:col>15</xdr:col>
                <xdr:colOff>95250</xdr:colOff>
                <xdr:row>206</xdr:row>
                <xdr:rowOff>171450</xdr:rowOff>
              </to>
            </anchor>
          </objectPr>
        </oleObject>
      </mc:Choice>
      <mc:Fallback>
        <oleObject progId="Equation.DSMT4" shapeId="2550" r:id="rId40"/>
      </mc:Fallback>
    </mc:AlternateContent>
    <mc:AlternateContent xmlns:mc="http://schemas.openxmlformats.org/markup-compatibility/2006">
      <mc:Choice Requires="x14">
        <oleObject progId="Equation.DSMT4" shapeId="2551" r:id="rId42">
          <objectPr defaultSize="0" r:id="rId43">
            <anchor moveWithCells="1">
              <from>
                <xdr:col>10</xdr:col>
                <xdr:colOff>9525</xdr:colOff>
                <xdr:row>184</xdr:row>
                <xdr:rowOff>0</xdr:rowOff>
              </from>
              <to>
                <xdr:col>29</xdr:col>
                <xdr:colOff>76200</xdr:colOff>
                <xdr:row>184</xdr:row>
                <xdr:rowOff>219075</xdr:rowOff>
              </to>
            </anchor>
          </objectPr>
        </oleObject>
      </mc:Choice>
      <mc:Fallback>
        <oleObject progId="Equation.DSMT4" shapeId="2551" r:id="rId42"/>
      </mc:Fallback>
    </mc:AlternateContent>
    <mc:AlternateContent xmlns:mc="http://schemas.openxmlformats.org/markup-compatibility/2006">
      <mc:Choice Requires="x14">
        <oleObject progId="Equation.3" shapeId="2552" r:id="rId44">
          <objectPr defaultSize="0" r:id="rId45">
            <anchor moveWithCells="1">
              <from>
                <xdr:col>21</xdr:col>
                <xdr:colOff>123825</xdr:colOff>
                <xdr:row>143</xdr:row>
                <xdr:rowOff>228600</xdr:rowOff>
              </from>
              <to>
                <xdr:col>28</xdr:col>
                <xdr:colOff>85725</xdr:colOff>
                <xdr:row>145</xdr:row>
                <xdr:rowOff>9525</xdr:rowOff>
              </to>
            </anchor>
          </objectPr>
        </oleObject>
      </mc:Choice>
      <mc:Fallback>
        <oleObject progId="Equation.3" shapeId="2552" r:id="rId44"/>
      </mc:Fallback>
    </mc:AlternateContent>
    <mc:AlternateContent xmlns:mc="http://schemas.openxmlformats.org/markup-compatibility/2006">
      <mc:Choice Requires="x14">
        <oleObject progId="Equation.DSMT4" shapeId="2553" r:id="rId46">
          <objectPr defaultSize="0" autoPict="0" r:id="rId33">
            <anchor moveWithCells="1">
              <from>
                <xdr:col>14</xdr:col>
                <xdr:colOff>38100</xdr:colOff>
                <xdr:row>170</xdr:row>
                <xdr:rowOff>9525</xdr:rowOff>
              </from>
              <to>
                <xdr:col>15</xdr:col>
                <xdr:colOff>114300</xdr:colOff>
                <xdr:row>170</xdr:row>
                <xdr:rowOff>228600</xdr:rowOff>
              </to>
            </anchor>
          </objectPr>
        </oleObject>
      </mc:Choice>
      <mc:Fallback>
        <oleObject progId="Equation.DSMT4" shapeId="2553" r:id="rId46"/>
      </mc:Fallback>
    </mc:AlternateContent>
    <mc:AlternateContent xmlns:mc="http://schemas.openxmlformats.org/markup-compatibility/2006">
      <mc:Choice Requires="x14">
        <oleObject progId="Equation.3" shapeId="2554" r:id="rId47">
          <objectPr defaultSize="0" autoPict="0" r:id="rId22">
            <anchor moveWithCells="1">
              <from>
                <xdr:col>29</xdr:col>
                <xdr:colOff>47625</xdr:colOff>
                <xdr:row>263</xdr:row>
                <xdr:rowOff>0</xdr:rowOff>
              </from>
              <to>
                <xdr:col>32</xdr:col>
                <xdr:colOff>133350</xdr:colOff>
                <xdr:row>263</xdr:row>
                <xdr:rowOff>219075</xdr:rowOff>
              </to>
            </anchor>
          </objectPr>
        </oleObject>
      </mc:Choice>
      <mc:Fallback>
        <oleObject progId="Equation.3" shapeId="2554" r:id="rId47"/>
      </mc:Fallback>
    </mc:AlternateContent>
    <mc:AlternateContent xmlns:mc="http://schemas.openxmlformats.org/markup-compatibility/2006">
      <mc:Choice Requires="x14">
        <oleObject progId="Equation.3" shapeId="2559" r:id="rId48">
          <objectPr defaultSize="0" autoPict="0" r:id="rId22">
            <anchor moveWithCells="1">
              <from>
                <xdr:col>39</xdr:col>
                <xdr:colOff>57150</xdr:colOff>
                <xdr:row>263</xdr:row>
                <xdr:rowOff>0</xdr:rowOff>
              </from>
              <to>
                <xdr:col>42</xdr:col>
                <xdr:colOff>142875</xdr:colOff>
                <xdr:row>263</xdr:row>
                <xdr:rowOff>219075</xdr:rowOff>
              </to>
            </anchor>
          </objectPr>
        </oleObject>
      </mc:Choice>
      <mc:Fallback>
        <oleObject progId="Equation.3" shapeId="2559" r:id="rId48"/>
      </mc:Fallback>
    </mc:AlternateContent>
    <mc:AlternateContent xmlns:mc="http://schemas.openxmlformats.org/markup-compatibility/2006">
      <mc:Choice Requires="x14">
        <oleObject progId="Equation.3" shapeId="2560" r:id="rId49">
          <objectPr defaultSize="0" autoPict="0" r:id="rId22">
            <anchor moveWithCells="1">
              <from>
                <xdr:col>44</xdr:col>
                <xdr:colOff>57150</xdr:colOff>
                <xdr:row>263</xdr:row>
                <xdr:rowOff>0</xdr:rowOff>
              </from>
              <to>
                <xdr:col>47</xdr:col>
                <xdr:colOff>142875</xdr:colOff>
                <xdr:row>263</xdr:row>
                <xdr:rowOff>219075</xdr:rowOff>
              </to>
            </anchor>
          </objectPr>
        </oleObject>
      </mc:Choice>
      <mc:Fallback>
        <oleObject progId="Equation.3" shapeId="2560" r:id="rId49"/>
      </mc:Fallback>
    </mc:AlternateContent>
    <mc:AlternateContent xmlns:mc="http://schemas.openxmlformats.org/markup-compatibility/2006">
      <mc:Choice Requires="x14">
        <oleObject progId="Equation.DSMT4" shapeId="2561" r:id="rId50">
          <objectPr defaultSize="0" r:id="rId51">
            <anchor moveWithCells="1">
              <from>
                <xdr:col>8</xdr:col>
                <xdr:colOff>9525</xdr:colOff>
                <xdr:row>175</xdr:row>
                <xdr:rowOff>28575</xdr:rowOff>
              </from>
              <to>
                <xdr:col>19</xdr:col>
                <xdr:colOff>95250</xdr:colOff>
                <xdr:row>176</xdr:row>
                <xdr:rowOff>180975</xdr:rowOff>
              </to>
            </anchor>
          </objectPr>
        </oleObject>
      </mc:Choice>
      <mc:Fallback>
        <oleObject progId="Equation.DSMT4" shapeId="2561" r:id="rId50"/>
      </mc:Fallback>
    </mc:AlternateContent>
    <mc:AlternateContent xmlns:mc="http://schemas.openxmlformats.org/markup-compatibility/2006">
      <mc:Choice Requires="x14">
        <oleObject progId="Equation.DSMT4" shapeId="2562" r:id="rId52">
          <objectPr defaultSize="0" autoPict="0" r:id="rId33">
            <anchor moveWithCells="1">
              <from>
                <xdr:col>13</xdr:col>
                <xdr:colOff>38100</xdr:colOff>
                <xdr:row>203</xdr:row>
                <xdr:rowOff>9525</xdr:rowOff>
              </from>
              <to>
                <xdr:col>14</xdr:col>
                <xdr:colOff>114300</xdr:colOff>
                <xdr:row>203</xdr:row>
                <xdr:rowOff>228600</xdr:rowOff>
              </to>
            </anchor>
          </objectPr>
        </oleObject>
      </mc:Choice>
      <mc:Fallback>
        <oleObject progId="Equation.DSMT4" shapeId="2562" r:id="rId52"/>
      </mc:Fallback>
    </mc:AlternateContent>
    <mc:AlternateContent xmlns:mc="http://schemas.openxmlformats.org/markup-compatibility/2006">
      <mc:Choice Requires="x14">
        <oleObject progId="Equation.DSMT4" shapeId="2563" r:id="rId53">
          <objectPr defaultSize="0" r:id="rId54">
            <anchor moveWithCells="1">
              <from>
                <xdr:col>8</xdr:col>
                <xdr:colOff>9525</xdr:colOff>
                <xdr:row>208</xdr:row>
                <xdr:rowOff>28575</xdr:rowOff>
              </from>
              <to>
                <xdr:col>19</xdr:col>
                <xdr:colOff>95250</xdr:colOff>
                <xdr:row>209</xdr:row>
                <xdr:rowOff>180975</xdr:rowOff>
              </to>
            </anchor>
          </objectPr>
        </oleObject>
      </mc:Choice>
      <mc:Fallback>
        <oleObject progId="Equation.DSMT4" shapeId="2563" r:id="rId53"/>
      </mc:Fallback>
    </mc:AlternateContent>
    <mc:AlternateContent xmlns:mc="http://schemas.openxmlformats.org/markup-compatibility/2006">
      <mc:Choice Requires="x14">
        <oleObject progId="Equation.3" shapeId="2567" r:id="rId55">
          <objectPr defaultSize="0" autoPict="0" r:id="rId56">
            <anchor moveWithCells="1">
              <from>
                <xdr:col>5</xdr:col>
                <xdr:colOff>0</xdr:colOff>
                <xdr:row>255</xdr:row>
                <xdr:rowOff>0</xdr:rowOff>
              </from>
              <to>
                <xdr:col>10</xdr:col>
                <xdr:colOff>66675</xdr:colOff>
                <xdr:row>255</xdr:row>
                <xdr:rowOff>219075</xdr:rowOff>
              </to>
            </anchor>
          </objectPr>
        </oleObject>
      </mc:Choice>
      <mc:Fallback>
        <oleObject progId="Equation.3" shapeId="2567" r:id="rId55"/>
      </mc:Fallback>
    </mc:AlternateContent>
    <mc:AlternateContent xmlns:mc="http://schemas.openxmlformats.org/markup-compatibility/2006">
      <mc:Choice Requires="x14">
        <oleObject progId="Equation.DSMT4" shapeId="2568" r:id="rId57">
          <objectPr defaultSize="0" autoPict="0" r:id="rId58">
            <anchor moveWithCells="1">
              <from>
                <xdr:col>14</xdr:col>
                <xdr:colOff>28575</xdr:colOff>
                <xdr:row>136</xdr:row>
                <xdr:rowOff>9525</xdr:rowOff>
              </from>
              <to>
                <xdr:col>15</xdr:col>
                <xdr:colOff>85725</xdr:colOff>
                <xdr:row>136</xdr:row>
                <xdr:rowOff>209550</xdr:rowOff>
              </to>
            </anchor>
          </objectPr>
        </oleObject>
      </mc:Choice>
      <mc:Fallback>
        <oleObject progId="Equation.DSMT4" shapeId="2568" r:id="rId57"/>
      </mc:Fallback>
    </mc:AlternateContent>
    <mc:AlternateContent xmlns:mc="http://schemas.openxmlformats.org/markup-compatibility/2006">
      <mc:Choice Requires="x14">
        <oleObject progId="Equation.DSMT4" shapeId="2569" r:id="rId59">
          <objectPr defaultSize="0" r:id="rId60">
            <anchor moveWithCells="1">
              <from>
                <xdr:col>18</xdr:col>
                <xdr:colOff>123825</xdr:colOff>
                <xdr:row>136</xdr:row>
                <xdr:rowOff>0</xdr:rowOff>
              </from>
              <to>
                <xdr:col>20</xdr:col>
                <xdr:colOff>85725</xdr:colOff>
                <xdr:row>136</xdr:row>
                <xdr:rowOff>200025</xdr:rowOff>
              </to>
            </anchor>
          </objectPr>
        </oleObject>
      </mc:Choice>
      <mc:Fallback>
        <oleObject progId="Equation.DSMT4" shapeId="2569" r:id="rId59"/>
      </mc:Fallback>
    </mc:AlternateContent>
    <mc:AlternateContent xmlns:mc="http://schemas.openxmlformats.org/markup-compatibility/2006">
      <mc:Choice Requires="x14">
        <oleObject progId="Equation.3" shapeId="2575" r:id="rId61">
          <objectPr defaultSize="0" r:id="rId62">
            <anchor moveWithCells="1">
              <from>
                <xdr:col>23</xdr:col>
                <xdr:colOff>47625</xdr:colOff>
                <xdr:row>96</xdr:row>
                <xdr:rowOff>209550</xdr:rowOff>
              </from>
              <to>
                <xdr:col>31</xdr:col>
                <xdr:colOff>38100</xdr:colOff>
                <xdr:row>98</xdr:row>
                <xdr:rowOff>0</xdr:rowOff>
              </to>
            </anchor>
          </objectPr>
        </oleObject>
      </mc:Choice>
      <mc:Fallback>
        <oleObject progId="Equation.3" shapeId="2575" r:id="rId61"/>
      </mc:Fallback>
    </mc:AlternateContent>
    <mc:AlternateContent xmlns:mc="http://schemas.openxmlformats.org/markup-compatibility/2006">
      <mc:Choice Requires="x14">
        <oleObject progId="Equation.3" shapeId="2576" r:id="rId63">
          <objectPr defaultSize="0" r:id="rId64">
            <anchor moveWithCells="1">
              <from>
                <xdr:col>8</xdr:col>
                <xdr:colOff>123825</xdr:colOff>
                <xdr:row>99</xdr:row>
                <xdr:rowOff>38100</xdr:rowOff>
              </from>
              <to>
                <xdr:col>14</xdr:col>
                <xdr:colOff>0</xdr:colOff>
                <xdr:row>100</xdr:row>
                <xdr:rowOff>171450</xdr:rowOff>
              </to>
            </anchor>
          </objectPr>
        </oleObject>
      </mc:Choice>
      <mc:Fallback>
        <oleObject progId="Equation.3" shapeId="2576" r:id="rId63"/>
      </mc:Fallback>
    </mc:AlternateContent>
    <mc:AlternateContent xmlns:mc="http://schemas.openxmlformats.org/markup-compatibility/2006">
      <mc:Choice Requires="x14">
        <oleObject progId="Equation.3" shapeId="2577" r:id="rId65">
          <objectPr defaultSize="0" r:id="rId66">
            <anchor moveWithCells="1">
              <from>
                <xdr:col>39</xdr:col>
                <xdr:colOff>123825</xdr:colOff>
                <xdr:row>99</xdr:row>
                <xdr:rowOff>85725</xdr:rowOff>
              </from>
              <to>
                <xdr:col>50</xdr:col>
                <xdr:colOff>57150</xdr:colOff>
                <xdr:row>100</xdr:row>
                <xdr:rowOff>114300</xdr:rowOff>
              </to>
            </anchor>
          </objectPr>
        </oleObject>
      </mc:Choice>
      <mc:Fallback>
        <oleObject progId="Equation.3" shapeId="2577" r:id="rId65"/>
      </mc:Fallback>
    </mc:AlternateContent>
    <mc:AlternateContent xmlns:mc="http://schemas.openxmlformats.org/markup-compatibility/2006">
      <mc:Choice Requires="x14">
        <oleObject progId="Equation.DSMT4" shapeId="2578" r:id="rId67">
          <objectPr defaultSize="0" r:id="rId68">
            <anchor moveWithCells="1">
              <from>
                <xdr:col>9</xdr:col>
                <xdr:colOff>47625</xdr:colOff>
                <xdr:row>111</xdr:row>
                <xdr:rowOff>38100</xdr:rowOff>
              </from>
              <to>
                <xdr:col>14</xdr:col>
                <xdr:colOff>9525</xdr:colOff>
                <xdr:row>112</xdr:row>
                <xdr:rowOff>209550</xdr:rowOff>
              </to>
            </anchor>
          </objectPr>
        </oleObject>
      </mc:Choice>
      <mc:Fallback>
        <oleObject progId="Equation.DSMT4" shapeId="2578" r:id="rId67"/>
      </mc:Fallback>
    </mc:AlternateContent>
    <mc:AlternateContent xmlns:mc="http://schemas.openxmlformats.org/markup-compatibility/2006">
      <mc:Choice Requires="x14">
        <oleObject progId="Equation.3" shapeId="2579" r:id="rId69">
          <objectPr defaultSize="0" r:id="rId70">
            <anchor moveWithCells="1">
              <from>
                <xdr:col>10</xdr:col>
                <xdr:colOff>57150</xdr:colOff>
                <xdr:row>87</xdr:row>
                <xdr:rowOff>209550</xdr:rowOff>
              </from>
              <to>
                <xdr:col>22</xdr:col>
                <xdr:colOff>66675</xdr:colOff>
                <xdr:row>89</xdr:row>
                <xdr:rowOff>9525</xdr:rowOff>
              </to>
            </anchor>
          </objectPr>
        </oleObject>
      </mc:Choice>
      <mc:Fallback>
        <oleObject progId="Equation.3" shapeId="2579" r:id="rId69"/>
      </mc:Fallback>
    </mc:AlternateContent>
    <mc:AlternateContent xmlns:mc="http://schemas.openxmlformats.org/markup-compatibility/2006">
      <mc:Choice Requires="x14">
        <oleObject progId="Equation.DSMT4" shapeId="2580" r:id="rId71">
          <objectPr defaultSize="0" autoPict="0" r:id="rId72">
            <anchor moveWithCells="1">
              <from>
                <xdr:col>9</xdr:col>
                <xdr:colOff>57150</xdr:colOff>
                <xdr:row>90</xdr:row>
                <xdr:rowOff>57150</xdr:rowOff>
              </from>
              <to>
                <xdr:col>14</xdr:col>
                <xdr:colOff>9525</xdr:colOff>
                <xdr:row>91</xdr:row>
                <xdr:rowOff>200025</xdr:rowOff>
              </to>
            </anchor>
          </objectPr>
        </oleObject>
      </mc:Choice>
      <mc:Fallback>
        <oleObject progId="Equation.DSMT4" shapeId="2580" r:id="rId71"/>
      </mc:Fallback>
    </mc:AlternateContent>
    <mc:AlternateContent xmlns:mc="http://schemas.openxmlformats.org/markup-compatibility/2006">
      <mc:Choice Requires="x14">
        <oleObject progId="Equation.3" shapeId="2581" r:id="rId73">
          <objectPr defaultSize="0" r:id="rId74">
            <anchor moveWithCells="1">
              <from>
                <xdr:col>11</xdr:col>
                <xdr:colOff>9525</xdr:colOff>
                <xdr:row>120</xdr:row>
                <xdr:rowOff>133350</xdr:rowOff>
              </from>
              <to>
                <xdr:col>15</xdr:col>
                <xdr:colOff>19050</xdr:colOff>
                <xdr:row>121</xdr:row>
                <xdr:rowOff>123825</xdr:rowOff>
              </to>
            </anchor>
          </objectPr>
        </oleObject>
      </mc:Choice>
      <mc:Fallback>
        <oleObject progId="Equation.3" shapeId="2581" r:id="rId73"/>
      </mc:Fallback>
    </mc:AlternateContent>
    <mc:AlternateContent xmlns:mc="http://schemas.openxmlformats.org/markup-compatibility/2006">
      <mc:Choice Requires="x14">
        <oleObject progId="Equation.3" shapeId="2582" r:id="rId75">
          <objectPr defaultSize="0" r:id="rId76">
            <anchor moveWithCells="1">
              <from>
                <xdr:col>17</xdr:col>
                <xdr:colOff>28575</xdr:colOff>
                <xdr:row>121</xdr:row>
                <xdr:rowOff>9525</xdr:rowOff>
              </from>
              <to>
                <xdr:col>18</xdr:col>
                <xdr:colOff>95250</xdr:colOff>
                <xdr:row>121</xdr:row>
                <xdr:rowOff>228600</xdr:rowOff>
              </to>
            </anchor>
          </objectPr>
        </oleObject>
      </mc:Choice>
      <mc:Fallback>
        <oleObject progId="Equation.3" shapeId="2582" r:id="rId75"/>
      </mc:Fallback>
    </mc:AlternateContent>
    <mc:AlternateContent xmlns:mc="http://schemas.openxmlformats.org/markup-compatibility/2006">
      <mc:Choice Requires="x14">
        <oleObject progId="Equation.DSMT4" shapeId="2583" r:id="rId77">
          <objectPr defaultSize="0" r:id="rId78">
            <anchor moveWithCells="1">
              <from>
                <xdr:col>10</xdr:col>
                <xdr:colOff>0</xdr:colOff>
                <xdr:row>106</xdr:row>
                <xdr:rowOff>19050</xdr:rowOff>
              </from>
              <to>
                <xdr:col>29</xdr:col>
                <xdr:colOff>104775</xdr:colOff>
                <xdr:row>107</xdr:row>
                <xdr:rowOff>228600</xdr:rowOff>
              </to>
            </anchor>
          </objectPr>
        </oleObject>
      </mc:Choice>
      <mc:Fallback>
        <oleObject progId="Equation.DSMT4" shapeId="2583" r:id="rId77"/>
      </mc:Fallback>
    </mc:AlternateContent>
    <mc:AlternateContent xmlns:mc="http://schemas.openxmlformats.org/markup-compatibility/2006">
      <mc:Choice Requires="x14">
        <oleObject progId="Equation.3" shapeId="2584" r:id="rId79">
          <objectPr defaultSize="0" r:id="rId80">
            <anchor moveWithCells="1">
              <from>
                <xdr:col>22</xdr:col>
                <xdr:colOff>123825</xdr:colOff>
                <xdr:row>108</xdr:row>
                <xdr:rowOff>85725</xdr:rowOff>
              </from>
              <to>
                <xdr:col>33</xdr:col>
                <xdr:colOff>57150</xdr:colOff>
                <xdr:row>109</xdr:row>
                <xdr:rowOff>114300</xdr:rowOff>
              </to>
            </anchor>
          </objectPr>
        </oleObject>
      </mc:Choice>
      <mc:Fallback>
        <oleObject progId="Equation.3" shapeId="2584" r:id="rId79"/>
      </mc:Fallback>
    </mc:AlternateContent>
    <mc:AlternateContent xmlns:mc="http://schemas.openxmlformats.org/markup-compatibility/2006">
      <mc:Choice Requires="x14">
        <oleObject progId="Equation.3" shapeId="2585" r:id="rId81">
          <objectPr defaultSize="0" r:id="rId82">
            <anchor moveWithCells="1">
              <from>
                <xdr:col>23</xdr:col>
                <xdr:colOff>38100</xdr:colOff>
                <xdr:row>87</xdr:row>
                <xdr:rowOff>209550</xdr:rowOff>
              </from>
              <to>
                <xdr:col>39</xdr:col>
                <xdr:colOff>28575</xdr:colOff>
                <xdr:row>88</xdr:row>
                <xdr:rowOff>228600</xdr:rowOff>
              </to>
            </anchor>
          </objectPr>
        </oleObject>
      </mc:Choice>
      <mc:Fallback>
        <oleObject progId="Equation.3" shapeId="2585" r:id="rId81"/>
      </mc:Fallback>
    </mc:AlternateContent>
    <mc:AlternateContent xmlns:mc="http://schemas.openxmlformats.org/markup-compatibility/2006">
      <mc:Choice Requires="x14">
        <oleObject progId="Equation.3" shapeId="2586" r:id="rId83">
          <objectPr defaultSize="0" r:id="rId84">
            <anchor moveWithCells="1">
              <from>
                <xdr:col>41</xdr:col>
                <xdr:colOff>123825</xdr:colOff>
                <xdr:row>87</xdr:row>
                <xdr:rowOff>209550</xdr:rowOff>
              </from>
              <to>
                <xdr:col>52</xdr:col>
                <xdr:colOff>57150</xdr:colOff>
                <xdr:row>89</xdr:row>
                <xdr:rowOff>0</xdr:rowOff>
              </to>
            </anchor>
          </objectPr>
        </oleObject>
      </mc:Choice>
      <mc:Fallback>
        <oleObject progId="Equation.3" shapeId="2586" r:id="rId83"/>
      </mc:Fallback>
    </mc:AlternateContent>
    <mc:AlternateContent xmlns:mc="http://schemas.openxmlformats.org/markup-compatibility/2006">
      <mc:Choice Requires="x14">
        <oleObject progId="Equation.3" shapeId="2587" r:id="rId85">
          <objectPr defaultSize="0" r:id="rId80">
            <anchor moveWithCells="1">
              <from>
                <xdr:col>12</xdr:col>
                <xdr:colOff>123825</xdr:colOff>
                <xdr:row>112</xdr:row>
                <xdr:rowOff>209550</xdr:rowOff>
              </from>
              <to>
                <xdr:col>23</xdr:col>
                <xdr:colOff>57150</xdr:colOff>
                <xdr:row>114</xdr:row>
                <xdr:rowOff>0</xdr:rowOff>
              </to>
            </anchor>
          </objectPr>
        </oleObject>
      </mc:Choice>
      <mc:Fallback>
        <oleObject progId="Equation.3" shapeId="2587" r:id="rId85"/>
      </mc:Fallback>
    </mc:AlternateContent>
    <mc:AlternateContent xmlns:mc="http://schemas.openxmlformats.org/markup-compatibility/2006">
      <mc:Choice Requires="x14">
        <oleObject progId="Equation.3" shapeId="2588" r:id="rId86">
          <objectPr defaultSize="0" r:id="rId84">
            <anchor moveWithCells="1">
              <from>
                <xdr:col>13</xdr:col>
                <xdr:colOff>123825</xdr:colOff>
                <xdr:row>91</xdr:row>
                <xdr:rowOff>209550</xdr:rowOff>
              </from>
              <to>
                <xdr:col>24</xdr:col>
                <xdr:colOff>57150</xdr:colOff>
                <xdr:row>93</xdr:row>
                <xdr:rowOff>0</xdr:rowOff>
              </to>
            </anchor>
          </objectPr>
        </oleObject>
      </mc:Choice>
      <mc:Fallback>
        <oleObject progId="Equation.3" shapeId="2588" r:id="rId86"/>
      </mc:Fallback>
    </mc:AlternateContent>
    <mc:AlternateContent xmlns:mc="http://schemas.openxmlformats.org/markup-compatibility/2006">
      <mc:Choice Requires="x14">
        <oleObject progId="Equation.3" shapeId="2589" r:id="rId87">
          <objectPr defaultSize="0" r:id="rId84">
            <anchor moveWithCells="1">
              <from>
                <xdr:col>29</xdr:col>
                <xdr:colOff>114300</xdr:colOff>
                <xdr:row>91</xdr:row>
                <xdr:rowOff>209550</xdr:rowOff>
              </from>
              <to>
                <xdr:col>40</xdr:col>
                <xdr:colOff>47625</xdr:colOff>
                <xdr:row>93</xdr:row>
                <xdr:rowOff>0</xdr:rowOff>
              </to>
            </anchor>
          </objectPr>
        </oleObject>
      </mc:Choice>
      <mc:Fallback>
        <oleObject progId="Equation.3" shapeId="2589" r:id="rId87"/>
      </mc:Fallback>
    </mc:AlternateContent>
    <mc:AlternateContent xmlns:mc="http://schemas.openxmlformats.org/markup-compatibility/2006">
      <mc:Choice Requires="x14">
        <oleObject progId="Equation.3" shapeId="2590" r:id="rId88">
          <objectPr defaultSize="0" r:id="rId62">
            <anchor moveWithCells="1">
              <from>
                <xdr:col>15</xdr:col>
                <xdr:colOff>57150</xdr:colOff>
                <xdr:row>98</xdr:row>
                <xdr:rowOff>209550</xdr:rowOff>
              </from>
              <to>
                <xdr:col>23</xdr:col>
                <xdr:colOff>47625</xdr:colOff>
                <xdr:row>100</xdr:row>
                <xdr:rowOff>0</xdr:rowOff>
              </to>
            </anchor>
          </objectPr>
        </oleObject>
      </mc:Choice>
      <mc:Fallback>
        <oleObject progId="Equation.3" shapeId="2590" r:id="rId88"/>
      </mc:Fallback>
    </mc:AlternateContent>
    <mc:AlternateContent xmlns:mc="http://schemas.openxmlformats.org/markup-compatibility/2006">
      <mc:Choice Requires="x14">
        <oleObject progId="Equation.3" shapeId="2591" r:id="rId89">
          <objectPr defaultSize="0" r:id="rId62">
            <anchor moveWithCells="1">
              <from>
                <xdr:col>27</xdr:col>
                <xdr:colOff>66675</xdr:colOff>
                <xdr:row>99</xdr:row>
                <xdr:rowOff>85725</xdr:rowOff>
              </from>
              <to>
                <xdr:col>35</xdr:col>
                <xdr:colOff>57150</xdr:colOff>
                <xdr:row>100</xdr:row>
                <xdr:rowOff>114300</xdr:rowOff>
              </to>
            </anchor>
          </objectPr>
        </oleObject>
      </mc:Choice>
      <mc:Fallback>
        <oleObject progId="Equation.3" shapeId="2591" r:id="rId89"/>
      </mc:Fallback>
    </mc:AlternateContent>
    <mc:AlternateContent xmlns:mc="http://schemas.openxmlformats.org/markup-compatibility/2006">
      <mc:Choice Requires="x14">
        <oleObject progId="Equation.3" shapeId="2592" r:id="rId90">
          <objectPr defaultSize="0" r:id="rId80">
            <anchor moveWithCells="1">
              <from>
                <xdr:col>27</xdr:col>
                <xdr:colOff>123825</xdr:colOff>
                <xdr:row>112</xdr:row>
                <xdr:rowOff>209550</xdr:rowOff>
              </from>
              <to>
                <xdr:col>38</xdr:col>
                <xdr:colOff>57150</xdr:colOff>
                <xdr:row>114</xdr:row>
                <xdr:rowOff>0</xdr:rowOff>
              </to>
            </anchor>
          </objectPr>
        </oleObject>
      </mc:Choice>
      <mc:Fallback>
        <oleObject progId="Equation.3" shapeId="2592" r:id="rId90"/>
      </mc:Fallback>
    </mc:AlternateContent>
    <mc:AlternateContent xmlns:mc="http://schemas.openxmlformats.org/markup-compatibility/2006">
      <mc:Choice Requires="x14">
        <oleObject progId="Equation.DSMT4" shapeId="2593" r:id="rId91">
          <objectPr defaultSize="0" r:id="rId92">
            <anchor moveWithCells="1">
              <from>
                <xdr:col>8</xdr:col>
                <xdr:colOff>9525</xdr:colOff>
                <xdr:row>161</xdr:row>
                <xdr:rowOff>28575</xdr:rowOff>
              </from>
              <to>
                <xdr:col>26</xdr:col>
                <xdr:colOff>142875</xdr:colOff>
                <xdr:row>163</xdr:row>
                <xdr:rowOff>133350</xdr:rowOff>
              </to>
            </anchor>
          </objectPr>
        </oleObject>
      </mc:Choice>
      <mc:Fallback>
        <oleObject progId="Equation.DSMT4" shapeId="2593" r:id="rId91"/>
      </mc:Fallback>
    </mc:AlternateContent>
    <mc:AlternateContent xmlns:mc="http://schemas.openxmlformats.org/markup-compatibility/2006">
      <mc:Choice Requires="x14">
        <oleObject progId="Equation.DSMT4" shapeId="2594" r:id="rId93">
          <objectPr defaultSize="0" r:id="rId94">
            <anchor moveWithCells="1">
              <from>
                <xdr:col>8</xdr:col>
                <xdr:colOff>9525</xdr:colOff>
                <xdr:row>159</xdr:row>
                <xdr:rowOff>9525</xdr:rowOff>
              </from>
              <to>
                <xdr:col>23</xdr:col>
                <xdr:colOff>133350</xdr:colOff>
                <xdr:row>160</xdr:row>
                <xdr:rowOff>209550</xdr:rowOff>
              </to>
            </anchor>
          </objectPr>
        </oleObject>
      </mc:Choice>
      <mc:Fallback>
        <oleObject progId="Equation.DSMT4" shapeId="2594" r:id="rId93"/>
      </mc:Fallback>
    </mc:AlternateContent>
    <mc:AlternateContent xmlns:mc="http://schemas.openxmlformats.org/markup-compatibility/2006">
      <mc:Choice Requires="x14">
        <oleObject progId="Equation.DSMT4" shapeId="2596" r:id="rId95">
          <objectPr defaultSize="0" r:id="rId94">
            <anchor moveWithCells="1">
              <from>
                <xdr:col>8</xdr:col>
                <xdr:colOff>9525</xdr:colOff>
                <xdr:row>192</xdr:row>
                <xdr:rowOff>19050</xdr:rowOff>
              </from>
              <to>
                <xdr:col>23</xdr:col>
                <xdr:colOff>133350</xdr:colOff>
                <xdr:row>193</xdr:row>
                <xdr:rowOff>219075</xdr:rowOff>
              </to>
            </anchor>
          </objectPr>
        </oleObject>
      </mc:Choice>
      <mc:Fallback>
        <oleObject progId="Equation.DSMT4" shapeId="2596" r:id="rId95"/>
      </mc:Fallback>
    </mc:AlternateContent>
    <mc:AlternateContent xmlns:mc="http://schemas.openxmlformats.org/markup-compatibility/2006">
      <mc:Choice Requires="x14">
        <oleObject progId="Equation.DSMT4" shapeId="2597" r:id="rId96">
          <objectPr defaultSize="0" r:id="rId97">
            <anchor moveWithCells="1">
              <from>
                <xdr:col>19</xdr:col>
                <xdr:colOff>38100</xdr:colOff>
                <xdr:row>230</xdr:row>
                <xdr:rowOff>38100</xdr:rowOff>
              </from>
              <to>
                <xdr:col>21</xdr:col>
                <xdr:colOff>0</xdr:colOff>
                <xdr:row>230</xdr:row>
                <xdr:rowOff>228600</xdr:rowOff>
              </to>
            </anchor>
          </objectPr>
        </oleObject>
      </mc:Choice>
      <mc:Fallback>
        <oleObject progId="Equation.DSMT4" shapeId="2597" r:id="rId96"/>
      </mc:Fallback>
    </mc:AlternateContent>
    <mc:AlternateContent xmlns:mc="http://schemas.openxmlformats.org/markup-compatibility/2006">
      <mc:Choice Requires="x14">
        <oleObject progId="Equation.DSMT4" shapeId="2598" r:id="rId98">
          <objectPr defaultSize="0" r:id="rId97">
            <anchor moveWithCells="1">
              <from>
                <xdr:col>14</xdr:col>
                <xdr:colOff>114300</xdr:colOff>
                <xdr:row>230</xdr:row>
                <xdr:rowOff>38100</xdr:rowOff>
              </from>
              <to>
                <xdr:col>16</xdr:col>
                <xdr:colOff>76200</xdr:colOff>
                <xdr:row>230</xdr:row>
                <xdr:rowOff>228600</xdr:rowOff>
              </to>
            </anchor>
          </objectPr>
        </oleObject>
      </mc:Choice>
      <mc:Fallback>
        <oleObject progId="Equation.DSMT4" shapeId="2598" r:id="rId98"/>
      </mc:Fallback>
    </mc:AlternateContent>
    <mc:AlternateContent xmlns:mc="http://schemas.openxmlformats.org/markup-compatibility/2006">
      <mc:Choice Requires="x14">
        <oleObject progId="Equation.DSMT4" shapeId="2599" r:id="rId99">
          <objectPr defaultSize="0" r:id="rId100">
            <anchor moveWithCells="1">
              <from>
                <xdr:col>8</xdr:col>
                <xdr:colOff>9525</xdr:colOff>
                <xdr:row>246</xdr:row>
                <xdr:rowOff>57150</xdr:rowOff>
              </from>
              <to>
                <xdr:col>14</xdr:col>
                <xdr:colOff>38100</xdr:colOff>
                <xdr:row>247</xdr:row>
                <xdr:rowOff>171450</xdr:rowOff>
              </to>
            </anchor>
          </objectPr>
        </oleObject>
      </mc:Choice>
      <mc:Fallback>
        <oleObject progId="Equation.DSMT4" shapeId="2599" r:id="rId99"/>
      </mc:Fallback>
    </mc:AlternateContent>
    <mc:AlternateContent xmlns:mc="http://schemas.openxmlformats.org/markup-compatibility/2006">
      <mc:Choice Requires="x14">
        <oleObject progId="Equation.DSMT4" shapeId="2600" r:id="rId101">
          <objectPr defaultSize="0" r:id="rId102">
            <anchor moveWithCells="1">
              <from>
                <xdr:col>8</xdr:col>
                <xdr:colOff>9525</xdr:colOff>
                <xdr:row>250</xdr:row>
                <xdr:rowOff>28575</xdr:rowOff>
              </from>
              <to>
                <xdr:col>20</xdr:col>
                <xdr:colOff>133350</xdr:colOff>
                <xdr:row>251</xdr:row>
                <xdr:rowOff>180975</xdr:rowOff>
              </to>
            </anchor>
          </objectPr>
        </oleObject>
      </mc:Choice>
      <mc:Fallback>
        <oleObject progId="Equation.DSMT4" shapeId="2600" r:id="rId101"/>
      </mc:Fallback>
    </mc:AlternateContent>
    <mc:AlternateContent xmlns:mc="http://schemas.openxmlformats.org/markup-compatibility/2006">
      <mc:Choice Requires="x14">
        <oleObject progId="Equation.3" shapeId="2601" r:id="rId103">
          <objectPr defaultSize="0" r:id="rId104">
            <anchor moveWithCells="1">
              <from>
                <xdr:col>12</xdr:col>
                <xdr:colOff>0</xdr:colOff>
                <xdr:row>255</xdr:row>
                <xdr:rowOff>0</xdr:rowOff>
              </from>
              <to>
                <xdr:col>20</xdr:col>
                <xdr:colOff>76200</xdr:colOff>
                <xdr:row>255</xdr:row>
                <xdr:rowOff>219075</xdr:rowOff>
              </to>
            </anchor>
          </objectPr>
        </oleObject>
      </mc:Choice>
      <mc:Fallback>
        <oleObject progId="Equation.3" shapeId="2601" r:id="rId103"/>
      </mc:Fallback>
    </mc:AlternateContent>
    <mc:AlternateContent xmlns:mc="http://schemas.openxmlformats.org/markup-compatibility/2006">
      <mc:Choice Requires="x14">
        <oleObject progId="Equation.3" shapeId="2602" r:id="rId105">
          <objectPr defaultSize="0" autoPict="0" r:id="rId56">
            <anchor moveWithCells="1">
              <from>
                <xdr:col>22</xdr:col>
                <xdr:colOff>0</xdr:colOff>
                <xdr:row>255</xdr:row>
                <xdr:rowOff>0</xdr:rowOff>
              </from>
              <to>
                <xdr:col>27</xdr:col>
                <xdr:colOff>66675</xdr:colOff>
                <xdr:row>255</xdr:row>
                <xdr:rowOff>219075</xdr:rowOff>
              </to>
            </anchor>
          </objectPr>
        </oleObject>
      </mc:Choice>
      <mc:Fallback>
        <oleObject progId="Equation.3" shapeId="2602" r:id="rId105"/>
      </mc:Fallback>
    </mc:AlternateContent>
    <mc:AlternateContent xmlns:mc="http://schemas.openxmlformats.org/markup-compatibility/2006">
      <mc:Choice Requires="x14">
        <oleObject progId="Equation.3" shapeId="2603" r:id="rId106">
          <objectPr defaultSize="0" r:id="rId104">
            <anchor moveWithCells="1">
              <from>
                <xdr:col>29</xdr:col>
                <xdr:colOff>0</xdr:colOff>
                <xdr:row>255</xdr:row>
                <xdr:rowOff>0</xdr:rowOff>
              </from>
              <to>
                <xdr:col>37</xdr:col>
                <xdr:colOff>76200</xdr:colOff>
                <xdr:row>255</xdr:row>
                <xdr:rowOff>219075</xdr:rowOff>
              </to>
            </anchor>
          </objectPr>
        </oleObject>
      </mc:Choice>
      <mc:Fallback>
        <oleObject progId="Equation.3" shapeId="2603" r:id="rId106"/>
      </mc:Fallback>
    </mc:AlternateContent>
    <mc:AlternateContent xmlns:mc="http://schemas.openxmlformats.org/markup-compatibility/2006">
      <mc:Choice Requires="x14">
        <oleObject progId="Equation.3" shapeId="2604" r:id="rId107">
          <objectPr defaultSize="0" r:id="rId104">
            <anchor moveWithCells="1">
              <from>
                <xdr:col>39</xdr:col>
                <xdr:colOff>0</xdr:colOff>
                <xdr:row>255</xdr:row>
                <xdr:rowOff>0</xdr:rowOff>
              </from>
              <to>
                <xdr:col>47</xdr:col>
                <xdr:colOff>76200</xdr:colOff>
                <xdr:row>255</xdr:row>
                <xdr:rowOff>219075</xdr:rowOff>
              </to>
            </anchor>
          </objectPr>
        </oleObject>
      </mc:Choice>
      <mc:Fallback>
        <oleObject progId="Equation.3" shapeId="2604" r:id="rId107"/>
      </mc:Fallback>
    </mc:AlternateContent>
    <mc:AlternateContent xmlns:mc="http://schemas.openxmlformats.org/markup-compatibility/2006">
      <mc:Choice Requires="x14">
        <oleObject progId="Equation.3" shapeId="2605" r:id="rId108">
          <objectPr defaultSize="0" r:id="rId104">
            <anchor moveWithCells="1">
              <from>
                <xdr:col>7</xdr:col>
                <xdr:colOff>0</xdr:colOff>
                <xdr:row>256</xdr:row>
                <xdr:rowOff>0</xdr:rowOff>
              </from>
              <to>
                <xdr:col>15</xdr:col>
                <xdr:colOff>76200</xdr:colOff>
                <xdr:row>256</xdr:row>
                <xdr:rowOff>219075</xdr:rowOff>
              </to>
            </anchor>
          </objectPr>
        </oleObject>
      </mc:Choice>
      <mc:Fallback>
        <oleObject progId="Equation.3" shapeId="2605" r:id="rId108"/>
      </mc:Fallback>
    </mc:AlternateContent>
    <mc:AlternateContent xmlns:mc="http://schemas.openxmlformats.org/markup-compatibility/2006">
      <mc:Choice Requires="x14">
        <oleObject progId="Equation.3" shapeId="2606" r:id="rId109">
          <objectPr defaultSize="0" r:id="rId104">
            <anchor moveWithCells="1">
              <from>
                <xdr:col>17</xdr:col>
                <xdr:colOff>0</xdr:colOff>
                <xdr:row>256</xdr:row>
                <xdr:rowOff>0</xdr:rowOff>
              </from>
              <to>
                <xdr:col>25</xdr:col>
                <xdr:colOff>76200</xdr:colOff>
                <xdr:row>256</xdr:row>
                <xdr:rowOff>219075</xdr:rowOff>
              </to>
            </anchor>
          </objectPr>
        </oleObject>
      </mc:Choice>
      <mc:Fallback>
        <oleObject progId="Equation.3" shapeId="2606" r:id="rId109"/>
      </mc:Fallback>
    </mc:AlternateContent>
    <mc:AlternateContent xmlns:mc="http://schemas.openxmlformats.org/markup-compatibility/2006">
      <mc:Choice Requires="x14">
        <oleObject progId="Equation.3" shapeId="2607" r:id="rId110">
          <objectPr defaultSize="0" autoPict="0" r:id="rId56">
            <anchor moveWithCells="1">
              <from>
                <xdr:col>27</xdr:col>
                <xdr:colOff>0</xdr:colOff>
                <xdr:row>256</xdr:row>
                <xdr:rowOff>0</xdr:rowOff>
              </from>
              <to>
                <xdr:col>32</xdr:col>
                <xdr:colOff>66675</xdr:colOff>
                <xdr:row>256</xdr:row>
                <xdr:rowOff>219075</xdr:rowOff>
              </to>
            </anchor>
          </objectPr>
        </oleObject>
      </mc:Choice>
      <mc:Fallback>
        <oleObject progId="Equation.3" shapeId="2607" r:id="rId110"/>
      </mc:Fallback>
    </mc:AlternateContent>
    <mc:AlternateContent xmlns:mc="http://schemas.openxmlformats.org/markup-compatibility/2006">
      <mc:Choice Requires="x14">
        <oleObject progId="Equation.3" shapeId="2608" r:id="rId111">
          <objectPr defaultSize="0" autoPict="0" r:id="rId56">
            <anchor moveWithCells="1">
              <from>
                <xdr:col>34</xdr:col>
                <xdr:colOff>0</xdr:colOff>
                <xdr:row>256</xdr:row>
                <xdr:rowOff>0</xdr:rowOff>
              </from>
              <to>
                <xdr:col>39</xdr:col>
                <xdr:colOff>66675</xdr:colOff>
                <xdr:row>256</xdr:row>
                <xdr:rowOff>219075</xdr:rowOff>
              </to>
            </anchor>
          </objectPr>
        </oleObject>
      </mc:Choice>
      <mc:Fallback>
        <oleObject progId="Equation.3" shapeId="2608" r:id="rId111"/>
      </mc:Fallback>
    </mc:AlternateContent>
    <mc:AlternateContent xmlns:mc="http://schemas.openxmlformats.org/markup-compatibility/2006">
      <mc:Choice Requires="x14">
        <oleObject progId="Equation.3" shapeId="2609" r:id="rId112">
          <objectPr defaultSize="0" r:id="rId104">
            <anchor moveWithCells="1">
              <from>
                <xdr:col>41</xdr:col>
                <xdr:colOff>0</xdr:colOff>
                <xdr:row>256</xdr:row>
                <xdr:rowOff>0</xdr:rowOff>
              </from>
              <to>
                <xdr:col>49</xdr:col>
                <xdr:colOff>76200</xdr:colOff>
                <xdr:row>256</xdr:row>
                <xdr:rowOff>219075</xdr:rowOff>
              </to>
            </anchor>
          </objectPr>
        </oleObject>
      </mc:Choice>
      <mc:Fallback>
        <oleObject progId="Equation.3" shapeId="2609" r:id="rId112"/>
      </mc:Fallback>
    </mc:AlternateContent>
    <mc:AlternateContent xmlns:mc="http://schemas.openxmlformats.org/markup-compatibility/2006">
      <mc:Choice Requires="x14">
        <oleObject progId="Equation.3" shapeId="2610" r:id="rId113">
          <objectPr defaultSize="0" autoPict="0" r:id="rId56">
            <anchor moveWithCells="1">
              <from>
                <xdr:col>5</xdr:col>
                <xdr:colOff>0</xdr:colOff>
                <xdr:row>257</xdr:row>
                <xdr:rowOff>0</xdr:rowOff>
              </from>
              <to>
                <xdr:col>10</xdr:col>
                <xdr:colOff>66675</xdr:colOff>
                <xdr:row>257</xdr:row>
                <xdr:rowOff>219075</xdr:rowOff>
              </to>
            </anchor>
          </objectPr>
        </oleObject>
      </mc:Choice>
      <mc:Fallback>
        <oleObject progId="Equation.3" shapeId="2610" r:id="rId113"/>
      </mc:Fallback>
    </mc:AlternateContent>
    <mc:AlternateContent xmlns:mc="http://schemas.openxmlformats.org/markup-compatibility/2006">
      <mc:Choice Requires="x14">
        <oleObject progId="Equation.3" shapeId="2611" r:id="rId114">
          <objectPr defaultSize="0" r:id="rId104">
            <anchor moveWithCells="1">
              <from>
                <xdr:col>12</xdr:col>
                <xdr:colOff>0</xdr:colOff>
                <xdr:row>257</xdr:row>
                <xdr:rowOff>0</xdr:rowOff>
              </from>
              <to>
                <xdr:col>20</xdr:col>
                <xdr:colOff>76200</xdr:colOff>
                <xdr:row>257</xdr:row>
                <xdr:rowOff>219075</xdr:rowOff>
              </to>
            </anchor>
          </objectPr>
        </oleObject>
      </mc:Choice>
      <mc:Fallback>
        <oleObject progId="Equation.3" shapeId="2611" r:id="rId114"/>
      </mc:Fallback>
    </mc:AlternateContent>
    <mc:AlternateContent xmlns:mc="http://schemas.openxmlformats.org/markup-compatibility/2006">
      <mc:Choice Requires="x14">
        <oleObject progId="Equation.3" shapeId="2612" r:id="rId115">
          <objectPr defaultSize="0" r:id="rId8">
            <anchor moveWithCells="1">
              <from>
                <xdr:col>4</xdr:col>
                <xdr:colOff>142875</xdr:colOff>
                <xdr:row>258</xdr:row>
                <xdr:rowOff>209550</xdr:rowOff>
              </from>
              <to>
                <xdr:col>15</xdr:col>
                <xdr:colOff>142875</xdr:colOff>
                <xdr:row>260</xdr:row>
                <xdr:rowOff>0</xdr:rowOff>
              </to>
            </anchor>
          </objectPr>
        </oleObject>
      </mc:Choice>
      <mc:Fallback>
        <oleObject progId="Equation.3" shapeId="2612" r:id="rId115"/>
      </mc:Fallback>
    </mc:AlternateContent>
    <mc:AlternateContent xmlns:mc="http://schemas.openxmlformats.org/markup-compatibility/2006">
      <mc:Choice Requires="x14">
        <oleObject progId="Equation.3" shapeId="2613" r:id="rId116">
          <objectPr defaultSize="0" autoPict="0" r:id="rId22">
            <anchor moveWithCells="1">
              <from>
                <xdr:col>49</xdr:col>
                <xdr:colOff>57150</xdr:colOff>
                <xdr:row>263</xdr:row>
                <xdr:rowOff>0</xdr:rowOff>
              </from>
              <to>
                <xdr:col>52</xdr:col>
                <xdr:colOff>142875</xdr:colOff>
                <xdr:row>263</xdr:row>
                <xdr:rowOff>219075</xdr:rowOff>
              </to>
            </anchor>
          </objectPr>
        </oleObject>
      </mc:Choice>
      <mc:Fallback>
        <oleObject progId="Equation.3" shapeId="2613" r:id="rId116"/>
      </mc:Fallback>
    </mc:AlternateContent>
    <mc:AlternateContent xmlns:mc="http://schemas.openxmlformats.org/markup-compatibility/2006">
      <mc:Choice Requires="x14">
        <oleObject progId="Equation.DSMT4" shapeId="2614" r:id="rId117">
          <objectPr defaultSize="0" r:id="rId97">
            <anchor moveWithCells="1">
              <from>
                <xdr:col>19</xdr:col>
                <xdr:colOff>38100</xdr:colOff>
                <xdr:row>233</xdr:row>
                <xdr:rowOff>38100</xdr:rowOff>
              </from>
              <to>
                <xdr:col>21</xdr:col>
                <xdr:colOff>0</xdr:colOff>
                <xdr:row>233</xdr:row>
                <xdr:rowOff>228600</xdr:rowOff>
              </to>
            </anchor>
          </objectPr>
        </oleObject>
      </mc:Choice>
      <mc:Fallback>
        <oleObject progId="Equation.DSMT4" shapeId="2614" r:id="rId117"/>
      </mc:Fallback>
    </mc:AlternateContent>
    <mc:AlternateContent xmlns:mc="http://schemas.openxmlformats.org/markup-compatibility/2006">
      <mc:Choice Requires="x14">
        <oleObject progId="Equation.DSMT4" shapeId="2615" r:id="rId118">
          <objectPr defaultSize="0" r:id="rId97">
            <anchor moveWithCells="1">
              <from>
                <xdr:col>14</xdr:col>
                <xdr:colOff>114300</xdr:colOff>
                <xdr:row>233</xdr:row>
                <xdr:rowOff>38100</xdr:rowOff>
              </from>
              <to>
                <xdr:col>16</xdr:col>
                <xdr:colOff>76200</xdr:colOff>
                <xdr:row>233</xdr:row>
                <xdr:rowOff>228600</xdr:rowOff>
              </to>
            </anchor>
          </objectPr>
        </oleObject>
      </mc:Choice>
      <mc:Fallback>
        <oleObject progId="Equation.DSMT4" shapeId="2615" r:id="rId118"/>
      </mc:Fallback>
    </mc:AlternateContent>
    <mc:AlternateContent xmlns:mc="http://schemas.openxmlformats.org/markup-compatibility/2006">
      <mc:Choice Requires="x14">
        <oleObject progId="Equation.DSMT4" shapeId="2595" r:id="rId119">
          <objectPr defaultSize="0" r:id="rId120">
            <anchor moveWithCells="1">
              <from>
                <xdr:col>8</xdr:col>
                <xdr:colOff>9525</xdr:colOff>
                <xdr:row>194</xdr:row>
                <xdr:rowOff>28575</xdr:rowOff>
              </from>
              <to>
                <xdr:col>23</xdr:col>
                <xdr:colOff>57150</xdr:colOff>
                <xdr:row>196</xdr:row>
                <xdr:rowOff>133350</xdr:rowOff>
              </to>
            </anchor>
          </objectPr>
        </oleObject>
      </mc:Choice>
      <mc:Fallback>
        <oleObject progId="Equation.DSMT4" shapeId="2595" r:id="rId119"/>
      </mc:Fallback>
    </mc:AlternateContent>
    <mc:AlternateContent xmlns:mc="http://schemas.openxmlformats.org/markup-compatibility/2006">
      <mc:Choice Requires="x14">
        <oleObject progId="Equation.3" shapeId="2618" r:id="rId121">
          <objectPr defaultSize="0" r:id="rId8">
            <anchor moveWithCells="1">
              <from>
                <xdr:col>12</xdr:col>
                <xdr:colOff>142875</xdr:colOff>
                <xdr:row>275</xdr:row>
                <xdr:rowOff>209550</xdr:rowOff>
              </from>
              <to>
                <xdr:col>23</xdr:col>
                <xdr:colOff>142875</xdr:colOff>
                <xdr:row>277</xdr:row>
                <xdr:rowOff>0</xdr:rowOff>
              </to>
            </anchor>
          </objectPr>
        </oleObject>
      </mc:Choice>
      <mc:Fallback>
        <oleObject progId="Equation.3" shapeId="2618" r:id="rId121"/>
      </mc:Fallback>
    </mc:AlternateContent>
    <mc:AlternateContent xmlns:mc="http://schemas.openxmlformats.org/markup-compatibility/2006">
      <mc:Choice Requires="x14">
        <oleObject progId="Equation.3" shapeId="2620" r:id="rId122">
          <objectPr defaultSize="0" r:id="rId123">
            <anchor moveWithCells="1">
              <from>
                <xdr:col>27</xdr:col>
                <xdr:colOff>47625</xdr:colOff>
                <xdr:row>275</xdr:row>
                <xdr:rowOff>209550</xdr:rowOff>
              </from>
              <to>
                <xdr:col>36</xdr:col>
                <xdr:colOff>123825</xdr:colOff>
                <xdr:row>277</xdr:row>
                <xdr:rowOff>0</xdr:rowOff>
              </to>
            </anchor>
          </objectPr>
        </oleObject>
      </mc:Choice>
      <mc:Fallback>
        <oleObject progId="Equation.3" shapeId="2620" r:id="rId122"/>
      </mc:Fallback>
    </mc:AlternateContent>
    <mc:AlternateContent xmlns:mc="http://schemas.openxmlformats.org/markup-compatibility/2006">
      <mc:Choice Requires="x14">
        <oleObject progId="Equation.DSMT4" shapeId="2621" r:id="rId124">
          <objectPr defaultSize="0" r:id="rId97">
            <anchor moveWithCells="1">
              <from>
                <xdr:col>15</xdr:col>
                <xdr:colOff>38100</xdr:colOff>
                <xdr:row>216</xdr:row>
                <xdr:rowOff>19050</xdr:rowOff>
              </from>
              <to>
                <xdr:col>17</xdr:col>
                <xdr:colOff>0</xdr:colOff>
                <xdr:row>216</xdr:row>
                <xdr:rowOff>209550</xdr:rowOff>
              </to>
            </anchor>
          </objectPr>
        </oleObject>
      </mc:Choice>
      <mc:Fallback>
        <oleObject progId="Equation.DSMT4" shapeId="2621" r:id="rId124"/>
      </mc:Fallback>
    </mc:AlternateContent>
    <mc:AlternateContent xmlns:mc="http://schemas.openxmlformats.org/markup-compatibility/2006">
      <mc:Choice Requires="x14">
        <oleObject progId="Equation.DSMT4" shapeId="2622" r:id="rId125">
          <objectPr defaultSize="0" r:id="rId97">
            <anchor moveWithCells="1">
              <from>
                <xdr:col>20</xdr:col>
                <xdr:colOff>38100</xdr:colOff>
                <xdr:row>216</xdr:row>
                <xdr:rowOff>19050</xdr:rowOff>
              </from>
              <to>
                <xdr:col>22</xdr:col>
                <xdr:colOff>0</xdr:colOff>
                <xdr:row>216</xdr:row>
                <xdr:rowOff>209550</xdr:rowOff>
              </to>
            </anchor>
          </objectPr>
        </oleObject>
      </mc:Choice>
      <mc:Fallback>
        <oleObject progId="Equation.DSMT4" shapeId="2622" r:id="rId125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22"/>
  <sheetViews>
    <sheetView showGridLines="0" zoomScaleNormal="100" workbookViewId="0"/>
  </sheetViews>
  <sheetFormatPr defaultColWidth="8.77734375" defaultRowHeight="18" customHeight="1"/>
  <cols>
    <col min="1" max="1" width="2.77734375" style="121" customWidth="1"/>
    <col min="2" max="2" width="8.77734375" style="124"/>
    <col min="3" max="3" width="10.77734375" style="124" bestFit="1" customWidth="1"/>
    <col min="4" max="4" width="8.77734375" style="124"/>
    <col min="5" max="21" width="8.77734375" style="122"/>
    <col min="22" max="16384" width="8.77734375" style="121"/>
  </cols>
  <sheetData>
    <row r="1" spans="1:21" ht="15" customHeight="1">
      <c r="A1" s="118" t="s">
        <v>138</v>
      </c>
      <c r="B1" s="119"/>
      <c r="C1" s="119"/>
      <c r="D1" s="119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</row>
    <row r="2" spans="1:21" ht="24">
      <c r="B2" s="148" t="s">
        <v>139</v>
      </c>
      <c r="C2" s="148" t="s">
        <v>333</v>
      </c>
      <c r="D2" s="148" t="s">
        <v>128</v>
      </c>
      <c r="E2" s="148" t="s">
        <v>140</v>
      </c>
      <c r="F2" s="148" t="s">
        <v>61</v>
      </c>
      <c r="G2" s="148" t="s">
        <v>141</v>
      </c>
      <c r="H2" s="148" t="s">
        <v>142</v>
      </c>
      <c r="I2" s="148" t="s">
        <v>143</v>
      </c>
      <c r="J2" s="148" t="s">
        <v>199</v>
      </c>
      <c r="K2" s="148" t="s">
        <v>200</v>
      </c>
      <c r="L2" s="403" t="s">
        <v>635</v>
      </c>
      <c r="M2" s="148" t="s">
        <v>144</v>
      </c>
      <c r="N2" s="432" t="s">
        <v>691</v>
      </c>
      <c r="O2" s="148" t="s">
        <v>129</v>
      </c>
      <c r="P2" s="148" t="s">
        <v>145</v>
      </c>
      <c r="Q2" s="148" t="s">
        <v>118</v>
      </c>
      <c r="R2" s="148" t="s">
        <v>131</v>
      </c>
      <c r="S2" s="150" t="s">
        <v>146</v>
      </c>
      <c r="T2" s="150" t="s">
        <v>147</v>
      </c>
      <c r="U2" s="121"/>
    </row>
    <row r="3" spans="1:21" ht="15" customHeight="1">
      <c r="B3" s="123" t="e">
        <f>C3</f>
        <v>#DIV/0!</v>
      </c>
      <c r="C3" s="123" t="e">
        <f>AVERAGE(기본정보!B12:B13)</f>
        <v>#DIV/0!</v>
      </c>
      <c r="D3" s="123">
        <f>MIN(C21:C41)</f>
        <v>0</v>
      </c>
      <c r="E3" s="123">
        <f>MAX(C21:C41)</f>
        <v>0</v>
      </c>
      <c r="F3" s="123">
        <f>Length_2!G4</f>
        <v>0</v>
      </c>
      <c r="G3" s="123">
        <f>Length_2!H4</f>
        <v>0</v>
      </c>
      <c r="H3" s="123">
        <f>Length_2!I4</f>
        <v>0</v>
      </c>
      <c r="I3" s="123">
        <f>IF(H3="inch",25.4,1)</f>
        <v>1</v>
      </c>
      <c r="J3" s="123">
        <f>MIN(U21:U41)</f>
        <v>0</v>
      </c>
      <c r="K3" s="123">
        <f>MAX(U21:U41)</f>
        <v>0</v>
      </c>
      <c r="L3" s="372" t="str">
        <f>TEXT(K3,IF(K3&gt;=1000,"# ###","G/표준"))</f>
        <v>0</v>
      </c>
      <c r="M3" s="123">
        <f>F3*I3</f>
        <v>0</v>
      </c>
      <c r="N3" s="372" t="str">
        <f ca="1">OFFSET(P66,IFERROR(LEN(M3)-FIND(".",M3),0),0)</f>
        <v>0</v>
      </c>
      <c r="O3" s="123">
        <f>G3*I3</f>
        <v>0</v>
      </c>
      <c r="P3" s="123" t="e">
        <f ca="1">OFFSET(Length_2!C3,MATCH($K3,$U21:$U41,0),0)</f>
        <v>#N/A</v>
      </c>
      <c r="Q3" s="123" t="e">
        <f ca="1">OFFSET(Length_2!D3,MATCH($K3,$U21:$U41,0),0)</f>
        <v>#N/A</v>
      </c>
      <c r="R3" s="123" t="e">
        <f ca="1">OFFSET(Length_2!E3,MATCH($K3,$U21:$U41,0),0)</f>
        <v>#N/A</v>
      </c>
      <c r="S3" s="140" t="e">
        <f ca="1">IF(R61=0,"","초과")</f>
        <v>#N/A</v>
      </c>
      <c r="T3" s="151" t="str">
        <f>IF(AF20=0,"PASS","FAIL")</f>
        <v>PASS</v>
      </c>
      <c r="U3" s="121"/>
    </row>
    <row r="4" spans="1:21" ht="15" customHeight="1">
      <c r="B4" s="119"/>
      <c r="C4" s="119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20"/>
      <c r="U4" s="120"/>
    </row>
    <row r="5" spans="1:21" ht="15" customHeight="1">
      <c r="A5" s="118" t="s">
        <v>361</v>
      </c>
      <c r="B5" s="119"/>
      <c r="C5" s="119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20"/>
      <c r="U5" s="120"/>
    </row>
    <row r="6" spans="1:21" ht="15" customHeight="1">
      <c r="B6" s="126" t="s">
        <v>364</v>
      </c>
      <c r="C6" s="126" t="s">
        <v>365</v>
      </c>
      <c r="D6" s="126" t="s">
        <v>366</v>
      </c>
      <c r="E6" s="126" t="s">
        <v>367</v>
      </c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</row>
    <row r="7" spans="1:21" ht="15" customHeight="1">
      <c r="B7" s="123" t="s">
        <v>373</v>
      </c>
      <c r="C7" s="123">
        <f>Length_2!J4</f>
        <v>0</v>
      </c>
      <c r="D7" s="123">
        <f>Length_2!K4</f>
        <v>0</v>
      </c>
      <c r="E7" s="123">
        <f>IF(C7=FALSE,0,IF(C7=0,0,D7/C7*0.59/2))</f>
        <v>0</v>
      </c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20"/>
      <c r="U7" s="120"/>
    </row>
    <row r="8" spans="1:21" ht="15" customHeight="1">
      <c r="B8" s="123" t="s">
        <v>374</v>
      </c>
      <c r="C8" s="123">
        <f>Length_2!J5</f>
        <v>0</v>
      </c>
      <c r="D8" s="123">
        <f>Length_2!K5</f>
        <v>0</v>
      </c>
      <c r="E8" s="123">
        <f>IF(C8=FALSE,0,IF(C8=0,0,D8/C8*0.59/2))</f>
        <v>0</v>
      </c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20"/>
      <c r="U8" s="120"/>
    </row>
    <row r="9" spans="1:21" ht="15" customHeight="1">
      <c r="B9" s="121"/>
      <c r="C9" s="121"/>
      <c r="D9" s="121"/>
      <c r="E9" s="121"/>
      <c r="F9" s="121"/>
      <c r="G9" s="121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</row>
    <row r="10" spans="1:21" ht="15" customHeight="1">
      <c r="A10" s="118" t="s">
        <v>362</v>
      </c>
      <c r="B10" s="119"/>
      <c r="C10" s="119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</row>
    <row r="11" spans="1:21" ht="15" customHeight="1">
      <c r="B11" s="126" t="s">
        <v>364</v>
      </c>
      <c r="C11" s="126" t="s">
        <v>368</v>
      </c>
      <c r="D11" s="126" t="s">
        <v>369</v>
      </c>
      <c r="E11" s="126" t="s">
        <v>370</v>
      </c>
      <c r="F11" s="126" t="s">
        <v>371</v>
      </c>
      <c r="G11" s="126" t="s">
        <v>372</v>
      </c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</row>
    <row r="12" spans="1:21" ht="15" customHeight="1">
      <c r="B12" s="123" t="s">
        <v>373</v>
      </c>
      <c r="C12" s="123">
        <f>Length_2!J7</f>
        <v>0</v>
      </c>
      <c r="D12" s="123">
        <f>Length_2!K7</f>
        <v>0</v>
      </c>
      <c r="E12" s="123">
        <f>Length_2!L7</f>
        <v>0</v>
      </c>
      <c r="F12" s="123">
        <f>Length_2!M7</f>
        <v>0</v>
      </c>
      <c r="G12" s="123">
        <f>IF(C12=FALSE,0,MAX(C15:F15))</f>
        <v>0</v>
      </c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</row>
    <row r="13" spans="1:21" ht="15" customHeight="1">
      <c r="B13" s="123" t="s">
        <v>374</v>
      </c>
      <c r="C13" s="123">
        <f>Length_2!J8</f>
        <v>0</v>
      </c>
      <c r="D13" s="123">
        <f>Length_2!K8</f>
        <v>0</v>
      </c>
      <c r="E13" s="123">
        <f>Length_2!L8</f>
        <v>0</v>
      </c>
      <c r="F13" s="123">
        <f>Length_2!M8</f>
        <v>0</v>
      </c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</row>
    <row r="14" spans="1:21" ht="15" customHeight="1">
      <c r="B14" s="123" t="s">
        <v>375</v>
      </c>
      <c r="C14" s="123">
        <f>C12+C13</f>
        <v>0</v>
      </c>
      <c r="D14" s="123">
        <f>D12+D13</f>
        <v>0</v>
      </c>
      <c r="E14" s="123">
        <f>E12+E13</f>
        <v>0</v>
      </c>
      <c r="F14" s="123">
        <f>F12+F13</f>
        <v>0</v>
      </c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</row>
    <row r="15" spans="1:21" ht="15" customHeight="1">
      <c r="B15" s="123" t="s">
        <v>376</v>
      </c>
      <c r="C15" s="123">
        <f>C14*0.59/2</f>
        <v>0</v>
      </c>
      <c r="D15" s="123">
        <f t="shared" ref="D15:F15" si="0">D14*0.59/2</f>
        <v>0</v>
      </c>
      <c r="E15" s="123">
        <f t="shared" si="0"/>
        <v>0</v>
      </c>
      <c r="F15" s="123">
        <f t="shared" si="0"/>
        <v>0</v>
      </c>
      <c r="G15" s="120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</row>
    <row r="16" spans="1:21" ht="15" customHeight="1">
      <c r="B16" s="119"/>
      <c r="C16" s="119"/>
      <c r="D16" s="119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</row>
    <row r="17" spans="1:33" ht="15" customHeight="1">
      <c r="A17" s="118" t="s">
        <v>363</v>
      </c>
      <c r="C17" s="119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1"/>
      <c r="Z17" s="152" t="s">
        <v>157</v>
      </c>
    </row>
    <row r="18" spans="1:33" ht="15" customHeight="1">
      <c r="B18" s="736" t="s">
        <v>605</v>
      </c>
      <c r="C18" s="737" t="s">
        <v>312</v>
      </c>
      <c r="D18" s="737" t="s">
        <v>115</v>
      </c>
      <c r="E18" s="775" t="s">
        <v>606</v>
      </c>
      <c r="F18" s="775"/>
      <c r="G18" s="775"/>
      <c r="H18" s="775"/>
      <c r="I18" s="775"/>
      <c r="J18" s="775"/>
      <c r="K18" s="776" t="s">
        <v>78</v>
      </c>
      <c r="L18" s="359" t="s">
        <v>148</v>
      </c>
      <c r="M18" s="359" t="s">
        <v>607</v>
      </c>
      <c r="N18" s="778" t="s">
        <v>325</v>
      </c>
      <c r="O18" s="779"/>
      <c r="P18" s="780"/>
      <c r="Q18" s="359" t="s">
        <v>608</v>
      </c>
      <c r="R18" s="390" t="s">
        <v>609</v>
      </c>
      <c r="S18" s="359" t="s">
        <v>610</v>
      </c>
      <c r="T18" s="359" t="s">
        <v>611</v>
      </c>
      <c r="U18" s="359" t="s">
        <v>312</v>
      </c>
      <c r="V18" s="359" t="s">
        <v>149</v>
      </c>
      <c r="W18" s="778" t="s">
        <v>150</v>
      </c>
      <c r="X18" s="780"/>
      <c r="Y18" s="125"/>
      <c r="Z18" s="758" t="s">
        <v>612</v>
      </c>
      <c r="AA18" s="759"/>
      <c r="AB18" s="778" t="s">
        <v>164</v>
      </c>
      <c r="AC18" s="779"/>
      <c r="AD18" s="779"/>
      <c r="AE18" s="779"/>
      <c r="AF18" s="779"/>
      <c r="AG18" s="780"/>
    </row>
    <row r="19" spans="1:33" ht="15" customHeight="1">
      <c r="B19" s="736"/>
      <c r="C19" s="738"/>
      <c r="D19" s="738"/>
      <c r="E19" s="392" t="s">
        <v>613</v>
      </c>
      <c r="F19" s="337" t="s">
        <v>614</v>
      </c>
      <c r="G19" s="392" t="s">
        <v>119</v>
      </c>
      <c r="H19" s="337" t="s">
        <v>120</v>
      </c>
      <c r="I19" s="392" t="s">
        <v>121</v>
      </c>
      <c r="J19" s="337" t="s">
        <v>153</v>
      </c>
      <c r="K19" s="777"/>
      <c r="L19" s="359" t="s">
        <v>134</v>
      </c>
      <c r="M19" s="359" t="s">
        <v>615</v>
      </c>
      <c r="N19" s="359" t="s">
        <v>616</v>
      </c>
      <c r="O19" s="359" t="s">
        <v>617</v>
      </c>
      <c r="P19" s="359" t="s">
        <v>618</v>
      </c>
      <c r="Q19" s="359" t="s">
        <v>619</v>
      </c>
      <c r="R19" s="359" t="s">
        <v>620</v>
      </c>
      <c r="S19" s="359" t="s">
        <v>137</v>
      </c>
      <c r="T19" s="359" t="s">
        <v>572</v>
      </c>
      <c r="U19" s="359" t="s">
        <v>178</v>
      </c>
      <c r="V19" s="359" t="s">
        <v>621</v>
      </c>
      <c r="W19" s="359" t="s">
        <v>314</v>
      </c>
      <c r="X19" s="359" t="s">
        <v>149</v>
      </c>
      <c r="Y19" s="125"/>
      <c r="Z19" s="393" t="s">
        <v>154</v>
      </c>
      <c r="AA19" s="393" t="s">
        <v>155</v>
      </c>
      <c r="AB19" s="359" t="s">
        <v>163</v>
      </c>
      <c r="AC19" s="359" t="s">
        <v>314</v>
      </c>
      <c r="AD19" s="396" t="s">
        <v>149</v>
      </c>
      <c r="AE19" s="391" t="s">
        <v>151</v>
      </c>
      <c r="AF19" s="391" t="s">
        <v>152</v>
      </c>
      <c r="AG19" s="391" t="s">
        <v>639</v>
      </c>
    </row>
    <row r="20" spans="1:33" ht="15" customHeight="1">
      <c r="B20" s="736"/>
      <c r="C20" s="739"/>
      <c r="D20" s="739"/>
      <c r="E20" s="337">
        <f>H3</f>
        <v>0</v>
      </c>
      <c r="F20" s="337">
        <f t="shared" ref="F20:J20" si="1">E20</f>
        <v>0</v>
      </c>
      <c r="G20" s="337">
        <f t="shared" si="1"/>
        <v>0</v>
      </c>
      <c r="H20" s="337">
        <f t="shared" si="1"/>
        <v>0</v>
      </c>
      <c r="I20" s="337">
        <f t="shared" si="1"/>
        <v>0</v>
      </c>
      <c r="J20" s="337">
        <f t="shared" si="1"/>
        <v>0</v>
      </c>
      <c r="K20" s="389" t="s">
        <v>622</v>
      </c>
      <c r="L20" s="359" t="s">
        <v>622</v>
      </c>
      <c r="M20" s="359" t="s">
        <v>622</v>
      </c>
      <c r="N20" s="394" t="s">
        <v>623</v>
      </c>
      <c r="O20" s="394" t="s">
        <v>624</v>
      </c>
      <c r="P20" s="394" t="s">
        <v>623</v>
      </c>
      <c r="Q20" s="394" t="s">
        <v>625</v>
      </c>
      <c r="R20" s="394" t="s">
        <v>624</v>
      </c>
      <c r="S20" s="394" t="s">
        <v>626</v>
      </c>
      <c r="T20" s="359" t="s">
        <v>627</v>
      </c>
      <c r="U20" s="359" t="s">
        <v>627</v>
      </c>
      <c r="V20" s="359" t="s">
        <v>622</v>
      </c>
      <c r="W20" s="359" t="s">
        <v>627</v>
      </c>
      <c r="X20" s="359" t="s">
        <v>622</v>
      </c>
      <c r="Y20" s="125"/>
      <c r="Z20" s="393" t="s">
        <v>622</v>
      </c>
      <c r="AA20" s="393" t="s">
        <v>622</v>
      </c>
      <c r="AB20" s="359" t="s">
        <v>622</v>
      </c>
      <c r="AC20" s="359" t="s">
        <v>168</v>
      </c>
      <c r="AD20" s="395" t="s">
        <v>168</v>
      </c>
      <c r="AE20" s="391" t="s">
        <v>628</v>
      </c>
      <c r="AF20" s="151">
        <f>IF(TYPE(MATCH("FAIL",AF21:AF41,0))=16,0,1)</f>
        <v>0</v>
      </c>
      <c r="AG20" s="391" t="s">
        <v>640</v>
      </c>
    </row>
    <row r="21" spans="1:33" ht="15" customHeight="1">
      <c r="B21" s="127" t="b">
        <f>IF(TRIM(Length_2!A4)="",FALSE,TRUE)</f>
        <v>0</v>
      </c>
      <c r="C21" s="123" t="str">
        <f>IF($B21=FALSE,"",VALUE(Length_2!A4))</f>
        <v/>
      </c>
      <c r="D21" s="123" t="str">
        <f>IF($B21=FALSE,"",Length_2!B4)</f>
        <v/>
      </c>
      <c r="E21" s="128" t="str">
        <f>IF(B21=FALSE,"",Length_2!Q4)</f>
        <v/>
      </c>
      <c r="F21" s="128" t="str">
        <f>IF(B21=FALSE,"",Length_2!R4)</f>
        <v/>
      </c>
      <c r="G21" s="128" t="str">
        <f>IF(B21=FALSE,"",Length_2!S4)</f>
        <v/>
      </c>
      <c r="H21" s="128" t="str">
        <f>IF(B21=FALSE,"",Length_2!T4)</f>
        <v/>
      </c>
      <c r="I21" s="128" t="str">
        <f>IF(B21=FALSE,"",Length_2!U4)</f>
        <v/>
      </c>
      <c r="J21" s="129" t="str">
        <f t="shared" ref="J21:J41" si="2">IF(B21=FALSE,"",AVERAGE(E21:I21))</f>
        <v/>
      </c>
      <c r="K21" s="141" t="str">
        <f t="shared" ref="K21:K41" si="3">IF(B21=FALSE,"",STDEV(E21:I21)*I$3)</f>
        <v/>
      </c>
      <c r="L21" s="130" t="str">
        <f>IF(B21=FALSE,"",Length_2!D28)</f>
        <v/>
      </c>
      <c r="M21" s="131" t="str">
        <f>IF(B21=FALSE,"",Calcu!J21*I$3)</f>
        <v/>
      </c>
      <c r="N21" s="145" t="str">
        <f>IF(B21=FALSE,"",11.5*10^-6)</f>
        <v/>
      </c>
      <c r="O21" s="145" t="str">
        <f>IF(B21=FALSE,"",Length_2!O28)</f>
        <v/>
      </c>
      <c r="P21" s="145" t="str">
        <f t="shared" ref="P21:P41" si="4">IF(B21=FALSE,"",AVERAGE(N21:O21))</f>
        <v/>
      </c>
      <c r="Q21" s="123" t="str">
        <f t="shared" ref="Q21:Q41" si="5">IF(B21=FALSE,"",B$3-C$3)</f>
        <v/>
      </c>
      <c r="R21" s="123" t="str">
        <f t="shared" ref="R21:R41" si="6">IF(B21=FALSE,"",N21-O21)</f>
        <v/>
      </c>
      <c r="S21" s="123" t="str">
        <f>IF(B21=FALSE,"",AVERAGE(B$3:C$3)-20)</f>
        <v/>
      </c>
      <c r="T21" s="400" t="str">
        <f>IF(B21=FALSE,"",(P21*Q21+R21*S21)*U21)</f>
        <v/>
      </c>
      <c r="U21" s="132" t="str">
        <f>IF(B21=FALSE,"",ROUND(C21*I$3,4))</f>
        <v/>
      </c>
      <c r="V21" s="133" t="str">
        <f>IF(B21=FALSE,"",L21-M21-T21)</f>
        <v/>
      </c>
      <c r="W21" s="123" t="str">
        <f>IF($B21=FALSE,"",ROUND(U21+X21,$M$61))</f>
        <v/>
      </c>
      <c r="X21" s="123" t="str">
        <f>IF($B21=FALSE,"",ROUND(V21,$M$61))</f>
        <v/>
      </c>
      <c r="Y21" s="125"/>
      <c r="Z21" s="189" t="e">
        <f ca="1">IF(Length_2!N4&lt;0,ROUNDUP(Length_2!N4*I$3,$M$61),ROUNDDOWN(Length_2!N4*I$3,$M$61))</f>
        <v>#N/A</v>
      </c>
      <c r="AA21" s="189" t="e">
        <f ca="1">IF(Length_2!O4&lt;0,ROUNDDOWN(Length_2!O4*I$3,$M$61),ROUNDUP(Length_2!O4*I$3,$M$61))</f>
        <v>#N/A</v>
      </c>
      <c r="AB21" s="123" t="e">
        <f t="shared" ref="AB21:AB41" ca="1" si="7">TEXT(U21,IF(U21&gt;=1000,"# ##","")&amp;$P$61)</f>
        <v>#N/A</v>
      </c>
      <c r="AC21" s="123" t="e">
        <f t="shared" ref="AC21:AC41" ca="1" si="8">TEXT(W21,IF(W21&gt;=1000,"# ##","")&amp;$P$61)</f>
        <v>#N/A</v>
      </c>
      <c r="AD21" s="189" t="e">
        <f t="shared" ref="AD21:AD41" ca="1" si="9">TEXT(V21,$P$61)</f>
        <v>#N/A</v>
      </c>
      <c r="AE21" s="123" t="e">
        <f t="shared" ref="AE21:AE41" ca="1" si="10">"± "&amp;TEXT(AA21-U21,P$61)</f>
        <v>#N/A</v>
      </c>
      <c r="AF21" s="123" t="str">
        <f>IF($B21=FALSE,"",IF(AND(Z21&lt;=W21,W21&lt;=AA21),"PASS","FAIL"))</f>
        <v/>
      </c>
      <c r="AG21" s="372" t="e">
        <f ca="1">S$61</f>
        <v>#N/A</v>
      </c>
    </row>
    <row r="22" spans="1:33" ht="15" customHeight="1">
      <c r="B22" s="127" t="b">
        <f>IF(TRIM(Length_2!A5)="",FALSE,TRUE)</f>
        <v>0</v>
      </c>
      <c r="C22" s="123" t="str">
        <f>IF($B22=FALSE,"",VALUE(Length_2!A5))</f>
        <v/>
      </c>
      <c r="D22" s="123" t="str">
        <f>IF($B22=FALSE,"",Length_2!B5)</f>
        <v/>
      </c>
      <c r="E22" s="128" t="str">
        <f>IF(B22=FALSE,"",Length_2!Q5)</f>
        <v/>
      </c>
      <c r="F22" s="128" t="str">
        <f>IF(B22=FALSE,"",Length_2!R5)</f>
        <v/>
      </c>
      <c r="G22" s="128" t="str">
        <f>IF(B22=FALSE,"",Length_2!S5)</f>
        <v/>
      </c>
      <c r="H22" s="128" t="str">
        <f>IF(B22=FALSE,"",Length_2!T5)</f>
        <v/>
      </c>
      <c r="I22" s="128" t="str">
        <f>IF(B22=FALSE,"",Length_2!U5)</f>
        <v/>
      </c>
      <c r="J22" s="129" t="str">
        <f t="shared" si="2"/>
        <v/>
      </c>
      <c r="K22" s="141" t="str">
        <f t="shared" si="3"/>
        <v/>
      </c>
      <c r="L22" s="130" t="str">
        <f>IF(B22=FALSE,"",Length_2!D29)</f>
        <v/>
      </c>
      <c r="M22" s="131" t="str">
        <f>IF(B22=FALSE,"",Calcu!J22*I$3)</f>
        <v/>
      </c>
      <c r="N22" s="145" t="str">
        <f t="shared" ref="N22:N41" si="11">IF(B22=FALSE,"",11.5*10^-6)</f>
        <v/>
      </c>
      <c r="O22" s="145" t="str">
        <f>IF(B22=FALSE,"",Length_2!O29)</f>
        <v/>
      </c>
      <c r="P22" s="145" t="str">
        <f t="shared" si="4"/>
        <v/>
      </c>
      <c r="Q22" s="123" t="str">
        <f t="shared" si="5"/>
        <v/>
      </c>
      <c r="R22" s="123" t="str">
        <f t="shared" si="6"/>
        <v/>
      </c>
      <c r="S22" s="123" t="str">
        <f t="shared" ref="S22:S41" si="12">IF(B22=FALSE,"",AVERAGE(B$3:C$3)-20)</f>
        <v/>
      </c>
      <c r="T22" s="400" t="str">
        <f t="shared" ref="T22:T41" si="13">IF(B22=FALSE,"",(P22*Q22+R22*S22)*U22)</f>
        <v/>
      </c>
      <c r="U22" s="132" t="str">
        <f t="shared" ref="U22:U41" si="14">IF(B22=FALSE,"",ROUND(C22*I$3,4))</f>
        <v/>
      </c>
      <c r="V22" s="133" t="str">
        <f t="shared" ref="V22:V41" si="15">IF(B22=FALSE,"",L22-M22-T22)</f>
        <v/>
      </c>
      <c r="W22" s="123" t="str">
        <f t="shared" ref="W22:W41" si="16">IF($B22=FALSE,"",ROUND(U22+X22,$M$61))</f>
        <v/>
      </c>
      <c r="X22" s="123" t="str">
        <f t="shared" ref="X22:X41" si="17">IF($B22=FALSE,"",ROUND(V22,$M$61))</f>
        <v/>
      </c>
      <c r="Y22" s="125"/>
      <c r="Z22" s="189" t="e">
        <f ca="1">IF(Length_2!N5&lt;0,ROUNDUP(Length_2!N5*I$3,$M$61),ROUNDDOWN(Length_2!N5*I$3,$M$61))</f>
        <v>#N/A</v>
      </c>
      <c r="AA22" s="189" t="e">
        <f ca="1">IF(Length_2!O5&lt;0,ROUNDDOWN(Length_2!O5*I$3,$M$61),ROUNDUP(Length_2!O5*I$3,$M$61))</f>
        <v>#N/A</v>
      </c>
      <c r="AB22" s="123" t="e">
        <f t="shared" ca="1" si="7"/>
        <v>#N/A</v>
      </c>
      <c r="AC22" s="123" t="e">
        <f t="shared" ca="1" si="8"/>
        <v>#N/A</v>
      </c>
      <c r="AD22" s="189" t="e">
        <f t="shared" ca="1" si="9"/>
        <v>#N/A</v>
      </c>
      <c r="AE22" s="123" t="e">
        <f t="shared" ca="1" si="10"/>
        <v>#N/A</v>
      </c>
      <c r="AF22" s="123" t="str">
        <f t="shared" ref="AF22:AF41" si="18">IF($B22=FALSE,"",IF(AND(Z22&lt;=W22,W22&lt;=AA22),"PASS","FAIL"))</f>
        <v/>
      </c>
      <c r="AG22" s="372" t="e">
        <f t="shared" ref="AG22:AG41" ca="1" si="19">S$61</f>
        <v>#N/A</v>
      </c>
    </row>
    <row r="23" spans="1:33" ht="15" customHeight="1">
      <c r="B23" s="127" t="b">
        <f>IF(TRIM(Length_2!A6)="",FALSE,TRUE)</f>
        <v>0</v>
      </c>
      <c r="C23" s="123" t="str">
        <f>IF($B23=FALSE,"",VALUE(Length_2!A6))</f>
        <v/>
      </c>
      <c r="D23" s="123" t="str">
        <f>IF($B23=FALSE,"",Length_2!B6)</f>
        <v/>
      </c>
      <c r="E23" s="128" t="str">
        <f>IF(B23=FALSE,"",Length_2!Q6)</f>
        <v/>
      </c>
      <c r="F23" s="128" t="str">
        <f>IF(B23=FALSE,"",Length_2!R6)</f>
        <v/>
      </c>
      <c r="G23" s="128" t="str">
        <f>IF(B23=FALSE,"",Length_2!S6)</f>
        <v/>
      </c>
      <c r="H23" s="128" t="str">
        <f>IF(B23=FALSE,"",Length_2!T6)</f>
        <v/>
      </c>
      <c r="I23" s="128" t="str">
        <f>IF(B23=FALSE,"",Length_2!U6)</f>
        <v/>
      </c>
      <c r="J23" s="129" t="str">
        <f t="shared" si="2"/>
        <v/>
      </c>
      <c r="K23" s="141" t="str">
        <f t="shared" si="3"/>
        <v/>
      </c>
      <c r="L23" s="130" t="str">
        <f>IF(B23=FALSE,"",Length_2!D30)</f>
        <v/>
      </c>
      <c r="M23" s="131" t="str">
        <f>IF(B23=FALSE,"",Calcu!J23*I$3)</f>
        <v/>
      </c>
      <c r="N23" s="145" t="str">
        <f t="shared" si="11"/>
        <v/>
      </c>
      <c r="O23" s="145" t="str">
        <f>IF(B23=FALSE,"",Length_2!O30)</f>
        <v/>
      </c>
      <c r="P23" s="145" t="str">
        <f t="shared" si="4"/>
        <v/>
      </c>
      <c r="Q23" s="123" t="str">
        <f t="shared" si="5"/>
        <v/>
      </c>
      <c r="R23" s="123" t="str">
        <f t="shared" si="6"/>
        <v/>
      </c>
      <c r="S23" s="123" t="str">
        <f t="shared" si="12"/>
        <v/>
      </c>
      <c r="T23" s="400" t="str">
        <f t="shared" si="13"/>
        <v/>
      </c>
      <c r="U23" s="132" t="str">
        <f t="shared" si="14"/>
        <v/>
      </c>
      <c r="V23" s="133" t="str">
        <f t="shared" si="15"/>
        <v/>
      </c>
      <c r="W23" s="123" t="str">
        <f t="shared" si="16"/>
        <v/>
      </c>
      <c r="X23" s="123" t="str">
        <f t="shared" si="17"/>
        <v/>
      </c>
      <c r="Y23" s="125"/>
      <c r="Z23" s="189" t="e">
        <f ca="1">IF(Length_2!N6&lt;0,ROUNDUP(Length_2!N6*I$3,$M$61),ROUNDDOWN(Length_2!N6*I$3,$M$61))</f>
        <v>#N/A</v>
      </c>
      <c r="AA23" s="189" t="e">
        <f ca="1">IF(Length_2!O6&lt;0,ROUNDDOWN(Length_2!O6*I$3,$M$61),ROUNDUP(Length_2!O6*I$3,$M$61))</f>
        <v>#N/A</v>
      </c>
      <c r="AB23" s="123" t="e">
        <f t="shared" ca="1" si="7"/>
        <v>#N/A</v>
      </c>
      <c r="AC23" s="123" t="e">
        <f t="shared" ca="1" si="8"/>
        <v>#N/A</v>
      </c>
      <c r="AD23" s="189" t="e">
        <f t="shared" ca="1" si="9"/>
        <v>#N/A</v>
      </c>
      <c r="AE23" s="123" t="e">
        <f t="shared" ca="1" si="10"/>
        <v>#N/A</v>
      </c>
      <c r="AF23" s="123" t="str">
        <f t="shared" si="18"/>
        <v/>
      </c>
      <c r="AG23" s="372" t="e">
        <f t="shared" ca="1" si="19"/>
        <v>#N/A</v>
      </c>
    </row>
    <row r="24" spans="1:33" ht="15" customHeight="1">
      <c r="B24" s="127" t="b">
        <f>IF(TRIM(Length_2!A7)="",FALSE,TRUE)</f>
        <v>0</v>
      </c>
      <c r="C24" s="123" t="str">
        <f>IF($B24=FALSE,"",VALUE(Length_2!A7))</f>
        <v/>
      </c>
      <c r="D24" s="123" t="str">
        <f>IF($B24=FALSE,"",Length_2!B7)</f>
        <v/>
      </c>
      <c r="E24" s="128" t="str">
        <f>IF(B24=FALSE,"",Length_2!Q7)</f>
        <v/>
      </c>
      <c r="F24" s="128" t="str">
        <f>IF(B24=FALSE,"",Length_2!R7)</f>
        <v/>
      </c>
      <c r="G24" s="128" t="str">
        <f>IF(B24=FALSE,"",Length_2!S7)</f>
        <v/>
      </c>
      <c r="H24" s="128" t="str">
        <f>IF(B24=FALSE,"",Length_2!T7)</f>
        <v/>
      </c>
      <c r="I24" s="128" t="str">
        <f>IF(B24=FALSE,"",Length_2!U7)</f>
        <v/>
      </c>
      <c r="J24" s="129" t="str">
        <f t="shared" si="2"/>
        <v/>
      </c>
      <c r="K24" s="141" t="str">
        <f t="shared" si="3"/>
        <v/>
      </c>
      <c r="L24" s="130" t="str">
        <f>IF(B24=FALSE,"",Length_2!D31)</f>
        <v/>
      </c>
      <c r="M24" s="131" t="str">
        <f>IF(B24=FALSE,"",Calcu!J24*I$3)</f>
        <v/>
      </c>
      <c r="N24" s="145" t="str">
        <f t="shared" si="11"/>
        <v/>
      </c>
      <c r="O24" s="145" t="str">
        <f>IF(B24=FALSE,"",Length_2!O31)</f>
        <v/>
      </c>
      <c r="P24" s="145" t="str">
        <f t="shared" si="4"/>
        <v/>
      </c>
      <c r="Q24" s="123" t="str">
        <f t="shared" si="5"/>
        <v/>
      </c>
      <c r="R24" s="123" t="str">
        <f t="shared" si="6"/>
        <v/>
      </c>
      <c r="S24" s="123" t="str">
        <f t="shared" si="12"/>
        <v/>
      </c>
      <c r="T24" s="400" t="str">
        <f t="shared" si="13"/>
        <v/>
      </c>
      <c r="U24" s="132" t="str">
        <f t="shared" si="14"/>
        <v/>
      </c>
      <c r="V24" s="133" t="str">
        <f t="shared" si="15"/>
        <v/>
      </c>
      <c r="W24" s="123" t="str">
        <f t="shared" si="16"/>
        <v/>
      </c>
      <c r="X24" s="123" t="str">
        <f t="shared" si="17"/>
        <v/>
      </c>
      <c r="Y24" s="125"/>
      <c r="Z24" s="189" t="e">
        <f ca="1">IF(Length_2!N7&lt;0,ROUNDUP(Length_2!N7*I$3,$M$61),ROUNDDOWN(Length_2!N7*I$3,$M$61))</f>
        <v>#N/A</v>
      </c>
      <c r="AA24" s="189" t="e">
        <f ca="1">IF(Length_2!O7&lt;0,ROUNDDOWN(Length_2!O7*I$3,$M$61),ROUNDUP(Length_2!O7*I$3,$M$61))</f>
        <v>#N/A</v>
      </c>
      <c r="AB24" s="123" t="e">
        <f t="shared" ca="1" si="7"/>
        <v>#N/A</v>
      </c>
      <c r="AC24" s="123" t="e">
        <f t="shared" ca="1" si="8"/>
        <v>#N/A</v>
      </c>
      <c r="AD24" s="189" t="e">
        <f t="shared" ca="1" si="9"/>
        <v>#N/A</v>
      </c>
      <c r="AE24" s="123" t="e">
        <f t="shared" ca="1" si="10"/>
        <v>#N/A</v>
      </c>
      <c r="AF24" s="123" t="str">
        <f t="shared" si="18"/>
        <v/>
      </c>
      <c r="AG24" s="372" t="e">
        <f t="shared" ca="1" si="19"/>
        <v>#N/A</v>
      </c>
    </row>
    <row r="25" spans="1:33" ht="15" customHeight="1">
      <c r="B25" s="127" t="b">
        <f>IF(TRIM(Length_2!A8)="",FALSE,TRUE)</f>
        <v>0</v>
      </c>
      <c r="C25" s="123" t="str">
        <f>IF($B25=FALSE,"",VALUE(Length_2!A8))</f>
        <v/>
      </c>
      <c r="D25" s="123" t="str">
        <f>IF($B25=FALSE,"",Length_2!B8)</f>
        <v/>
      </c>
      <c r="E25" s="128" t="str">
        <f>IF(B25=FALSE,"",Length_2!Q8)</f>
        <v/>
      </c>
      <c r="F25" s="128" t="str">
        <f>IF(B25=FALSE,"",Length_2!R8)</f>
        <v/>
      </c>
      <c r="G25" s="128" t="str">
        <f>IF(B25=FALSE,"",Length_2!S8)</f>
        <v/>
      </c>
      <c r="H25" s="128" t="str">
        <f>IF(B25=FALSE,"",Length_2!T8)</f>
        <v/>
      </c>
      <c r="I25" s="128" t="str">
        <f>IF(B25=FALSE,"",Length_2!U8)</f>
        <v/>
      </c>
      <c r="J25" s="129" t="str">
        <f t="shared" si="2"/>
        <v/>
      </c>
      <c r="K25" s="141" t="str">
        <f t="shared" si="3"/>
        <v/>
      </c>
      <c r="L25" s="130" t="str">
        <f>IF(B25=FALSE,"",Length_2!D32)</f>
        <v/>
      </c>
      <c r="M25" s="131" t="str">
        <f>IF(B25=FALSE,"",Calcu!J25*I$3)</f>
        <v/>
      </c>
      <c r="N25" s="145" t="str">
        <f t="shared" si="11"/>
        <v/>
      </c>
      <c r="O25" s="145" t="str">
        <f>IF(B25=FALSE,"",Length_2!O32)</f>
        <v/>
      </c>
      <c r="P25" s="145" t="str">
        <f t="shared" si="4"/>
        <v/>
      </c>
      <c r="Q25" s="123" t="str">
        <f t="shared" si="5"/>
        <v/>
      </c>
      <c r="R25" s="123" t="str">
        <f t="shared" si="6"/>
        <v/>
      </c>
      <c r="S25" s="123" t="str">
        <f t="shared" si="12"/>
        <v/>
      </c>
      <c r="T25" s="400" t="str">
        <f t="shared" si="13"/>
        <v/>
      </c>
      <c r="U25" s="132" t="str">
        <f t="shared" si="14"/>
        <v/>
      </c>
      <c r="V25" s="133" t="str">
        <f t="shared" si="15"/>
        <v/>
      </c>
      <c r="W25" s="123" t="str">
        <f t="shared" si="16"/>
        <v/>
      </c>
      <c r="X25" s="123" t="str">
        <f t="shared" si="17"/>
        <v/>
      </c>
      <c r="Y25" s="125"/>
      <c r="Z25" s="189" t="e">
        <f ca="1">IF(Length_2!N8&lt;0,ROUNDUP(Length_2!N8*I$3,$M$61),ROUNDDOWN(Length_2!N8*I$3,$M$61))</f>
        <v>#N/A</v>
      </c>
      <c r="AA25" s="189" t="e">
        <f ca="1">IF(Length_2!O8&lt;0,ROUNDDOWN(Length_2!O8*I$3,$M$61),ROUNDUP(Length_2!O8*I$3,$M$61))</f>
        <v>#N/A</v>
      </c>
      <c r="AB25" s="123" t="e">
        <f t="shared" ca="1" si="7"/>
        <v>#N/A</v>
      </c>
      <c r="AC25" s="123" t="e">
        <f t="shared" ca="1" si="8"/>
        <v>#N/A</v>
      </c>
      <c r="AD25" s="189" t="e">
        <f t="shared" ca="1" si="9"/>
        <v>#N/A</v>
      </c>
      <c r="AE25" s="123" t="e">
        <f t="shared" ca="1" si="10"/>
        <v>#N/A</v>
      </c>
      <c r="AF25" s="123" t="str">
        <f t="shared" si="18"/>
        <v/>
      </c>
      <c r="AG25" s="372" t="e">
        <f t="shared" ca="1" si="19"/>
        <v>#N/A</v>
      </c>
    </row>
    <row r="26" spans="1:33" ht="15" customHeight="1">
      <c r="B26" s="127" t="b">
        <f>IF(TRIM(Length_2!A9)="",FALSE,TRUE)</f>
        <v>0</v>
      </c>
      <c r="C26" s="123" t="str">
        <f>IF($B26=FALSE,"",VALUE(Length_2!A9))</f>
        <v/>
      </c>
      <c r="D26" s="123" t="str">
        <f>IF($B26=FALSE,"",Length_2!B9)</f>
        <v/>
      </c>
      <c r="E26" s="128" t="str">
        <f>IF(B26=FALSE,"",Length_2!Q9)</f>
        <v/>
      </c>
      <c r="F26" s="128" t="str">
        <f>IF(B26=FALSE,"",Length_2!R9)</f>
        <v/>
      </c>
      <c r="G26" s="128" t="str">
        <f>IF(B26=FALSE,"",Length_2!S9)</f>
        <v/>
      </c>
      <c r="H26" s="128" t="str">
        <f>IF(B26=FALSE,"",Length_2!T9)</f>
        <v/>
      </c>
      <c r="I26" s="128" t="str">
        <f>IF(B26=FALSE,"",Length_2!U9)</f>
        <v/>
      </c>
      <c r="J26" s="129" t="str">
        <f t="shared" si="2"/>
        <v/>
      </c>
      <c r="K26" s="141" t="str">
        <f t="shared" si="3"/>
        <v/>
      </c>
      <c r="L26" s="130" t="str">
        <f>IF(B26=FALSE,"",Length_2!D33)</f>
        <v/>
      </c>
      <c r="M26" s="131" t="str">
        <f>IF(B26=FALSE,"",Calcu!J26*I$3)</f>
        <v/>
      </c>
      <c r="N26" s="145" t="str">
        <f t="shared" si="11"/>
        <v/>
      </c>
      <c r="O26" s="145" t="str">
        <f>IF(B26=FALSE,"",Length_2!O33)</f>
        <v/>
      </c>
      <c r="P26" s="145" t="str">
        <f t="shared" si="4"/>
        <v/>
      </c>
      <c r="Q26" s="123" t="str">
        <f t="shared" si="5"/>
        <v/>
      </c>
      <c r="R26" s="123" t="str">
        <f t="shared" si="6"/>
        <v/>
      </c>
      <c r="S26" s="123" t="str">
        <f t="shared" si="12"/>
        <v/>
      </c>
      <c r="T26" s="400" t="str">
        <f t="shared" si="13"/>
        <v/>
      </c>
      <c r="U26" s="132" t="str">
        <f t="shared" si="14"/>
        <v/>
      </c>
      <c r="V26" s="133" t="str">
        <f t="shared" si="15"/>
        <v/>
      </c>
      <c r="W26" s="123" t="str">
        <f t="shared" si="16"/>
        <v/>
      </c>
      <c r="X26" s="123" t="str">
        <f t="shared" si="17"/>
        <v/>
      </c>
      <c r="Y26" s="125"/>
      <c r="Z26" s="189" t="e">
        <f ca="1">IF(Length_2!N9&lt;0,ROUNDUP(Length_2!N9*I$3,$M$61),ROUNDDOWN(Length_2!N9*I$3,$M$61))</f>
        <v>#N/A</v>
      </c>
      <c r="AA26" s="189" t="e">
        <f ca="1">IF(Length_2!O9&lt;0,ROUNDDOWN(Length_2!O9*I$3,$M$61),ROUNDUP(Length_2!O9*I$3,$M$61))</f>
        <v>#N/A</v>
      </c>
      <c r="AB26" s="123" t="e">
        <f t="shared" ca="1" si="7"/>
        <v>#N/A</v>
      </c>
      <c r="AC26" s="123" t="e">
        <f t="shared" ca="1" si="8"/>
        <v>#N/A</v>
      </c>
      <c r="AD26" s="189" t="e">
        <f t="shared" ca="1" si="9"/>
        <v>#N/A</v>
      </c>
      <c r="AE26" s="123" t="e">
        <f t="shared" ca="1" si="10"/>
        <v>#N/A</v>
      </c>
      <c r="AF26" s="123" t="str">
        <f t="shared" si="18"/>
        <v/>
      </c>
      <c r="AG26" s="372" t="e">
        <f t="shared" ca="1" si="19"/>
        <v>#N/A</v>
      </c>
    </row>
    <row r="27" spans="1:33" ht="15" customHeight="1">
      <c r="B27" s="127" t="b">
        <f>IF(TRIM(Length_2!A10)="",FALSE,TRUE)</f>
        <v>0</v>
      </c>
      <c r="C27" s="123" t="str">
        <f>IF($B27=FALSE,"",VALUE(Length_2!A10))</f>
        <v/>
      </c>
      <c r="D27" s="123" t="str">
        <f>IF($B27=FALSE,"",Length_2!B10)</f>
        <v/>
      </c>
      <c r="E27" s="128" t="str">
        <f>IF(B27=FALSE,"",Length_2!Q10)</f>
        <v/>
      </c>
      <c r="F27" s="128" t="str">
        <f>IF(B27=FALSE,"",Length_2!R10)</f>
        <v/>
      </c>
      <c r="G27" s="128" t="str">
        <f>IF(B27=FALSE,"",Length_2!S10)</f>
        <v/>
      </c>
      <c r="H27" s="128" t="str">
        <f>IF(B27=FALSE,"",Length_2!T10)</f>
        <v/>
      </c>
      <c r="I27" s="128" t="str">
        <f>IF(B27=FALSE,"",Length_2!U10)</f>
        <v/>
      </c>
      <c r="J27" s="129" t="str">
        <f t="shared" si="2"/>
        <v/>
      </c>
      <c r="K27" s="141" t="str">
        <f t="shared" si="3"/>
        <v/>
      </c>
      <c r="L27" s="130" t="str">
        <f>IF(B27=FALSE,"",Length_2!D34)</f>
        <v/>
      </c>
      <c r="M27" s="131" t="str">
        <f>IF(B27=FALSE,"",Calcu!J27*I$3)</f>
        <v/>
      </c>
      <c r="N27" s="145" t="str">
        <f t="shared" si="11"/>
        <v/>
      </c>
      <c r="O27" s="145" t="str">
        <f>IF(B27=FALSE,"",Length_2!O34)</f>
        <v/>
      </c>
      <c r="P27" s="145" t="str">
        <f t="shared" si="4"/>
        <v/>
      </c>
      <c r="Q27" s="123" t="str">
        <f t="shared" si="5"/>
        <v/>
      </c>
      <c r="R27" s="123" t="str">
        <f t="shared" si="6"/>
        <v/>
      </c>
      <c r="S27" s="123" t="str">
        <f t="shared" si="12"/>
        <v/>
      </c>
      <c r="T27" s="400" t="str">
        <f t="shared" si="13"/>
        <v/>
      </c>
      <c r="U27" s="132" t="str">
        <f t="shared" si="14"/>
        <v/>
      </c>
      <c r="V27" s="133" t="str">
        <f t="shared" si="15"/>
        <v/>
      </c>
      <c r="W27" s="123" t="str">
        <f t="shared" si="16"/>
        <v/>
      </c>
      <c r="X27" s="123" t="str">
        <f t="shared" si="17"/>
        <v/>
      </c>
      <c r="Y27" s="125"/>
      <c r="Z27" s="189" t="e">
        <f ca="1">IF(Length_2!N10&lt;0,ROUNDUP(Length_2!N10*I$3,$M$61),ROUNDDOWN(Length_2!N10*I$3,$M$61))</f>
        <v>#N/A</v>
      </c>
      <c r="AA27" s="189" t="e">
        <f ca="1">IF(Length_2!O10&lt;0,ROUNDDOWN(Length_2!O10*I$3,$M$61),ROUNDUP(Length_2!O10*I$3,$M$61))</f>
        <v>#N/A</v>
      </c>
      <c r="AB27" s="123" t="e">
        <f t="shared" ca="1" si="7"/>
        <v>#N/A</v>
      </c>
      <c r="AC27" s="123" t="e">
        <f t="shared" ca="1" si="8"/>
        <v>#N/A</v>
      </c>
      <c r="AD27" s="189" t="e">
        <f t="shared" ca="1" si="9"/>
        <v>#N/A</v>
      </c>
      <c r="AE27" s="123" t="e">
        <f t="shared" ca="1" si="10"/>
        <v>#N/A</v>
      </c>
      <c r="AF27" s="123" t="str">
        <f t="shared" si="18"/>
        <v/>
      </c>
      <c r="AG27" s="372" t="e">
        <f t="shared" ca="1" si="19"/>
        <v>#N/A</v>
      </c>
    </row>
    <row r="28" spans="1:33" ht="15" customHeight="1">
      <c r="B28" s="127" t="b">
        <f>IF(TRIM(Length_2!A11)="",FALSE,TRUE)</f>
        <v>0</v>
      </c>
      <c r="C28" s="123" t="str">
        <f>IF($B28=FALSE,"",VALUE(Length_2!A11))</f>
        <v/>
      </c>
      <c r="D28" s="123" t="str">
        <f>IF($B28=FALSE,"",Length_2!B11)</f>
        <v/>
      </c>
      <c r="E28" s="128" t="str">
        <f>IF(B28=FALSE,"",Length_2!Q11)</f>
        <v/>
      </c>
      <c r="F28" s="128" t="str">
        <f>IF(B28=FALSE,"",Length_2!R11)</f>
        <v/>
      </c>
      <c r="G28" s="128" t="str">
        <f>IF(B28=FALSE,"",Length_2!S11)</f>
        <v/>
      </c>
      <c r="H28" s="128" t="str">
        <f>IF(B28=FALSE,"",Length_2!T11)</f>
        <v/>
      </c>
      <c r="I28" s="128" t="str">
        <f>IF(B28=FALSE,"",Length_2!U11)</f>
        <v/>
      </c>
      <c r="J28" s="129" t="str">
        <f t="shared" si="2"/>
        <v/>
      </c>
      <c r="K28" s="141" t="str">
        <f t="shared" si="3"/>
        <v/>
      </c>
      <c r="L28" s="130" t="str">
        <f>IF(B28=FALSE,"",Length_2!D35)</f>
        <v/>
      </c>
      <c r="M28" s="131" t="str">
        <f>IF(B28=FALSE,"",Calcu!J28*I$3)</f>
        <v/>
      </c>
      <c r="N28" s="145" t="str">
        <f t="shared" si="11"/>
        <v/>
      </c>
      <c r="O28" s="145" t="str">
        <f>IF(B28=FALSE,"",Length_2!O35)</f>
        <v/>
      </c>
      <c r="P28" s="145" t="str">
        <f t="shared" si="4"/>
        <v/>
      </c>
      <c r="Q28" s="123" t="str">
        <f t="shared" si="5"/>
        <v/>
      </c>
      <c r="R28" s="123" t="str">
        <f t="shared" si="6"/>
        <v/>
      </c>
      <c r="S28" s="123" t="str">
        <f t="shared" si="12"/>
        <v/>
      </c>
      <c r="T28" s="400" t="str">
        <f t="shared" si="13"/>
        <v/>
      </c>
      <c r="U28" s="132" t="str">
        <f t="shared" si="14"/>
        <v/>
      </c>
      <c r="V28" s="133" t="str">
        <f t="shared" si="15"/>
        <v/>
      </c>
      <c r="W28" s="123" t="str">
        <f t="shared" si="16"/>
        <v/>
      </c>
      <c r="X28" s="123" t="str">
        <f t="shared" si="17"/>
        <v/>
      </c>
      <c r="Y28" s="125"/>
      <c r="Z28" s="189" t="e">
        <f ca="1">IF(Length_2!N11&lt;0,ROUNDUP(Length_2!N11*I$3,$M$61),ROUNDDOWN(Length_2!N11*I$3,$M$61))</f>
        <v>#N/A</v>
      </c>
      <c r="AA28" s="189" t="e">
        <f ca="1">IF(Length_2!O11&lt;0,ROUNDDOWN(Length_2!O11*I$3,$M$61),ROUNDUP(Length_2!O11*I$3,$M$61))</f>
        <v>#N/A</v>
      </c>
      <c r="AB28" s="123" t="e">
        <f t="shared" ca="1" si="7"/>
        <v>#N/A</v>
      </c>
      <c r="AC28" s="123" t="e">
        <f t="shared" ca="1" si="8"/>
        <v>#N/A</v>
      </c>
      <c r="AD28" s="189" t="e">
        <f t="shared" ca="1" si="9"/>
        <v>#N/A</v>
      </c>
      <c r="AE28" s="123" t="e">
        <f t="shared" ca="1" si="10"/>
        <v>#N/A</v>
      </c>
      <c r="AF28" s="123" t="str">
        <f t="shared" si="18"/>
        <v/>
      </c>
      <c r="AG28" s="372" t="e">
        <f t="shared" ca="1" si="19"/>
        <v>#N/A</v>
      </c>
    </row>
    <row r="29" spans="1:33" ht="15" customHeight="1">
      <c r="B29" s="127" t="b">
        <f>IF(TRIM(Length_2!A12)="",FALSE,TRUE)</f>
        <v>0</v>
      </c>
      <c r="C29" s="123" t="str">
        <f>IF($B29=FALSE,"",VALUE(Length_2!A12))</f>
        <v/>
      </c>
      <c r="D29" s="123" t="str">
        <f>IF($B29=FALSE,"",Length_2!B12)</f>
        <v/>
      </c>
      <c r="E29" s="128" t="str">
        <f>IF(B29=FALSE,"",Length_2!Q12)</f>
        <v/>
      </c>
      <c r="F29" s="128" t="str">
        <f>IF(B29=FALSE,"",Length_2!R12)</f>
        <v/>
      </c>
      <c r="G29" s="128" t="str">
        <f>IF(B29=FALSE,"",Length_2!S12)</f>
        <v/>
      </c>
      <c r="H29" s="128" t="str">
        <f>IF(B29=FALSE,"",Length_2!T12)</f>
        <v/>
      </c>
      <c r="I29" s="128" t="str">
        <f>IF(B29=FALSE,"",Length_2!U12)</f>
        <v/>
      </c>
      <c r="J29" s="129" t="str">
        <f t="shared" si="2"/>
        <v/>
      </c>
      <c r="K29" s="141" t="str">
        <f t="shared" si="3"/>
        <v/>
      </c>
      <c r="L29" s="130" t="str">
        <f>IF(B29=FALSE,"",Length_2!D36)</f>
        <v/>
      </c>
      <c r="M29" s="131" t="str">
        <f>IF(B29=FALSE,"",Calcu!J29*I$3)</f>
        <v/>
      </c>
      <c r="N29" s="145" t="str">
        <f t="shared" si="11"/>
        <v/>
      </c>
      <c r="O29" s="145" t="str">
        <f>IF(B29=FALSE,"",Length_2!O36)</f>
        <v/>
      </c>
      <c r="P29" s="145" t="str">
        <f t="shared" si="4"/>
        <v/>
      </c>
      <c r="Q29" s="123" t="str">
        <f t="shared" si="5"/>
        <v/>
      </c>
      <c r="R29" s="123" t="str">
        <f t="shared" si="6"/>
        <v/>
      </c>
      <c r="S29" s="123" t="str">
        <f t="shared" si="12"/>
        <v/>
      </c>
      <c r="T29" s="400" t="str">
        <f t="shared" si="13"/>
        <v/>
      </c>
      <c r="U29" s="132" t="str">
        <f t="shared" si="14"/>
        <v/>
      </c>
      <c r="V29" s="133" t="str">
        <f t="shared" si="15"/>
        <v/>
      </c>
      <c r="W29" s="123" t="str">
        <f t="shared" si="16"/>
        <v/>
      </c>
      <c r="X29" s="123" t="str">
        <f t="shared" si="17"/>
        <v/>
      </c>
      <c r="Y29" s="125"/>
      <c r="Z29" s="189" t="e">
        <f ca="1">IF(Length_2!N12&lt;0,ROUNDUP(Length_2!N12*I$3,$M$61),ROUNDDOWN(Length_2!N12*I$3,$M$61))</f>
        <v>#N/A</v>
      </c>
      <c r="AA29" s="189" t="e">
        <f ca="1">IF(Length_2!O12&lt;0,ROUNDDOWN(Length_2!O12*I$3,$M$61),ROUNDUP(Length_2!O12*I$3,$M$61))</f>
        <v>#N/A</v>
      </c>
      <c r="AB29" s="123" t="e">
        <f t="shared" ca="1" si="7"/>
        <v>#N/A</v>
      </c>
      <c r="AC29" s="123" t="e">
        <f t="shared" ca="1" si="8"/>
        <v>#N/A</v>
      </c>
      <c r="AD29" s="189" t="e">
        <f t="shared" ca="1" si="9"/>
        <v>#N/A</v>
      </c>
      <c r="AE29" s="123" t="e">
        <f t="shared" ca="1" si="10"/>
        <v>#N/A</v>
      </c>
      <c r="AF29" s="123" t="str">
        <f t="shared" si="18"/>
        <v/>
      </c>
      <c r="AG29" s="372" t="e">
        <f t="shared" ca="1" si="19"/>
        <v>#N/A</v>
      </c>
    </row>
    <row r="30" spans="1:33" ht="15" customHeight="1">
      <c r="B30" s="127" t="b">
        <f>IF(TRIM(Length_2!A13)="",FALSE,TRUE)</f>
        <v>0</v>
      </c>
      <c r="C30" s="123" t="str">
        <f>IF($B30=FALSE,"",VALUE(Length_2!A13))</f>
        <v/>
      </c>
      <c r="D30" s="123" t="str">
        <f>IF($B30=FALSE,"",Length_2!B13)</f>
        <v/>
      </c>
      <c r="E30" s="128" t="str">
        <f>IF(B30=FALSE,"",Length_2!Q13)</f>
        <v/>
      </c>
      <c r="F30" s="128" t="str">
        <f>IF(B30=FALSE,"",Length_2!R13)</f>
        <v/>
      </c>
      <c r="G30" s="128" t="str">
        <f>IF(B30=FALSE,"",Length_2!S13)</f>
        <v/>
      </c>
      <c r="H30" s="128" t="str">
        <f>IF(B30=FALSE,"",Length_2!T13)</f>
        <v/>
      </c>
      <c r="I30" s="128" t="str">
        <f>IF(B30=FALSE,"",Length_2!U13)</f>
        <v/>
      </c>
      <c r="J30" s="129" t="str">
        <f t="shared" si="2"/>
        <v/>
      </c>
      <c r="K30" s="141" t="str">
        <f t="shared" si="3"/>
        <v/>
      </c>
      <c r="L30" s="130" t="str">
        <f>IF(B30=FALSE,"",Length_2!D37)</f>
        <v/>
      </c>
      <c r="M30" s="131" t="str">
        <f>IF(B30=FALSE,"",Calcu!J30*I$3)</f>
        <v/>
      </c>
      <c r="N30" s="145" t="str">
        <f t="shared" si="11"/>
        <v/>
      </c>
      <c r="O30" s="145" t="str">
        <f>IF(B30=FALSE,"",Length_2!O37)</f>
        <v/>
      </c>
      <c r="P30" s="145" t="str">
        <f t="shared" si="4"/>
        <v/>
      </c>
      <c r="Q30" s="123" t="str">
        <f t="shared" si="5"/>
        <v/>
      </c>
      <c r="R30" s="123" t="str">
        <f t="shared" si="6"/>
        <v/>
      </c>
      <c r="S30" s="123" t="str">
        <f t="shared" si="12"/>
        <v/>
      </c>
      <c r="T30" s="400" t="str">
        <f t="shared" si="13"/>
        <v/>
      </c>
      <c r="U30" s="132" t="str">
        <f t="shared" si="14"/>
        <v/>
      </c>
      <c r="V30" s="133" t="str">
        <f t="shared" si="15"/>
        <v/>
      </c>
      <c r="W30" s="123" t="str">
        <f t="shared" si="16"/>
        <v/>
      </c>
      <c r="X30" s="123" t="str">
        <f t="shared" si="17"/>
        <v/>
      </c>
      <c r="Y30" s="125"/>
      <c r="Z30" s="189" t="e">
        <f ca="1">IF(Length_2!N13&lt;0,ROUNDUP(Length_2!N13*I$3,$M$61),ROUNDDOWN(Length_2!N13*I$3,$M$61))</f>
        <v>#N/A</v>
      </c>
      <c r="AA30" s="189" t="e">
        <f ca="1">IF(Length_2!O13&lt;0,ROUNDDOWN(Length_2!O13*I$3,$M$61),ROUNDUP(Length_2!O13*I$3,$M$61))</f>
        <v>#N/A</v>
      </c>
      <c r="AB30" s="123" t="e">
        <f t="shared" ca="1" si="7"/>
        <v>#N/A</v>
      </c>
      <c r="AC30" s="123" t="e">
        <f t="shared" ca="1" si="8"/>
        <v>#N/A</v>
      </c>
      <c r="AD30" s="189" t="e">
        <f t="shared" ca="1" si="9"/>
        <v>#N/A</v>
      </c>
      <c r="AE30" s="123" t="e">
        <f t="shared" ca="1" si="10"/>
        <v>#N/A</v>
      </c>
      <c r="AF30" s="123" t="str">
        <f t="shared" si="18"/>
        <v/>
      </c>
      <c r="AG30" s="372" t="e">
        <f t="shared" ca="1" si="19"/>
        <v>#N/A</v>
      </c>
    </row>
    <row r="31" spans="1:33" ht="15" customHeight="1">
      <c r="B31" s="127" t="b">
        <f>IF(TRIM(Length_2!A14)="",FALSE,TRUE)</f>
        <v>0</v>
      </c>
      <c r="C31" s="123" t="str">
        <f>IF($B31=FALSE,"",VALUE(Length_2!A14))</f>
        <v/>
      </c>
      <c r="D31" s="123" t="str">
        <f>IF($B31=FALSE,"",Length_2!B14)</f>
        <v/>
      </c>
      <c r="E31" s="128" t="str">
        <f>IF(B31=FALSE,"",Length_2!Q14)</f>
        <v/>
      </c>
      <c r="F31" s="128" t="str">
        <f>IF(B31=FALSE,"",Length_2!R14)</f>
        <v/>
      </c>
      <c r="G31" s="128" t="str">
        <f>IF(B31=FALSE,"",Length_2!S14)</f>
        <v/>
      </c>
      <c r="H31" s="128" t="str">
        <f>IF(B31=FALSE,"",Length_2!T14)</f>
        <v/>
      </c>
      <c r="I31" s="128" t="str">
        <f>IF(B31=FALSE,"",Length_2!U14)</f>
        <v/>
      </c>
      <c r="J31" s="129" t="str">
        <f t="shared" si="2"/>
        <v/>
      </c>
      <c r="K31" s="141" t="str">
        <f t="shared" si="3"/>
        <v/>
      </c>
      <c r="L31" s="130" t="str">
        <f>IF(B31=FALSE,"",Length_2!D38)</f>
        <v/>
      </c>
      <c r="M31" s="131" t="str">
        <f>IF(B31=FALSE,"",Calcu!J31*I$3)</f>
        <v/>
      </c>
      <c r="N31" s="145" t="str">
        <f t="shared" si="11"/>
        <v/>
      </c>
      <c r="O31" s="145" t="str">
        <f>IF(B31=FALSE,"",Length_2!O38)</f>
        <v/>
      </c>
      <c r="P31" s="145" t="str">
        <f t="shared" si="4"/>
        <v/>
      </c>
      <c r="Q31" s="123" t="str">
        <f t="shared" si="5"/>
        <v/>
      </c>
      <c r="R31" s="123" t="str">
        <f t="shared" si="6"/>
        <v/>
      </c>
      <c r="S31" s="123" t="str">
        <f t="shared" si="12"/>
        <v/>
      </c>
      <c r="T31" s="400" t="str">
        <f t="shared" si="13"/>
        <v/>
      </c>
      <c r="U31" s="132" t="str">
        <f t="shared" si="14"/>
        <v/>
      </c>
      <c r="V31" s="133" t="str">
        <f t="shared" si="15"/>
        <v/>
      </c>
      <c r="W31" s="123" t="str">
        <f t="shared" si="16"/>
        <v/>
      </c>
      <c r="X31" s="123" t="str">
        <f t="shared" si="17"/>
        <v/>
      </c>
      <c r="Y31" s="125"/>
      <c r="Z31" s="189" t="e">
        <f ca="1">IF(Length_2!N14&lt;0,ROUNDUP(Length_2!N14*I$3,$M$61),ROUNDDOWN(Length_2!N14*I$3,$M$61))</f>
        <v>#N/A</v>
      </c>
      <c r="AA31" s="189" t="e">
        <f ca="1">IF(Length_2!O14&lt;0,ROUNDDOWN(Length_2!O14*I$3,$M$61),ROUNDUP(Length_2!O14*I$3,$M$61))</f>
        <v>#N/A</v>
      </c>
      <c r="AB31" s="123" t="e">
        <f t="shared" ca="1" si="7"/>
        <v>#N/A</v>
      </c>
      <c r="AC31" s="123" t="e">
        <f t="shared" ca="1" si="8"/>
        <v>#N/A</v>
      </c>
      <c r="AD31" s="189" t="e">
        <f t="shared" ca="1" si="9"/>
        <v>#N/A</v>
      </c>
      <c r="AE31" s="123" t="e">
        <f t="shared" ca="1" si="10"/>
        <v>#N/A</v>
      </c>
      <c r="AF31" s="123" t="str">
        <f t="shared" si="18"/>
        <v/>
      </c>
      <c r="AG31" s="372" t="e">
        <f t="shared" ca="1" si="19"/>
        <v>#N/A</v>
      </c>
    </row>
    <row r="32" spans="1:33" ht="15" customHeight="1">
      <c r="B32" s="127" t="b">
        <f>IF(TRIM(Length_2!A15)="",FALSE,TRUE)</f>
        <v>0</v>
      </c>
      <c r="C32" s="123" t="str">
        <f>IF($B32=FALSE,"",VALUE(Length_2!A15))</f>
        <v/>
      </c>
      <c r="D32" s="123" t="str">
        <f>IF($B32=FALSE,"",Length_2!B15)</f>
        <v/>
      </c>
      <c r="E32" s="128" t="str">
        <f>IF(B32=FALSE,"",Length_2!Q15)</f>
        <v/>
      </c>
      <c r="F32" s="128" t="str">
        <f>IF(B32=FALSE,"",Length_2!R15)</f>
        <v/>
      </c>
      <c r="G32" s="128" t="str">
        <f>IF(B32=FALSE,"",Length_2!S15)</f>
        <v/>
      </c>
      <c r="H32" s="128" t="str">
        <f>IF(B32=FALSE,"",Length_2!T15)</f>
        <v/>
      </c>
      <c r="I32" s="128" t="str">
        <f>IF(B32=FALSE,"",Length_2!U15)</f>
        <v/>
      </c>
      <c r="J32" s="129" t="str">
        <f t="shared" si="2"/>
        <v/>
      </c>
      <c r="K32" s="141" t="str">
        <f t="shared" si="3"/>
        <v/>
      </c>
      <c r="L32" s="130" t="str">
        <f>IF(B32=FALSE,"",Length_2!D39)</f>
        <v/>
      </c>
      <c r="M32" s="131" t="str">
        <f>IF(B32=FALSE,"",Calcu!J32*I$3)</f>
        <v/>
      </c>
      <c r="N32" s="145" t="str">
        <f t="shared" si="11"/>
        <v/>
      </c>
      <c r="O32" s="145" t="str">
        <f>IF(B32=FALSE,"",Length_2!O39)</f>
        <v/>
      </c>
      <c r="P32" s="145" t="str">
        <f t="shared" si="4"/>
        <v/>
      </c>
      <c r="Q32" s="123" t="str">
        <f t="shared" si="5"/>
        <v/>
      </c>
      <c r="R32" s="123" t="str">
        <f t="shared" si="6"/>
        <v/>
      </c>
      <c r="S32" s="123" t="str">
        <f t="shared" si="12"/>
        <v/>
      </c>
      <c r="T32" s="400" t="str">
        <f t="shared" si="13"/>
        <v/>
      </c>
      <c r="U32" s="132" t="str">
        <f t="shared" si="14"/>
        <v/>
      </c>
      <c r="V32" s="133" t="str">
        <f t="shared" si="15"/>
        <v/>
      </c>
      <c r="W32" s="123" t="str">
        <f t="shared" si="16"/>
        <v/>
      </c>
      <c r="X32" s="123" t="str">
        <f t="shared" si="17"/>
        <v/>
      </c>
      <c r="Y32" s="125"/>
      <c r="Z32" s="189" t="e">
        <f ca="1">IF(Length_2!N15&lt;0,ROUNDUP(Length_2!N15*I$3,$M$61),ROUNDDOWN(Length_2!N15*I$3,$M$61))</f>
        <v>#N/A</v>
      </c>
      <c r="AA32" s="189" t="e">
        <f ca="1">IF(Length_2!O15&lt;0,ROUNDDOWN(Length_2!O15*I$3,$M$61),ROUNDUP(Length_2!O15*I$3,$M$61))</f>
        <v>#N/A</v>
      </c>
      <c r="AB32" s="123" t="e">
        <f t="shared" ca="1" si="7"/>
        <v>#N/A</v>
      </c>
      <c r="AC32" s="123" t="e">
        <f t="shared" ca="1" si="8"/>
        <v>#N/A</v>
      </c>
      <c r="AD32" s="189" t="e">
        <f t="shared" ca="1" si="9"/>
        <v>#N/A</v>
      </c>
      <c r="AE32" s="123" t="e">
        <f t="shared" ca="1" si="10"/>
        <v>#N/A</v>
      </c>
      <c r="AF32" s="123" t="str">
        <f t="shared" si="18"/>
        <v/>
      </c>
      <c r="AG32" s="372" t="e">
        <f t="shared" ca="1" si="19"/>
        <v>#N/A</v>
      </c>
    </row>
    <row r="33" spans="1:33" ht="15" customHeight="1">
      <c r="B33" s="127" t="b">
        <f>IF(TRIM(Length_2!A16)="",FALSE,TRUE)</f>
        <v>0</v>
      </c>
      <c r="C33" s="123" t="str">
        <f>IF($B33=FALSE,"",VALUE(Length_2!A16))</f>
        <v/>
      </c>
      <c r="D33" s="123" t="str">
        <f>IF($B33=FALSE,"",Length_2!B16)</f>
        <v/>
      </c>
      <c r="E33" s="128" t="str">
        <f>IF(B33=FALSE,"",Length_2!Q16)</f>
        <v/>
      </c>
      <c r="F33" s="128" t="str">
        <f>IF(B33=FALSE,"",Length_2!R16)</f>
        <v/>
      </c>
      <c r="G33" s="128" t="str">
        <f>IF(B33=FALSE,"",Length_2!S16)</f>
        <v/>
      </c>
      <c r="H33" s="128" t="str">
        <f>IF(B33=FALSE,"",Length_2!T16)</f>
        <v/>
      </c>
      <c r="I33" s="128" t="str">
        <f>IF(B33=FALSE,"",Length_2!U16)</f>
        <v/>
      </c>
      <c r="J33" s="129" t="str">
        <f t="shared" si="2"/>
        <v/>
      </c>
      <c r="K33" s="141" t="str">
        <f t="shared" si="3"/>
        <v/>
      </c>
      <c r="L33" s="130" t="str">
        <f>IF(B33=FALSE,"",Length_2!D40)</f>
        <v/>
      </c>
      <c r="M33" s="131" t="str">
        <f>IF(B33=FALSE,"",Calcu!J33*I$3)</f>
        <v/>
      </c>
      <c r="N33" s="145" t="str">
        <f t="shared" si="11"/>
        <v/>
      </c>
      <c r="O33" s="145" t="str">
        <f>IF(B33=FALSE,"",Length_2!O40)</f>
        <v/>
      </c>
      <c r="P33" s="145" t="str">
        <f t="shared" si="4"/>
        <v/>
      </c>
      <c r="Q33" s="123" t="str">
        <f t="shared" si="5"/>
        <v/>
      </c>
      <c r="R33" s="123" t="str">
        <f t="shared" si="6"/>
        <v/>
      </c>
      <c r="S33" s="123" t="str">
        <f t="shared" si="12"/>
        <v/>
      </c>
      <c r="T33" s="400" t="str">
        <f t="shared" si="13"/>
        <v/>
      </c>
      <c r="U33" s="132" t="str">
        <f t="shared" si="14"/>
        <v/>
      </c>
      <c r="V33" s="133" t="str">
        <f t="shared" si="15"/>
        <v/>
      </c>
      <c r="W33" s="123" t="str">
        <f t="shared" si="16"/>
        <v/>
      </c>
      <c r="X33" s="123" t="str">
        <f t="shared" si="17"/>
        <v/>
      </c>
      <c r="Y33" s="125"/>
      <c r="Z33" s="189" t="e">
        <f ca="1">IF(Length_2!N16&lt;0,ROUNDUP(Length_2!N16*I$3,$M$61),ROUNDDOWN(Length_2!N16*I$3,$M$61))</f>
        <v>#N/A</v>
      </c>
      <c r="AA33" s="189" t="e">
        <f ca="1">IF(Length_2!O16&lt;0,ROUNDDOWN(Length_2!O16*I$3,$M$61),ROUNDUP(Length_2!O16*I$3,$M$61))</f>
        <v>#N/A</v>
      </c>
      <c r="AB33" s="123" t="e">
        <f t="shared" ca="1" si="7"/>
        <v>#N/A</v>
      </c>
      <c r="AC33" s="123" t="e">
        <f t="shared" ca="1" si="8"/>
        <v>#N/A</v>
      </c>
      <c r="AD33" s="189" t="e">
        <f t="shared" ca="1" si="9"/>
        <v>#N/A</v>
      </c>
      <c r="AE33" s="123" t="e">
        <f t="shared" ca="1" si="10"/>
        <v>#N/A</v>
      </c>
      <c r="AF33" s="123" t="str">
        <f t="shared" si="18"/>
        <v/>
      </c>
      <c r="AG33" s="372" t="e">
        <f t="shared" ca="1" si="19"/>
        <v>#N/A</v>
      </c>
    </row>
    <row r="34" spans="1:33" ht="15" customHeight="1">
      <c r="B34" s="127" t="b">
        <f>IF(TRIM(Length_2!A17)="",FALSE,TRUE)</f>
        <v>0</v>
      </c>
      <c r="C34" s="123" t="str">
        <f>IF($B34=FALSE,"",VALUE(Length_2!A17))</f>
        <v/>
      </c>
      <c r="D34" s="123" t="str">
        <f>IF($B34=FALSE,"",Length_2!B17)</f>
        <v/>
      </c>
      <c r="E34" s="128" t="str">
        <f>IF(B34=FALSE,"",Length_2!Q17)</f>
        <v/>
      </c>
      <c r="F34" s="128" t="str">
        <f>IF(B34=FALSE,"",Length_2!R17)</f>
        <v/>
      </c>
      <c r="G34" s="128" t="str">
        <f>IF(B34=FALSE,"",Length_2!S17)</f>
        <v/>
      </c>
      <c r="H34" s="128" t="str">
        <f>IF(B34=FALSE,"",Length_2!T17)</f>
        <v/>
      </c>
      <c r="I34" s="128" t="str">
        <f>IF(B34=FALSE,"",Length_2!U17)</f>
        <v/>
      </c>
      <c r="J34" s="129" t="str">
        <f t="shared" si="2"/>
        <v/>
      </c>
      <c r="K34" s="141" t="str">
        <f t="shared" si="3"/>
        <v/>
      </c>
      <c r="L34" s="130" t="str">
        <f>IF(B34=FALSE,"",Length_2!D41)</f>
        <v/>
      </c>
      <c r="M34" s="131" t="str">
        <f>IF(B34=FALSE,"",Calcu!J34*I$3)</f>
        <v/>
      </c>
      <c r="N34" s="145" t="str">
        <f t="shared" si="11"/>
        <v/>
      </c>
      <c r="O34" s="145" t="str">
        <f>IF(B34=FALSE,"",Length_2!O41)</f>
        <v/>
      </c>
      <c r="P34" s="145" t="str">
        <f t="shared" si="4"/>
        <v/>
      </c>
      <c r="Q34" s="123" t="str">
        <f t="shared" si="5"/>
        <v/>
      </c>
      <c r="R34" s="123" t="str">
        <f t="shared" si="6"/>
        <v/>
      </c>
      <c r="S34" s="123" t="str">
        <f t="shared" si="12"/>
        <v/>
      </c>
      <c r="T34" s="400" t="str">
        <f t="shared" si="13"/>
        <v/>
      </c>
      <c r="U34" s="132" t="str">
        <f t="shared" si="14"/>
        <v/>
      </c>
      <c r="V34" s="133" t="str">
        <f t="shared" si="15"/>
        <v/>
      </c>
      <c r="W34" s="123" t="str">
        <f t="shared" si="16"/>
        <v/>
      </c>
      <c r="X34" s="123" t="str">
        <f t="shared" si="17"/>
        <v/>
      </c>
      <c r="Y34" s="125"/>
      <c r="Z34" s="189" t="e">
        <f ca="1">IF(Length_2!N17&lt;0,ROUNDUP(Length_2!N17*I$3,$M$61),ROUNDDOWN(Length_2!N17*I$3,$M$61))</f>
        <v>#N/A</v>
      </c>
      <c r="AA34" s="189" t="e">
        <f ca="1">IF(Length_2!O17&lt;0,ROUNDDOWN(Length_2!O17*I$3,$M$61),ROUNDUP(Length_2!O17*I$3,$M$61))</f>
        <v>#N/A</v>
      </c>
      <c r="AB34" s="123" t="e">
        <f t="shared" ca="1" si="7"/>
        <v>#N/A</v>
      </c>
      <c r="AC34" s="123" t="e">
        <f t="shared" ca="1" si="8"/>
        <v>#N/A</v>
      </c>
      <c r="AD34" s="189" t="e">
        <f t="shared" ca="1" si="9"/>
        <v>#N/A</v>
      </c>
      <c r="AE34" s="123" t="e">
        <f t="shared" ca="1" si="10"/>
        <v>#N/A</v>
      </c>
      <c r="AF34" s="123" t="str">
        <f t="shared" si="18"/>
        <v/>
      </c>
      <c r="AG34" s="372" t="e">
        <f t="shared" ca="1" si="19"/>
        <v>#N/A</v>
      </c>
    </row>
    <row r="35" spans="1:33" ht="15" customHeight="1">
      <c r="B35" s="127" t="b">
        <f>IF(TRIM(Length_2!A18)="",FALSE,TRUE)</f>
        <v>0</v>
      </c>
      <c r="C35" s="123" t="str">
        <f>IF($B35=FALSE,"",VALUE(Length_2!A18))</f>
        <v/>
      </c>
      <c r="D35" s="123" t="str">
        <f>IF($B35=FALSE,"",Length_2!B18)</f>
        <v/>
      </c>
      <c r="E35" s="128" t="str">
        <f>IF(B35=FALSE,"",Length_2!Q18)</f>
        <v/>
      </c>
      <c r="F35" s="128" t="str">
        <f>IF(B35=FALSE,"",Length_2!R18)</f>
        <v/>
      </c>
      <c r="G35" s="128" t="str">
        <f>IF(B35=FALSE,"",Length_2!S18)</f>
        <v/>
      </c>
      <c r="H35" s="128" t="str">
        <f>IF(B35=FALSE,"",Length_2!T18)</f>
        <v/>
      </c>
      <c r="I35" s="128" t="str">
        <f>IF(B35=FALSE,"",Length_2!U18)</f>
        <v/>
      </c>
      <c r="J35" s="129" t="str">
        <f t="shared" si="2"/>
        <v/>
      </c>
      <c r="K35" s="141" t="str">
        <f t="shared" si="3"/>
        <v/>
      </c>
      <c r="L35" s="130" t="str">
        <f>IF(B35=FALSE,"",Length_2!D42)</f>
        <v/>
      </c>
      <c r="M35" s="131" t="str">
        <f>IF(B35=FALSE,"",Calcu!J35*I$3)</f>
        <v/>
      </c>
      <c r="N35" s="145" t="str">
        <f t="shared" si="11"/>
        <v/>
      </c>
      <c r="O35" s="145" t="str">
        <f>IF(B35=FALSE,"",Length_2!O42)</f>
        <v/>
      </c>
      <c r="P35" s="145" t="str">
        <f t="shared" si="4"/>
        <v/>
      </c>
      <c r="Q35" s="123" t="str">
        <f t="shared" si="5"/>
        <v/>
      </c>
      <c r="R35" s="123" t="str">
        <f t="shared" si="6"/>
        <v/>
      </c>
      <c r="S35" s="123" t="str">
        <f t="shared" si="12"/>
        <v/>
      </c>
      <c r="T35" s="400" t="str">
        <f t="shared" si="13"/>
        <v/>
      </c>
      <c r="U35" s="132" t="str">
        <f t="shared" si="14"/>
        <v/>
      </c>
      <c r="V35" s="133" t="str">
        <f t="shared" si="15"/>
        <v/>
      </c>
      <c r="W35" s="123" t="str">
        <f t="shared" si="16"/>
        <v/>
      </c>
      <c r="X35" s="123" t="str">
        <f t="shared" si="17"/>
        <v/>
      </c>
      <c r="Y35" s="125"/>
      <c r="Z35" s="189" t="e">
        <f ca="1">IF(Length_2!N18&lt;0,ROUNDUP(Length_2!N18*I$3,$M$61),ROUNDDOWN(Length_2!N18*I$3,$M$61))</f>
        <v>#N/A</v>
      </c>
      <c r="AA35" s="189" t="e">
        <f ca="1">IF(Length_2!O18&lt;0,ROUNDDOWN(Length_2!O18*I$3,$M$61),ROUNDUP(Length_2!O18*I$3,$M$61))</f>
        <v>#N/A</v>
      </c>
      <c r="AB35" s="123" t="e">
        <f t="shared" ca="1" si="7"/>
        <v>#N/A</v>
      </c>
      <c r="AC35" s="123" t="e">
        <f t="shared" ca="1" si="8"/>
        <v>#N/A</v>
      </c>
      <c r="AD35" s="189" t="e">
        <f t="shared" ca="1" si="9"/>
        <v>#N/A</v>
      </c>
      <c r="AE35" s="123" t="e">
        <f t="shared" ca="1" si="10"/>
        <v>#N/A</v>
      </c>
      <c r="AF35" s="123" t="str">
        <f t="shared" si="18"/>
        <v/>
      </c>
      <c r="AG35" s="372" t="e">
        <f t="shared" ca="1" si="19"/>
        <v>#N/A</v>
      </c>
    </row>
    <row r="36" spans="1:33" ht="15" customHeight="1">
      <c r="B36" s="127" t="b">
        <f>IF(TRIM(Length_2!A19)="",FALSE,TRUE)</f>
        <v>0</v>
      </c>
      <c r="C36" s="123" t="str">
        <f>IF($B36=FALSE,"",VALUE(Length_2!A19))</f>
        <v/>
      </c>
      <c r="D36" s="123" t="str">
        <f>IF($B36=FALSE,"",Length_2!B19)</f>
        <v/>
      </c>
      <c r="E36" s="128" t="str">
        <f>IF(B36=FALSE,"",Length_2!Q19)</f>
        <v/>
      </c>
      <c r="F36" s="128" t="str">
        <f>IF(B36=FALSE,"",Length_2!R19)</f>
        <v/>
      </c>
      <c r="G36" s="128" t="str">
        <f>IF(B36=FALSE,"",Length_2!S19)</f>
        <v/>
      </c>
      <c r="H36" s="128" t="str">
        <f>IF(B36=FALSE,"",Length_2!T19)</f>
        <v/>
      </c>
      <c r="I36" s="128" t="str">
        <f>IF(B36=FALSE,"",Length_2!U19)</f>
        <v/>
      </c>
      <c r="J36" s="129" t="str">
        <f t="shared" si="2"/>
        <v/>
      </c>
      <c r="K36" s="141" t="str">
        <f t="shared" si="3"/>
        <v/>
      </c>
      <c r="L36" s="130" t="str">
        <f>IF(B36=FALSE,"",Length_2!D43)</f>
        <v/>
      </c>
      <c r="M36" s="131" t="str">
        <f>IF(B36=FALSE,"",Calcu!J36*I$3)</f>
        <v/>
      </c>
      <c r="N36" s="145" t="str">
        <f t="shared" si="11"/>
        <v/>
      </c>
      <c r="O36" s="145" t="str">
        <f>IF(B36=FALSE,"",Length_2!O43)</f>
        <v/>
      </c>
      <c r="P36" s="145" t="str">
        <f t="shared" si="4"/>
        <v/>
      </c>
      <c r="Q36" s="123" t="str">
        <f t="shared" si="5"/>
        <v/>
      </c>
      <c r="R36" s="123" t="str">
        <f t="shared" si="6"/>
        <v/>
      </c>
      <c r="S36" s="123" t="str">
        <f t="shared" si="12"/>
        <v/>
      </c>
      <c r="T36" s="400" t="str">
        <f t="shared" si="13"/>
        <v/>
      </c>
      <c r="U36" s="132" t="str">
        <f t="shared" si="14"/>
        <v/>
      </c>
      <c r="V36" s="133" t="str">
        <f t="shared" si="15"/>
        <v/>
      </c>
      <c r="W36" s="123" t="str">
        <f t="shared" si="16"/>
        <v/>
      </c>
      <c r="X36" s="123" t="str">
        <f t="shared" si="17"/>
        <v/>
      </c>
      <c r="Y36" s="125"/>
      <c r="Z36" s="189" t="e">
        <f ca="1">IF(Length_2!N19&lt;0,ROUNDUP(Length_2!N19*I$3,$M$61),ROUNDDOWN(Length_2!N19*I$3,$M$61))</f>
        <v>#N/A</v>
      </c>
      <c r="AA36" s="189" t="e">
        <f ca="1">IF(Length_2!O19&lt;0,ROUNDDOWN(Length_2!O19*I$3,$M$61),ROUNDUP(Length_2!O19*I$3,$M$61))</f>
        <v>#N/A</v>
      </c>
      <c r="AB36" s="123" t="e">
        <f t="shared" ca="1" si="7"/>
        <v>#N/A</v>
      </c>
      <c r="AC36" s="123" t="e">
        <f t="shared" ca="1" si="8"/>
        <v>#N/A</v>
      </c>
      <c r="AD36" s="189" t="e">
        <f t="shared" ca="1" si="9"/>
        <v>#N/A</v>
      </c>
      <c r="AE36" s="123" t="e">
        <f t="shared" ca="1" si="10"/>
        <v>#N/A</v>
      </c>
      <c r="AF36" s="123" t="str">
        <f t="shared" si="18"/>
        <v/>
      </c>
      <c r="AG36" s="372" t="e">
        <f t="shared" ca="1" si="19"/>
        <v>#N/A</v>
      </c>
    </row>
    <row r="37" spans="1:33" ht="15" customHeight="1">
      <c r="B37" s="127" t="b">
        <f>IF(TRIM(Length_2!A20)="",FALSE,TRUE)</f>
        <v>0</v>
      </c>
      <c r="C37" s="123" t="str">
        <f>IF($B37=FALSE,"",VALUE(Length_2!A20))</f>
        <v/>
      </c>
      <c r="D37" s="123" t="str">
        <f>IF($B37=FALSE,"",Length_2!B20)</f>
        <v/>
      </c>
      <c r="E37" s="128" t="str">
        <f>IF(B37=FALSE,"",Length_2!Q20)</f>
        <v/>
      </c>
      <c r="F37" s="128" t="str">
        <f>IF(B37=FALSE,"",Length_2!R20)</f>
        <v/>
      </c>
      <c r="G37" s="128" t="str">
        <f>IF(B37=FALSE,"",Length_2!S20)</f>
        <v/>
      </c>
      <c r="H37" s="128" t="str">
        <f>IF(B37=FALSE,"",Length_2!T20)</f>
        <v/>
      </c>
      <c r="I37" s="128" t="str">
        <f>IF(B37=FALSE,"",Length_2!U20)</f>
        <v/>
      </c>
      <c r="J37" s="129" t="str">
        <f t="shared" si="2"/>
        <v/>
      </c>
      <c r="K37" s="141" t="str">
        <f t="shared" si="3"/>
        <v/>
      </c>
      <c r="L37" s="130" t="str">
        <f>IF(B37=FALSE,"",Length_2!D44)</f>
        <v/>
      </c>
      <c r="M37" s="131" t="str">
        <f>IF(B37=FALSE,"",Calcu!J37*I$3)</f>
        <v/>
      </c>
      <c r="N37" s="145" t="str">
        <f t="shared" si="11"/>
        <v/>
      </c>
      <c r="O37" s="145" t="str">
        <f>IF(B37=FALSE,"",Length_2!O44)</f>
        <v/>
      </c>
      <c r="P37" s="145" t="str">
        <f t="shared" si="4"/>
        <v/>
      </c>
      <c r="Q37" s="123" t="str">
        <f t="shared" si="5"/>
        <v/>
      </c>
      <c r="R37" s="123" t="str">
        <f t="shared" si="6"/>
        <v/>
      </c>
      <c r="S37" s="123" t="str">
        <f t="shared" si="12"/>
        <v/>
      </c>
      <c r="T37" s="400" t="str">
        <f t="shared" si="13"/>
        <v/>
      </c>
      <c r="U37" s="132" t="str">
        <f t="shared" si="14"/>
        <v/>
      </c>
      <c r="V37" s="133" t="str">
        <f t="shared" si="15"/>
        <v/>
      </c>
      <c r="W37" s="123" t="str">
        <f t="shared" si="16"/>
        <v/>
      </c>
      <c r="X37" s="123" t="str">
        <f t="shared" si="17"/>
        <v/>
      </c>
      <c r="Y37" s="125"/>
      <c r="Z37" s="189" t="e">
        <f ca="1">IF(Length_2!N20&lt;0,ROUNDUP(Length_2!N20*I$3,$M$61),ROUNDDOWN(Length_2!N20*I$3,$M$61))</f>
        <v>#N/A</v>
      </c>
      <c r="AA37" s="189" t="e">
        <f ca="1">IF(Length_2!O20&lt;0,ROUNDDOWN(Length_2!O20*I$3,$M$61),ROUNDUP(Length_2!O20*I$3,$M$61))</f>
        <v>#N/A</v>
      </c>
      <c r="AB37" s="123" t="e">
        <f t="shared" ca="1" si="7"/>
        <v>#N/A</v>
      </c>
      <c r="AC37" s="123" t="e">
        <f t="shared" ca="1" si="8"/>
        <v>#N/A</v>
      </c>
      <c r="AD37" s="189" t="e">
        <f t="shared" ca="1" si="9"/>
        <v>#N/A</v>
      </c>
      <c r="AE37" s="123" t="e">
        <f t="shared" ca="1" si="10"/>
        <v>#N/A</v>
      </c>
      <c r="AF37" s="123" t="str">
        <f t="shared" si="18"/>
        <v/>
      </c>
      <c r="AG37" s="372" t="e">
        <f t="shared" ca="1" si="19"/>
        <v>#N/A</v>
      </c>
    </row>
    <row r="38" spans="1:33" ht="15" customHeight="1">
      <c r="B38" s="127" t="b">
        <f>IF(TRIM(Length_2!A21)="",FALSE,TRUE)</f>
        <v>0</v>
      </c>
      <c r="C38" s="123" t="str">
        <f>IF($B38=FALSE,"",VALUE(Length_2!A21))</f>
        <v/>
      </c>
      <c r="D38" s="123" t="str">
        <f>IF($B38=FALSE,"",Length_2!B21)</f>
        <v/>
      </c>
      <c r="E38" s="128" t="str">
        <f>IF(B38=FALSE,"",Length_2!Q21)</f>
        <v/>
      </c>
      <c r="F38" s="128" t="str">
        <f>IF(B38=FALSE,"",Length_2!R21)</f>
        <v/>
      </c>
      <c r="G38" s="128" t="str">
        <f>IF(B38=FALSE,"",Length_2!S21)</f>
        <v/>
      </c>
      <c r="H38" s="128" t="str">
        <f>IF(B38=FALSE,"",Length_2!T21)</f>
        <v/>
      </c>
      <c r="I38" s="128" t="str">
        <f>IF(B38=FALSE,"",Length_2!U21)</f>
        <v/>
      </c>
      <c r="J38" s="129" t="str">
        <f t="shared" si="2"/>
        <v/>
      </c>
      <c r="K38" s="141" t="str">
        <f t="shared" si="3"/>
        <v/>
      </c>
      <c r="L38" s="130" t="str">
        <f>IF(B38=FALSE,"",Length_2!D45)</f>
        <v/>
      </c>
      <c r="M38" s="131" t="str">
        <f>IF(B38=FALSE,"",Calcu!J38*I$3)</f>
        <v/>
      </c>
      <c r="N38" s="145" t="str">
        <f t="shared" si="11"/>
        <v/>
      </c>
      <c r="O38" s="145" t="str">
        <f>IF(B38=FALSE,"",Length_2!O45)</f>
        <v/>
      </c>
      <c r="P38" s="145" t="str">
        <f t="shared" si="4"/>
        <v/>
      </c>
      <c r="Q38" s="123" t="str">
        <f t="shared" si="5"/>
        <v/>
      </c>
      <c r="R38" s="123" t="str">
        <f t="shared" si="6"/>
        <v/>
      </c>
      <c r="S38" s="123" t="str">
        <f t="shared" si="12"/>
        <v/>
      </c>
      <c r="T38" s="400" t="str">
        <f t="shared" si="13"/>
        <v/>
      </c>
      <c r="U38" s="132" t="str">
        <f t="shared" si="14"/>
        <v/>
      </c>
      <c r="V38" s="133" t="str">
        <f t="shared" si="15"/>
        <v/>
      </c>
      <c r="W38" s="123" t="str">
        <f t="shared" si="16"/>
        <v/>
      </c>
      <c r="X38" s="123" t="str">
        <f t="shared" si="17"/>
        <v/>
      </c>
      <c r="Y38" s="125"/>
      <c r="Z38" s="189" t="e">
        <f ca="1">IF(Length_2!N21&lt;0,ROUNDUP(Length_2!N21*I$3,$M$61),ROUNDDOWN(Length_2!N21*I$3,$M$61))</f>
        <v>#N/A</v>
      </c>
      <c r="AA38" s="189" t="e">
        <f ca="1">IF(Length_2!O21&lt;0,ROUNDDOWN(Length_2!O21*I$3,$M$61),ROUNDUP(Length_2!O21*I$3,$M$61))</f>
        <v>#N/A</v>
      </c>
      <c r="AB38" s="123" t="e">
        <f t="shared" ca="1" si="7"/>
        <v>#N/A</v>
      </c>
      <c r="AC38" s="123" t="e">
        <f t="shared" ca="1" si="8"/>
        <v>#N/A</v>
      </c>
      <c r="AD38" s="189" t="e">
        <f t="shared" ca="1" si="9"/>
        <v>#N/A</v>
      </c>
      <c r="AE38" s="123" t="e">
        <f t="shared" ca="1" si="10"/>
        <v>#N/A</v>
      </c>
      <c r="AF38" s="123" t="str">
        <f t="shared" si="18"/>
        <v/>
      </c>
      <c r="AG38" s="372" t="e">
        <f t="shared" ca="1" si="19"/>
        <v>#N/A</v>
      </c>
    </row>
    <row r="39" spans="1:33" ht="15" customHeight="1">
      <c r="B39" s="127" t="b">
        <f>IF(TRIM(Length_2!A22)="",FALSE,TRUE)</f>
        <v>0</v>
      </c>
      <c r="C39" s="123" t="str">
        <f>IF($B39=FALSE,"",VALUE(Length_2!A22))</f>
        <v/>
      </c>
      <c r="D39" s="123" t="str">
        <f>IF($B39=FALSE,"",Length_2!B22)</f>
        <v/>
      </c>
      <c r="E39" s="128" t="str">
        <f>IF(B39=FALSE,"",Length_2!Q22)</f>
        <v/>
      </c>
      <c r="F39" s="128" t="str">
        <f>IF(B39=FALSE,"",Length_2!R22)</f>
        <v/>
      </c>
      <c r="G39" s="128" t="str">
        <f>IF(B39=FALSE,"",Length_2!S22)</f>
        <v/>
      </c>
      <c r="H39" s="128" t="str">
        <f>IF(B39=FALSE,"",Length_2!T22)</f>
        <v/>
      </c>
      <c r="I39" s="128" t="str">
        <f>IF(B39=FALSE,"",Length_2!U22)</f>
        <v/>
      </c>
      <c r="J39" s="129" t="str">
        <f t="shared" si="2"/>
        <v/>
      </c>
      <c r="K39" s="141" t="str">
        <f t="shared" si="3"/>
        <v/>
      </c>
      <c r="L39" s="130" t="str">
        <f>IF(B39=FALSE,"",Length_2!D46)</f>
        <v/>
      </c>
      <c r="M39" s="131" t="str">
        <f>IF(B39=FALSE,"",Calcu!J39*I$3)</f>
        <v/>
      </c>
      <c r="N39" s="145" t="str">
        <f t="shared" si="11"/>
        <v/>
      </c>
      <c r="O39" s="145" t="str">
        <f>IF(B39=FALSE,"",Length_2!O46)</f>
        <v/>
      </c>
      <c r="P39" s="145" t="str">
        <f t="shared" si="4"/>
        <v/>
      </c>
      <c r="Q39" s="123" t="str">
        <f t="shared" si="5"/>
        <v/>
      </c>
      <c r="R39" s="123" t="str">
        <f t="shared" si="6"/>
        <v/>
      </c>
      <c r="S39" s="123" t="str">
        <f t="shared" si="12"/>
        <v/>
      </c>
      <c r="T39" s="400" t="str">
        <f t="shared" si="13"/>
        <v/>
      </c>
      <c r="U39" s="132" t="str">
        <f t="shared" si="14"/>
        <v/>
      </c>
      <c r="V39" s="133" t="str">
        <f t="shared" si="15"/>
        <v/>
      </c>
      <c r="W39" s="123" t="str">
        <f t="shared" si="16"/>
        <v/>
      </c>
      <c r="X39" s="123" t="str">
        <f t="shared" si="17"/>
        <v/>
      </c>
      <c r="Y39" s="125"/>
      <c r="Z39" s="189" t="e">
        <f ca="1">IF(Length_2!N22&lt;0,ROUNDUP(Length_2!N22*I$3,$M$61),ROUNDDOWN(Length_2!N22*I$3,$M$61))</f>
        <v>#N/A</v>
      </c>
      <c r="AA39" s="189" t="e">
        <f ca="1">IF(Length_2!O22&lt;0,ROUNDDOWN(Length_2!O22*I$3,$M$61),ROUNDUP(Length_2!O22*I$3,$M$61))</f>
        <v>#N/A</v>
      </c>
      <c r="AB39" s="123" t="e">
        <f t="shared" ca="1" si="7"/>
        <v>#N/A</v>
      </c>
      <c r="AC39" s="123" t="e">
        <f t="shared" ca="1" si="8"/>
        <v>#N/A</v>
      </c>
      <c r="AD39" s="189" t="e">
        <f t="shared" ca="1" si="9"/>
        <v>#N/A</v>
      </c>
      <c r="AE39" s="123" t="e">
        <f t="shared" ca="1" si="10"/>
        <v>#N/A</v>
      </c>
      <c r="AF39" s="123" t="str">
        <f t="shared" si="18"/>
        <v/>
      </c>
      <c r="AG39" s="372" t="e">
        <f t="shared" ca="1" si="19"/>
        <v>#N/A</v>
      </c>
    </row>
    <row r="40" spans="1:33" ht="15" customHeight="1">
      <c r="B40" s="127" t="b">
        <f>IF(TRIM(Length_2!A23)="",FALSE,TRUE)</f>
        <v>0</v>
      </c>
      <c r="C40" s="123" t="str">
        <f>IF($B40=FALSE,"",VALUE(Length_2!A23))</f>
        <v/>
      </c>
      <c r="D40" s="123" t="str">
        <f>IF($B40=FALSE,"",Length_2!B23)</f>
        <v/>
      </c>
      <c r="E40" s="128" t="str">
        <f>IF(B40=FALSE,"",Length_2!Q23)</f>
        <v/>
      </c>
      <c r="F40" s="128" t="str">
        <f>IF(B40=FALSE,"",Length_2!R23)</f>
        <v/>
      </c>
      <c r="G40" s="128" t="str">
        <f>IF(B40=FALSE,"",Length_2!S23)</f>
        <v/>
      </c>
      <c r="H40" s="128" t="str">
        <f>IF(B40=FALSE,"",Length_2!T23)</f>
        <v/>
      </c>
      <c r="I40" s="128" t="str">
        <f>IF(B40=FALSE,"",Length_2!U23)</f>
        <v/>
      </c>
      <c r="J40" s="129" t="str">
        <f t="shared" si="2"/>
        <v/>
      </c>
      <c r="K40" s="141" t="str">
        <f t="shared" si="3"/>
        <v/>
      </c>
      <c r="L40" s="130" t="str">
        <f>IF(B40=FALSE,"",Length_2!D47)</f>
        <v/>
      </c>
      <c r="M40" s="131" t="str">
        <f>IF(B40=FALSE,"",Calcu!J40*I$3)</f>
        <v/>
      </c>
      <c r="N40" s="145" t="str">
        <f t="shared" si="11"/>
        <v/>
      </c>
      <c r="O40" s="145" t="str">
        <f>IF(B40=FALSE,"",Length_2!O47)</f>
        <v/>
      </c>
      <c r="P40" s="145" t="str">
        <f t="shared" si="4"/>
        <v/>
      </c>
      <c r="Q40" s="123" t="str">
        <f t="shared" si="5"/>
        <v/>
      </c>
      <c r="R40" s="123" t="str">
        <f t="shared" si="6"/>
        <v/>
      </c>
      <c r="S40" s="123" t="str">
        <f t="shared" si="12"/>
        <v/>
      </c>
      <c r="T40" s="400" t="str">
        <f t="shared" si="13"/>
        <v/>
      </c>
      <c r="U40" s="132" t="str">
        <f t="shared" si="14"/>
        <v/>
      </c>
      <c r="V40" s="133" t="str">
        <f t="shared" si="15"/>
        <v/>
      </c>
      <c r="W40" s="123" t="str">
        <f t="shared" si="16"/>
        <v/>
      </c>
      <c r="X40" s="123" t="str">
        <f t="shared" si="17"/>
        <v/>
      </c>
      <c r="Y40" s="125"/>
      <c r="Z40" s="189" t="e">
        <f ca="1">IF(Length_2!N23&lt;0,ROUNDUP(Length_2!N23*I$3,$M$61),ROUNDDOWN(Length_2!N23*I$3,$M$61))</f>
        <v>#N/A</v>
      </c>
      <c r="AA40" s="189" t="e">
        <f ca="1">IF(Length_2!O23&lt;0,ROUNDDOWN(Length_2!O23*I$3,$M$61),ROUNDUP(Length_2!O23*I$3,$M$61))</f>
        <v>#N/A</v>
      </c>
      <c r="AB40" s="123" t="e">
        <f t="shared" ca="1" si="7"/>
        <v>#N/A</v>
      </c>
      <c r="AC40" s="123" t="e">
        <f t="shared" ca="1" si="8"/>
        <v>#N/A</v>
      </c>
      <c r="AD40" s="189" t="e">
        <f t="shared" ca="1" si="9"/>
        <v>#N/A</v>
      </c>
      <c r="AE40" s="123" t="e">
        <f t="shared" ca="1" si="10"/>
        <v>#N/A</v>
      </c>
      <c r="AF40" s="123" t="str">
        <f t="shared" si="18"/>
        <v/>
      </c>
      <c r="AG40" s="372" t="e">
        <f t="shared" ca="1" si="19"/>
        <v>#N/A</v>
      </c>
    </row>
    <row r="41" spans="1:33" ht="15" customHeight="1">
      <c r="B41" s="127" t="b">
        <f>IF(TRIM(Length_2!A24)="",FALSE,TRUE)</f>
        <v>0</v>
      </c>
      <c r="C41" s="123" t="str">
        <f>IF($B41=FALSE,"",VALUE(Length_2!A24))</f>
        <v/>
      </c>
      <c r="D41" s="123" t="str">
        <f>IF($B41=FALSE,"",Length_2!B24)</f>
        <v/>
      </c>
      <c r="E41" s="128" t="str">
        <f>IF(B41=FALSE,"",Length_2!Q24)</f>
        <v/>
      </c>
      <c r="F41" s="128" t="str">
        <f>IF(B41=FALSE,"",Length_2!R24)</f>
        <v/>
      </c>
      <c r="G41" s="128" t="str">
        <f>IF(B41=FALSE,"",Length_2!S24)</f>
        <v/>
      </c>
      <c r="H41" s="128" t="str">
        <f>IF(B41=FALSE,"",Length_2!T24)</f>
        <v/>
      </c>
      <c r="I41" s="128" t="str">
        <f>IF(B41=FALSE,"",Length_2!U24)</f>
        <v/>
      </c>
      <c r="J41" s="129" t="str">
        <f t="shared" si="2"/>
        <v/>
      </c>
      <c r="K41" s="141" t="str">
        <f t="shared" si="3"/>
        <v/>
      </c>
      <c r="L41" s="130" t="str">
        <f>IF(B41=FALSE,"",Length_2!D48)</f>
        <v/>
      </c>
      <c r="M41" s="131" t="str">
        <f>IF(B41=FALSE,"",Calcu!J41*I$3)</f>
        <v/>
      </c>
      <c r="N41" s="145" t="str">
        <f t="shared" si="11"/>
        <v/>
      </c>
      <c r="O41" s="145" t="str">
        <f>IF(B41=FALSE,"",Length_2!O48)</f>
        <v/>
      </c>
      <c r="P41" s="145" t="str">
        <f t="shared" si="4"/>
        <v/>
      </c>
      <c r="Q41" s="123" t="str">
        <f t="shared" si="5"/>
        <v/>
      </c>
      <c r="R41" s="123" t="str">
        <f t="shared" si="6"/>
        <v/>
      </c>
      <c r="S41" s="123" t="str">
        <f t="shared" si="12"/>
        <v/>
      </c>
      <c r="T41" s="400" t="str">
        <f t="shared" si="13"/>
        <v/>
      </c>
      <c r="U41" s="132" t="str">
        <f t="shared" si="14"/>
        <v/>
      </c>
      <c r="V41" s="133" t="str">
        <f t="shared" si="15"/>
        <v/>
      </c>
      <c r="W41" s="123" t="str">
        <f t="shared" si="16"/>
        <v/>
      </c>
      <c r="X41" s="123" t="str">
        <f t="shared" si="17"/>
        <v/>
      </c>
      <c r="Y41" s="125"/>
      <c r="Z41" s="189" t="e">
        <f ca="1">IF(Length_2!N24&lt;0,ROUNDUP(Length_2!N24*I$3,$M$61),ROUNDDOWN(Length_2!N24*I$3,$M$61))</f>
        <v>#N/A</v>
      </c>
      <c r="AA41" s="189" t="e">
        <f ca="1">IF(Length_2!O24&lt;0,ROUNDDOWN(Length_2!O24*I$3,$M$61),ROUNDUP(Length_2!O24*I$3,$M$61))</f>
        <v>#N/A</v>
      </c>
      <c r="AB41" s="123" t="e">
        <f t="shared" ca="1" si="7"/>
        <v>#N/A</v>
      </c>
      <c r="AC41" s="123" t="e">
        <f t="shared" ca="1" si="8"/>
        <v>#N/A</v>
      </c>
      <c r="AD41" s="189" t="e">
        <f t="shared" ca="1" si="9"/>
        <v>#N/A</v>
      </c>
      <c r="AE41" s="123" t="e">
        <f t="shared" ca="1" si="10"/>
        <v>#N/A</v>
      </c>
      <c r="AF41" s="123" t="str">
        <f t="shared" si="18"/>
        <v/>
      </c>
      <c r="AG41" s="372" t="e">
        <f t="shared" ca="1" si="19"/>
        <v>#N/A</v>
      </c>
    </row>
    <row r="42" spans="1:33" ht="15" customHeight="1">
      <c r="N42" s="120"/>
      <c r="O42" s="120"/>
      <c r="P42" s="120"/>
      <c r="Q42" s="120"/>
      <c r="R42" s="120"/>
      <c r="S42" s="120"/>
      <c r="T42" s="120"/>
      <c r="X42" s="120"/>
    </row>
    <row r="43" spans="1:33" ht="15" customHeight="1">
      <c r="A43" s="118" t="s">
        <v>156</v>
      </c>
      <c r="C43" s="119"/>
      <c r="D43" s="119"/>
      <c r="E43" s="125"/>
      <c r="F43" s="125"/>
      <c r="G43" s="125"/>
      <c r="H43" s="125"/>
      <c r="I43" s="125"/>
      <c r="J43" s="125"/>
      <c r="K43" s="125"/>
      <c r="L43" s="125"/>
      <c r="M43" s="125"/>
      <c r="N43" s="125"/>
      <c r="O43" s="125"/>
      <c r="P43" s="125"/>
      <c r="Q43" s="125"/>
      <c r="R43" s="125"/>
      <c r="S43" s="125"/>
      <c r="T43" s="125"/>
    </row>
    <row r="44" spans="1:33" ht="15" customHeight="1">
      <c r="A44" s="118"/>
      <c r="B44" s="740"/>
      <c r="C44" s="740" t="s">
        <v>377</v>
      </c>
      <c r="D44" s="746" t="s">
        <v>158</v>
      </c>
      <c r="E44" s="740" t="s">
        <v>378</v>
      </c>
      <c r="F44" s="740" t="s">
        <v>60</v>
      </c>
      <c r="G44" s="751">
        <v>1</v>
      </c>
      <c r="H44" s="752"/>
      <c r="I44" s="752"/>
      <c r="J44" s="752"/>
      <c r="K44" s="752"/>
      <c r="L44" s="753"/>
      <c r="M44" s="179">
        <v>2</v>
      </c>
      <c r="N44" s="751">
        <v>3</v>
      </c>
      <c r="O44" s="752"/>
      <c r="P44" s="752"/>
      <c r="Q44" s="753"/>
      <c r="R44" s="751">
        <v>4</v>
      </c>
      <c r="S44" s="752"/>
      <c r="T44" s="753"/>
      <c r="U44" s="179">
        <v>5</v>
      </c>
      <c r="V44" s="740" t="s">
        <v>160</v>
      </c>
      <c r="W44" s="740" t="s">
        <v>511</v>
      </c>
      <c r="X44" s="399" t="s">
        <v>631</v>
      </c>
      <c r="Y44" s="404" t="s">
        <v>636</v>
      </c>
    </row>
    <row r="45" spans="1:33" ht="15" customHeight="1">
      <c r="A45" s="118"/>
      <c r="B45" s="744"/>
      <c r="C45" s="745"/>
      <c r="D45" s="738"/>
      <c r="E45" s="745"/>
      <c r="F45" s="745"/>
      <c r="G45" s="399" t="s">
        <v>633</v>
      </c>
      <c r="H45" s="399" t="s">
        <v>379</v>
      </c>
      <c r="I45" s="399" t="s">
        <v>634</v>
      </c>
      <c r="J45" s="760" t="s">
        <v>160</v>
      </c>
      <c r="K45" s="761"/>
      <c r="L45" s="762"/>
      <c r="M45" s="266" t="s">
        <v>161</v>
      </c>
      <c r="N45" s="760" t="s">
        <v>159</v>
      </c>
      <c r="O45" s="762"/>
      <c r="P45" s="760" t="s">
        <v>224</v>
      </c>
      <c r="Q45" s="762"/>
      <c r="R45" s="760" t="s">
        <v>380</v>
      </c>
      <c r="S45" s="761"/>
      <c r="T45" s="762"/>
      <c r="U45" s="266" t="s">
        <v>162</v>
      </c>
      <c r="V45" s="745"/>
      <c r="W45" s="766"/>
      <c r="X45" s="399" t="s">
        <v>632</v>
      </c>
      <c r="Y45" s="404" t="s">
        <v>637</v>
      </c>
    </row>
    <row r="46" spans="1:33" ht="15" customHeight="1">
      <c r="B46" s="265" t="s">
        <v>165</v>
      </c>
      <c r="C46" s="292" t="s">
        <v>381</v>
      </c>
      <c r="D46" s="293" t="s">
        <v>455</v>
      </c>
      <c r="E46" s="294" t="s">
        <v>454</v>
      </c>
      <c r="F46" s="295" t="s">
        <v>454</v>
      </c>
      <c r="G46" s="296" t="e">
        <f>VLOOKUP(K3,Length_2!B28:AA48,15,FALSE)</f>
        <v>#N/A</v>
      </c>
      <c r="H46" s="296" t="e">
        <f>VLOOKUP(K3,Length_2!B28:AA48,16,FALSE)</f>
        <v>#N/A</v>
      </c>
      <c r="I46" s="296" t="e">
        <f>VLOOKUP(K3,Length_2!B28:AA48,26,FALSE)</f>
        <v>#N/A</v>
      </c>
      <c r="J46" s="311" t="e">
        <f>VLOOKUP(K3,B82:U102,14,FALSE)</f>
        <v>#N/A</v>
      </c>
      <c r="K46" s="312" t="e">
        <f>VLOOKUP(K3,B82:U102,15,FALSE)</f>
        <v>#N/A</v>
      </c>
      <c r="L46" s="297" t="s">
        <v>237</v>
      </c>
      <c r="M46" s="298" t="s">
        <v>358</v>
      </c>
      <c r="N46" s="299"/>
      <c r="O46" s="299"/>
      <c r="P46" s="310">
        <v>1</v>
      </c>
      <c r="Q46" s="299"/>
      <c r="R46" s="425" t="e">
        <f t="shared" ref="R46:R47" si="20">ABS(J46*P46)</f>
        <v>#N/A</v>
      </c>
      <c r="S46" s="426" t="e">
        <f t="shared" ref="S46:S47" si="21">ABS(K46*P46)</f>
        <v>#N/A</v>
      </c>
      <c r="T46" s="297" t="s">
        <v>237</v>
      </c>
      <c r="U46" s="300" t="s">
        <v>355</v>
      </c>
      <c r="V46" s="429"/>
      <c r="W46" s="300"/>
      <c r="X46" s="406"/>
      <c r="Y46" s="406"/>
    </row>
    <row r="47" spans="1:33" ht="15" customHeight="1">
      <c r="B47" s="265" t="s">
        <v>166</v>
      </c>
      <c r="C47" s="301" t="s">
        <v>382</v>
      </c>
      <c r="D47" s="302" t="s">
        <v>456</v>
      </c>
      <c r="E47" s="303" t="s">
        <v>454</v>
      </c>
      <c r="F47" s="304" t="s">
        <v>454</v>
      </c>
      <c r="G47" s="305">
        <f>VLOOKUP(K3,B82:P102,13,FALSE)</f>
        <v>0</v>
      </c>
      <c r="H47" s="305">
        <v>2</v>
      </c>
      <c r="I47" s="306">
        <f>IF(MAX(K20:K40)=0,3,5)</f>
        <v>3</v>
      </c>
      <c r="J47" s="314">
        <f>G47/H47/SQRT(I47)</f>
        <v>0</v>
      </c>
      <c r="K47" s="315"/>
      <c r="L47" s="307" t="s">
        <v>237</v>
      </c>
      <c r="M47" s="308" t="s">
        <v>89</v>
      </c>
      <c r="N47" s="305"/>
      <c r="O47" s="305"/>
      <c r="P47" s="313">
        <v>1</v>
      </c>
      <c r="Q47" s="305"/>
      <c r="R47" s="427">
        <f t="shared" si="20"/>
        <v>0</v>
      </c>
      <c r="S47" s="428">
        <f t="shared" si="21"/>
        <v>0</v>
      </c>
      <c r="T47" s="307" t="s">
        <v>237</v>
      </c>
      <c r="U47" s="309" t="s">
        <v>355</v>
      </c>
      <c r="V47" s="430"/>
      <c r="W47" s="334"/>
      <c r="X47" s="406"/>
      <c r="Y47" s="406"/>
    </row>
    <row r="48" spans="1:33" ht="15" customHeight="1">
      <c r="B48" s="265" t="s">
        <v>227</v>
      </c>
      <c r="C48" s="279" t="s">
        <v>452</v>
      </c>
      <c r="D48" s="280" t="s">
        <v>453</v>
      </c>
      <c r="E48" s="281" t="e">
        <f ca="1">OFFSET(L$20,MATCH(K$3,U$21:U$41,0),0)</f>
        <v>#N/A</v>
      </c>
      <c r="F48" s="282" t="s">
        <v>214</v>
      </c>
      <c r="G48" s="283"/>
      <c r="H48" s="283"/>
      <c r="I48" s="284"/>
      <c r="J48" s="285" t="e">
        <f>SQRT(SUMSQ(J46:J47))</f>
        <v>#N/A</v>
      </c>
      <c r="K48" s="285" t="e">
        <f>SQRT(SUMSQ(K46:K47))</f>
        <v>#N/A</v>
      </c>
      <c r="L48" s="286" t="s">
        <v>130</v>
      </c>
      <c r="M48" s="287" t="s">
        <v>358</v>
      </c>
      <c r="N48" s="283"/>
      <c r="O48" s="283"/>
      <c r="P48" s="288">
        <v>1</v>
      </c>
      <c r="Q48" s="283"/>
      <c r="R48" s="289" t="e">
        <f>ABS(J48*P48)</f>
        <v>#N/A</v>
      </c>
      <c r="S48" s="290" t="e">
        <f>ABS(K48*P48)</f>
        <v>#N/A</v>
      </c>
      <c r="T48" s="286" t="s">
        <v>130</v>
      </c>
      <c r="U48" s="291" t="s">
        <v>355</v>
      </c>
      <c r="V48" s="288" t="e">
        <f>SQRT(SUMSQ(R48,S48*K$3))</f>
        <v>#N/A</v>
      </c>
      <c r="W48" s="335">
        <f t="shared" ref="W48:W56" si="22">IF(U48="∞",0,V48^4/U48)</f>
        <v>0</v>
      </c>
      <c r="X48" s="401" t="str">
        <f t="shared" ref="X48:X56" si="23">IF(OR(M48="직사각형",M48="삼각형"),V48,"")</f>
        <v/>
      </c>
      <c r="Y48" s="401" t="e">
        <f t="shared" ref="Y48:Y56" si="24">IF(OR(M48="직사각형",M48="삼각형"),"",V48)</f>
        <v>#N/A</v>
      </c>
    </row>
    <row r="49" spans="2:25" ht="15" customHeight="1">
      <c r="B49" s="179" t="s">
        <v>79</v>
      </c>
      <c r="C49" s="267" t="s">
        <v>383</v>
      </c>
      <c r="D49" s="268" t="s">
        <v>354</v>
      </c>
      <c r="E49" s="269" t="e">
        <f ca="1">OFFSET(M$20,MATCH(K$3,U$21:U$41,0),0)</f>
        <v>#N/A</v>
      </c>
      <c r="F49" s="270" t="s">
        <v>214</v>
      </c>
      <c r="G49" s="271">
        <f>IF(MAX(K21:K41)=0,O3*1000,MAX(K21:K41)*1000)</f>
        <v>0</v>
      </c>
      <c r="H49" s="271">
        <f>IF(MAX(K21:K41)=0,2,1)</f>
        <v>2</v>
      </c>
      <c r="I49" s="273">
        <f>IF(MAX(K21:K41)=0,3,5)</f>
        <v>3</v>
      </c>
      <c r="J49" s="421">
        <f>G49/(IF(H49="",1,H49)*SQRT(I49))</f>
        <v>0</v>
      </c>
      <c r="K49" s="275"/>
      <c r="L49" s="272" t="s">
        <v>237</v>
      </c>
      <c r="M49" s="276" t="str">
        <f>IF(MAX(K21:K41)=0,"직사각형","t")</f>
        <v>직사각형</v>
      </c>
      <c r="N49" s="271"/>
      <c r="O49" s="271"/>
      <c r="P49" s="277">
        <v>-1</v>
      </c>
      <c r="Q49" s="271"/>
      <c r="R49" s="278">
        <f t="shared" ref="R49:R56" si="25">ABS(J49*P49)</f>
        <v>0</v>
      </c>
      <c r="S49" s="211">
        <f t="shared" ref="S49:S56" si="26">ABS(K49*P49)</f>
        <v>0</v>
      </c>
      <c r="T49" s="272" t="s">
        <v>237</v>
      </c>
      <c r="U49" s="271" t="str">
        <f>IF(MAX(K21:K41)=0,"∞",I49-1)</f>
        <v>∞</v>
      </c>
      <c r="V49" s="274">
        <f t="shared" ref="V49:V56" si="27">SQRT(SUMSQ(R49,S49*K$3))</f>
        <v>0</v>
      </c>
      <c r="W49" s="336">
        <f t="shared" si="22"/>
        <v>0</v>
      </c>
      <c r="X49" s="401">
        <f t="shared" si="23"/>
        <v>0</v>
      </c>
      <c r="Y49" s="401" t="str">
        <f t="shared" si="24"/>
        <v/>
      </c>
    </row>
    <row r="50" spans="2:25" ht="15" customHeight="1">
      <c r="B50" s="179" t="s">
        <v>228</v>
      </c>
      <c r="C50" s="195" t="s">
        <v>384</v>
      </c>
      <c r="D50" s="196" t="s">
        <v>123</v>
      </c>
      <c r="E50" s="208" t="e">
        <f ca="1">OFFSET(P$20,MATCH(K$3,U$21:U$41,0),0)</f>
        <v>#N/A</v>
      </c>
      <c r="F50" s="197" t="s">
        <v>385</v>
      </c>
      <c r="G50" s="208">
        <f>1*10^-6</f>
        <v>9.9999999999999995E-7</v>
      </c>
      <c r="H50" s="271"/>
      <c r="I50" s="207">
        <v>3</v>
      </c>
      <c r="J50" s="422"/>
      <c r="K50" s="422">
        <f>SQRT((G50/SQRT(I50)/2)^2+(G50/SQRT(I50)/2)^2)</f>
        <v>4.0824829046386305E-7</v>
      </c>
      <c r="L50" s="197" t="s">
        <v>386</v>
      </c>
      <c r="M50" s="199" t="s">
        <v>587</v>
      </c>
      <c r="N50" s="198" t="e">
        <f>-MAX(ABS(E51),0.3)</f>
        <v>#VALUE!</v>
      </c>
      <c r="O50" s="189" t="s">
        <v>630</v>
      </c>
      <c r="P50" s="200" t="e">
        <f>-N50*1000</f>
        <v>#VALUE!</v>
      </c>
      <c r="Q50" s="189" t="s">
        <v>387</v>
      </c>
      <c r="R50" s="278" t="e">
        <f t="shared" si="25"/>
        <v>#VALUE!</v>
      </c>
      <c r="S50" s="211" t="e">
        <f t="shared" si="26"/>
        <v>#VALUE!</v>
      </c>
      <c r="T50" s="198" t="s">
        <v>237</v>
      </c>
      <c r="U50" s="189">
        <f>K50^4/SUM((G50/SQRT(3)/2)^4/(1/2*(100/10)^2),(G50/SQRT(3)/2)^4/(1/2*(100/10)^2))</f>
        <v>100.00000000000004</v>
      </c>
      <c r="V50" s="206" t="e">
        <f t="shared" si="27"/>
        <v>#VALUE!</v>
      </c>
      <c r="W50" s="190" t="e">
        <f t="shared" si="22"/>
        <v>#VALUE!</v>
      </c>
      <c r="X50" s="401" t="e">
        <f t="shared" si="23"/>
        <v>#VALUE!</v>
      </c>
      <c r="Y50" s="401" t="str">
        <f t="shared" si="24"/>
        <v/>
      </c>
    </row>
    <row r="51" spans="2:25" ht="15" customHeight="1">
      <c r="B51" s="179" t="s">
        <v>229</v>
      </c>
      <c r="C51" s="195" t="s">
        <v>388</v>
      </c>
      <c r="D51" s="196" t="s">
        <v>125</v>
      </c>
      <c r="E51" s="198" t="str">
        <f>Q21</f>
        <v/>
      </c>
      <c r="F51" s="197" t="s">
        <v>389</v>
      </c>
      <c r="G51" s="198">
        <f>IF(기본정보!H12=1,1,0.3)</f>
        <v>0.3</v>
      </c>
      <c r="H51" s="373"/>
      <c r="I51" s="207">
        <v>3</v>
      </c>
      <c r="J51" s="421"/>
      <c r="K51" s="421">
        <f>G51/(IF(H51="",1,H51)*SQRT(I51))</f>
        <v>0.17320508075688773</v>
      </c>
      <c r="L51" s="197" t="s">
        <v>389</v>
      </c>
      <c r="M51" s="199" t="s">
        <v>89</v>
      </c>
      <c r="N51" s="208" t="e">
        <f ca="1">-E50</f>
        <v>#N/A</v>
      </c>
      <c r="O51" s="189" t="s">
        <v>630</v>
      </c>
      <c r="P51" s="200" t="e">
        <f ca="1">-N51*1000</f>
        <v>#N/A</v>
      </c>
      <c r="Q51" s="189" t="s">
        <v>390</v>
      </c>
      <c r="R51" s="278" t="e">
        <f t="shared" ca="1" si="25"/>
        <v>#N/A</v>
      </c>
      <c r="S51" s="211" t="e">
        <f t="shared" ca="1" si="26"/>
        <v>#N/A</v>
      </c>
      <c r="T51" s="198" t="s">
        <v>391</v>
      </c>
      <c r="U51" s="189" t="s">
        <v>355</v>
      </c>
      <c r="V51" s="206" t="e">
        <f t="shared" ca="1" si="27"/>
        <v>#N/A</v>
      </c>
      <c r="W51" s="190">
        <f t="shared" si="22"/>
        <v>0</v>
      </c>
      <c r="X51" s="401" t="e">
        <f t="shared" ca="1" si="23"/>
        <v>#N/A</v>
      </c>
      <c r="Y51" s="401" t="str">
        <f t="shared" si="24"/>
        <v/>
      </c>
    </row>
    <row r="52" spans="2:25" ht="15" customHeight="1">
      <c r="B52" s="179" t="s">
        <v>230</v>
      </c>
      <c r="C52" s="195" t="s">
        <v>132</v>
      </c>
      <c r="D52" s="196" t="s">
        <v>124</v>
      </c>
      <c r="E52" s="209" t="e">
        <f ca="1">OFFSET(R$20,MATCH(K$3,U$21:U$41,0),0)</f>
        <v>#N/A</v>
      </c>
      <c r="F52" s="197" t="s">
        <v>392</v>
      </c>
      <c r="G52" s="208">
        <f>1*10^-6</f>
        <v>9.9999999999999995E-7</v>
      </c>
      <c r="H52" s="373"/>
      <c r="I52" s="207">
        <v>3</v>
      </c>
      <c r="J52" s="422"/>
      <c r="K52" s="422">
        <f>SQRT((G52/SQRT(I52))^2+(G52/SQRT(I52))^2)</f>
        <v>8.1649658092772609E-7</v>
      </c>
      <c r="L52" s="197" t="s">
        <v>392</v>
      </c>
      <c r="M52" s="199" t="s">
        <v>587</v>
      </c>
      <c r="N52" s="198" t="e">
        <f>-MAX(ABS(E53),0.3)</f>
        <v>#VALUE!</v>
      </c>
      <c r="O52" s="189" t="s">
        <v>630</v>
      </c>
      <c r="P52" s="200" t="e">
        <f>-N52*1000</f>
        <v>#VALUE!</v>
      </c>
      <c r="Q52" s="189" t="s">
        <v>251</v>
      </c>
      <c r="R52" s="278" t="e">
        <f t="shared" si="25"/>
        <v>#VALUE!</v>
      </c>
      <c r="S52" s="211" t="e">
        <f t="shared" si="26"/>
        <v>#VALUE!</v>
      </c>
      <c r="T52" s="198" t="s">
        <v>237</v>
      </c>
      <c r="U52" s="189">
        <f>K52^4/SUM((G52/SQRT(3))^4/(1/2*(100/10)^2),(G52/SQRT(3))^4/(1/2*(100/10)^2))</f>
        <v>100.00000000000004</v>
      </c>
      <c r="V52" s="206" t="e">
        <f t="shared" si="27"/>
        <v>#VALUE!</v>
      </c>
      <c r="W52" s="190" t="e">
        <f t="shared" si="22"/>
        <v>#VALUE!</v>
      </c>
      <c r="X52" s="401" t="e">
        <f t="shared" si="23"/>
        <v>#VALUE!</v>
      </c>
      <c r="Y52" s="401" t="str">
        <f t="shared" si="24"/>
        <v/>
      </c>
    </row>
    <row r="53" spans="2:25" ht="15" customHeight="1">
      <c r="B53" s="179" t="s">
        <v>167</v>
      </c>
      <c r="C53" s="195" t="s">
        <v>126</v>
      </c>
      <c r="D53" s="196" t="s">
        <v>127</v>
      </c>
      <c r="E53" s="198" t="str">
        <f>S21</f>
        <v/>
      </c>
      <c r="F53" s="197" t="s">
        <v>389</v>
      </c>
      <c r="G53" s="198">
        <f>IF(기본정보!H12=1,3,1)</f>
        <v>1</v>
      </c>
      <c r="H53" s="373"/>
      <c r="I53" s="207">
        <v>3</v>
      </c>
      <c r="J53" s="421"/>
      <c r="K53" s="421">
        <f>G53/(IF(H53="",1,H53)*SQRT(I53))</f>
        <v>0.57735026918962584</v>
      </c>
      <c r="L53" s="197" t="s">
        <v>389</v>
      </c>
      <c r="M53" s="199" t="s">
        <v>89</v>
      </c>
      <c r="N53" s="209" t="e">
        <f ca="1">-E52</f>
        <v>#N/A</v>
      </c>
      <c r="O53" s="189" t="s">
        <v>630</v>
      </c>
      <c r="P53" s="200" t="e">
        <f ca="1">-N53*1000</f>
        <v>#N/A</v>
      </c>
      <c r="Q53" s="189" t="s">
        <v>393</v>
      </c>
      <c r="R53" s="278" t="e">
        <f t="shared" ca="1" si="25"/>
        <v>#N/A</v>
      </c>
      <c r="S53" s="211" t="e">
        <f t="shared" ca="1" si="26"/>
        <v>#N/A</v>
      </c>
      <c r="T53" s="198" t="s">
        <v>237</v>
      </c>
      <c r="U53" s="189" t="s">
        <v>355</v>
      </c>
      <c r="V53" s="206" t="e">
        <f t="shared" ca="1" si="27"/>
        <v>#N/A</v>
      </c>
      <c r="W53" s="190">
        <f t="shared" si="22"/>
        <v>0</v>
      </c>
      <c r="X53" s="401" t="e">
        <f t="shared" ca="1" si="23"/>
        <v>#N/A</v>
      </c>
      <c r="Y53" s="401" t="str">
        <f t="shared" si="24"/>
        <v/>
      </c>
    </row>
    <row r="54" spans="2:25" ht="15" customHeight="1">
      <c r="B54" s="179" t="s">
        <v>231</v>
      </c>
      <c r="C54" s="195" t="s">
        <v>75</v>
      </c>
      <c r="D54" s="196" t="s">
        <v>677</v>
      </c>
      <c r="E54" s="189">
        <v>0</v>
      </c>
      <c r="F54" s="197" t="s">
        <v>214</v>
      </c>
      <c r="G54" s="189">
        <f>O3*1000</f>
        <v>0</v>
      </c>
      <c r="H54" s="189">
        <v>2</v>
      </c>
      <c r="I54" s="207">
        <v>3</v>
      </c>
      <c r="J54" s="421">
        <f t="shared" ref="J54:J55" si="28">G54/(IF(H54="",1,H54)*SQRT(I54))</f>
        <v>0</v>
      </c>
      <c r="K54" s="202"/>
      <c r="L54" s="198" t="s">
        <v>237</v>
      </c>
      <c r="M54" s="199" t="s">
        <v>89</v>
      </c>
      <c r="N54" s="189"/>
      <c r="O54" s="189"/>
      <c r="P54" s="200">
        <v>1</v>
      </c>
      <c r="Q54" s="189"/>
      <c r="R54" s="278">
        <f t="shared" si="25"/>
        <v>0</v>
      </c>
      <c r="S54" s="211">
        <f t="shared" si="26"/>
        <v>0</v>
      </c>
      <c r="T54" s="198" t="s">
        <v>237</v>
      </c>
      <c r="U54" s="189" t="s">
        <v>355</v>
      </c>
      <c r="V54" s="206">
        <f t="shared" si="27"/>
        <v>0</v>
      </c>
      <c r="W54" s="190">
        <f t="shared" si="22"/>
        <v>0</v>
      </c>
      <c r="X54" s="401">
        <f t="shared" si="23"/>
        <v>0</v>
      </c>
      <c r="Y54" s="401" t="str">
        <f t="shared" si="24"/>
        <v/>
      </c>
    </row>
    <row r="55" spans="2:25" ht="15" customHeight="1">
      <c r="B55" s="179" t="s">
        <v>357</v>
      </c>
      <c r="C55" s="195" t="s">
        <v>356</v>
      </c>
      <c r="D55" s="196" t="s">
        <v>678</v>
      </c>
      <c r="E55" s="189">
        <v>0</v>
      </c>
      <c r="F55" s="197" t="s">
        <v>214</v>
      </c>
      <c r="G55" s="189">
        <f>IF(G12=0,G54,G12)</f>
        <v>0</v>
      </c>
      <c r="H55" s="189">
        <v>2</v>
      </c>
      <c r="I55" s="207">
        <v>3</v>
      </c>
      <c r="J55" s="421">
        <f t="shared" si="28"/>
        <v>0</v>
      </c>
      <c r="K55" s="202"/>
      <c r="L55" s="198" t="s">
        <v>391</v>
      </c>
      <c r="M55" s="199" t="s">
        <v>89</v>
      </c>
      <c r="N55" s="189"/>
      <c r="O55" s="189"/>
      <c r="P55" s="200">
        <v>1</v>
      </c>
      <c r="Q55" s="189"/>
      <c r="R55" s="278">
        <f t="shared" si="25"/>
        <v>0</v>
      </c>
      <c r="S55" s="211">
        <f t="shared" si="26"/>
        <v>0</v>
      </c>
      <c r="T55" s="198" t="s">
        <v>394</v>
      </c>
      <c r="U55" s="189">
        <f>ROUNDDOWN(1/2*(100/20)^2,0)</f>
        <v>12</v>
      </c>
      <c r="V55" s="206">
        <f t="shared" si="27"/>
        <v>0</v>
      </c>
      <c r="W55" s="190">
        <f t="shared" si="22"/>
        <v>0</v>
      </c>
      <c r="X55" s="401">
        <f t="shared" si="23"/>
        <v>0</v>
      </c>
      <c r="Y55" s="401" t="str">
        <f t="shared" si="24"/>
        <v/>
      </c>
    </row>
    <row r="56" spans="2:25" ht="15" customHeight="1">
      <c r="B56" s="179" t="s">
        <v>359</v>
      </c>
      <c r="C56" s="195" t="s">
        <v>395</v>
      </c>
      <c r="D56" s="196" t="s">
        <v>395</v>
      </c>
      <c r="E56" s="189"/>
      <c r="F56" s="197"/>
      <c r="G56" s="209">
        <f>K52</f>
        <v>8.1649658092772609E-7</v>
      </c>
      <c r="H56" s="201">
        <f>K53</f>
        <v>0.57735026918962584</v>
      </c>
      <c r="I56" s="207"/>
      <c r="J56" s="423" t="e">
        <f ca="1">IF(E52=0,G56*H56,0)</f>
        <v>#N/A</v>
      </c>
      <c r="K56" s="202"/>
      <c r="L56" s="198"/>
      <c r="M56" s="199" t="s">
        <v>396</v>
      </c>
      <c r="N56" s="189">
        <v>1</v>
      </c>
      <c r="O56" s="189" t="s">
        <v>630</v>
      </c>
      <c r="P56" s="200">
        <f t="shared" ref="P56" si="29">N56*1000</f>
        <v>1000</v>
      </c>
      <c r="Q56" s="198" t="s">
        <v>237</v>
      </c>
      <c r="R56" s="278" t="e">
        <f t="shared" ca="1" si="25"/>
        <v>#N/A</v>
      </c>
      <c r="S56" s="211">
        <f t="shared" si="26"/>
        <v>0</v>
      </c>
      <c r="T56" s="198" t="s">
        <v>237</v>
      </c>
      <c r="U56" s="189" t="s">
        <v>355</v>
      </c>
      <c r="V56" s="206" t="e">
        <f t="shared" ca="1" si="27"/>
        <v>#N/A</v>
      </c>
      <c r="W56" s="190">
        <f t="shared" si="22"/>
        <v>0</v>
      </c>
      <c r="X56" s="401" t="str">
        <f t="shared" si="23"/>
        <v/>
      </c>
      <c r="Y56" s="401" t="e">
        <f t="shared" ca="1" si="24"/>
        <v>#N/A</v>
      </c>
    </row>
    <row r="57" spans="2:25" ht="15" customHeight="1">
      <c r="B57" s="179" t="s">
        <v>434</v>
      </c>
      <c r="C57" s="195" t="s">
        <v>360</v>
      </c>
      <c r="D57" s="196" t="s">
        <v>397</v>
      </c>
      <c r="E57" s="203" t="e">
        <f ca="1">E48-E49-(E50*E51+E52*E53)*K3</f>
        <v>#N/A</v>
      </c>
      <c r="F57" s="197" t="s">
        <v>398</v>
      </c>
      <c r="G57" s="763"/>
      <c r="H57" s="764"/>
      <c r="I57" s="764"/>
      <c r="J57" s="764"/>
      <c r="K57" s="764"/>
      <c r="L57" s="764"/>
      <c r="M57" s="764"/>
      <c r="N57" s="764"/>
      <c r="O57" s="764"/>
      <c r="P57" s="764"/>
      <c r="Q57" s="765"/>
      <c r="R57" s="212" t="e">
        <f>SQRT(SUMSQ(R48:R56))</f>
        <v>#N/A</v>
      </c>
      <c r="S57" s="213" t="e">
        <f>SQRT(SUMSQ(S48:S56))</f>
        <v>#N/A</v>
      </c>
      <c r="T57" s="198" t="s">
        <v>391</v>
      </c>
      <c r="U57" s="210" t="e">
        <f>IF(SUM(W48:W56)=0,"∞",ROUNDDOWN(V57^4/W57,0))</f>
        <v>#VALUE!</v>
      </c>
      <c r="V57" s="316" t="e">
        <f>SQRT(SUMSQ(V48:V56))</f>
        <v>#N/A</v>
      </c>
      <c r="W57" s="424" t="e">
        <f>SUM(W48:W56)</f>
        <v>#VALUE!</v>
      </c>
      <c r="X57" s="316" t="e">
        <f>SQRT(SUMSQ(X46:X56))</f>
        <v>#VALUE!</v>
      </c>
      <c r="Y57" s="316" t="e">
        <f>SQRT(SUMSQ(Y46:Y56))</f>
        <v>#N/A</v>
      </c>
    </row>
    <row r="58" spans="2:25" ht="15" customHeight="1"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5"/>
    </row>
    <row r="59" spans="2:25" ht="15" customHeight="1">
      <c r="B59" s="149"/>
      <c r="C59" s="751" t="s">
        <v>174</v>
      </c>
      <c r="D59" s="752"/>
      <c r="E59" s="752"/>
      <c r="F59" s="752"/>
      <c r="G59" s="753"/>
      <c r="H59" s="148" t="s">
        <v>175</v>
      </c>
      <c r="I59" s="148" t="s">
        <v>176</v>
      </c>
      <c r="J59" s="778" t="s">
        <v>665</v>
      </c>
      <c r="K59" s="779"/>
      <c r="L59" s="779"/>
      <c r="M59" s="780"/>
      <c r="N59" s="414" t="s">
        <v>666</v>
      </c>
      <c r="O59" s="778" t="s">
        <v>667</v>
      </c>
      <c r="P59" s="779"/>
      <c r="Q59" s="780"/>
      <c r="R59" s="781" t="s">
        <v>668</v>
      </c>
      <c r="S59" s="778" t="s">
        <v>688</v>
      </c>
      <c r="T59" s="780"/>
      <c r="U59" s="121"/>
    </row>
    <row r="60" spans="2:25" ht="15" customHeight="1">
      <c r="B60" s="149"/>
      <c r="C60" s="149">
        <v>1</v>
      </c>
      <c r="D60" s="149">
        <v>2</v>
      </c>
      <c r="E60" s="149" t="s">
        <v>178</v>
      </c>
      <c r="F60" s="149" t="s">
        <v>179</v>
      </c>
      <c r="G60" s="149" t="s">
        <v>180</v>
      </c>
      <c r="H60" s="149" t="s">
        <v>181</v>
      </c>
      <c r="I60" s="149" t="s">
        <v>182</v>
      </c>
      <c r="J60" s="414" t="s">
        <v>638</v>
      </c>
      <c r="K60" s="414" t="s">
        <v>669</v>
      </c>
      <c r="L60" s="414" t="s">
        <v>670</v>
      </c>
      <c r="M60" s="414" t="s">
        <v>671</v>
      </c>
      <c r="N60" s="416"/>
      <c r="O60" s="414" t="s">
        <v>638</v>
      </c>
      <c r="P60" s="414" t="s">
        <v>672</v>
      </c>
      <c r="Q60" s="414" t="s">
        <v>673</v>
      </c>
      <c r="R60" s="744"/>
      <c r="S60" s="431" t="s">
        <v>689</v>
      </c>
      <c r="T60" s="431" t="s">
        <v>690</v>
      </c>
      <c r="U60" s="121"/>
    </row>
    <row r="61" spans="2:25" ht="15" customHeight="1">
      <c r="B61" s="149" t="s">
        <v>174</v>
      </c>
      <c r="C61" s="137" t="e">
        <f ca="1">E72*V57</f>
        <v>#N/A</v>
      </c>
      <c r="D61" s="137"/>
      <c r="E61" s="137"/>
      <c r="F61" s="139" t="str">
        <f>T57</f>
        <v>μm</v>
      </c>
      <c r="G61" s="153" t="e">
        <f ca="1">C61/1000</f>
        <v>#N/A</v>
      </c>
      <c r="H61" s="153" t="e">
        <f ca="1">MAX(G61:G62)</f>
        <v>#N/A</v>
      </c>
      <c r="I61" s="191">
        <f>O3</f>
        <v>0</v>
      </c>
      <c r="J61" s="136" t="e">
        <f ca="1">IF(H61&lt;0.00001,6,IF(H61&lt;0.0001,5,IF(H61&lt;0.001,4,IF(H61&lt;0.01,3,IF(H61&lt;0.1,2,IF(H61&lt;1,1,IF(H61&lt;10,0,IF(H61&lt;100,-1,-2))))))))+K62</f>
        <v>#N/A</v>
      </c>
      <c r="K61" s="136" t="e">
        <f ca="1">J61+IF(AND(H60="μm",I60="mm"),3,0)</f>
        <v>#N/A</v>
      </c>
      <c r="L61" s="372">
        <f>IFERROR(LEN(I61)-FIND(".",I61),0)</f>
        <v>0</v>
      </c>
      <c r="M61" s="413" t="e">
        <f ca="1">IF(M62=TRUE,MIN(K61:L61),K61)</f>
        <v>#N/A</v>
      </c>
      <c r="N61" s="191" t="e">
        <f ca="1">ABS((H61-ROUND(H61,M61))/H61*100)</f>
        <v>#N/A</v>
      </c>
      <c r="O61" s="372" t="e">
        <f ca="1">OFFSET(P65,MATCH(J61,O66:O75,0),0)</f>
        <v>#N/A</v>
      </c>
      <c r="P61" s="372" t="e">
        <f ca="1">OFFSET(P65,MATCH(M61,O66:O75,0),0)</f>
        <v>#N/A</v>
      </c>
      <c r="Q61" s="372" t="str">
        <f ca="1">OFFSET(P65,MATCH(L61,O66:O75,0),0)</f>
        <v>0</v>
      </c>
      <c r="R61" s="140" t="e">
        <f ca="1">IF(H61=G61,0,1)</f>
        <v>#N/A</v>
      </c>
      <c r="S61" s="155" t="e">
        <f ca="1">TEXT(IF(N61&gt;5,ROUNDUP(H61,M61),ROUND(H61,M61)),P61)</f>
        <v>#N/A</v>
      </c>
      <c r="T61" s="155" t="e">
        <f ca="1">S61&amp;" "&amp;H60</f>
        <v>#N/A</v>
      </c>
      <c r="U61" s="121"/>
    </row>
    <row r="62" spans="2:25" ht="15" customHeight="1">
      <c r="B62" s="149" t="s">
        <v>184</v>
      </c>
      <c r="C62" s="138" t="e">
        <f ca="1">$P$3</f>
        <v>#N/A</v>
      </c>
      <c r="D62" s="139" t="e">
        <f ca="1">$Q$3</f>
        <v>#N/A</v>
      </c>
      <c r="E62" s="139">
        <f>K3</f>
        <v>0</v>
      </c>
      <c r="F62" s="139" t="e">
        <f ca="1">$R$3</f>
        <v>#N/A</v>
      </c>
      <c r="G62" s="154" t="e">
        <f ca="1">SQRT(SUMSQ(C62,D62*E62))/1000</f>
        <v>#N/A</v>
      </c>
      <c r="J62" s="412" t="s">
        <v>657</v>
      </c>
      <c r="K62" s="372">
        <f>IF(O62=TRUE,1,기본정보!$A$47)</f>
        <v>1</v>
      </c>
      <c r="L62" s="412" t="s">
        <v>658</v>
      </c>
      <c r="M62" s="372" t="b">
        <f>IF(O62=TRUE,FALSE,기본정보!$A$52)</f>
        <v>0</v>
      </c>
      <c r="N62" s="412" t="s">
        <v>659</v>
      </c>
      <c r="O62" s="372" t="b">
        <f>기본정보!$A$46=0</f>
        <v>1</v>
      </c>
      <c r="Q62" s="121"/>
      <c r="R62" s="121"/>
      <c r="S62" s="121"/>
      <c r="T62" s="121"/>
      <c r="U62" s="121"/>
    </row>
    <row r="63" spans="2:25" ht="15" customHeight="1">
      <c r="B63" s="122"/>
      <c r="C63" s="122"/>
      <c r="D63" s="122"/>
      <c r="M63" s="125"/>
      <c r="Q63" s="121"/>
      <c r="R63" s="121"/>
      <c r="S63" s="121"/>
      <c r="T63" s="121"/>
      <c r="U63" s="121"/>
    </row>
    <row r="64" spans="2:25" ht="15" customHeight="1">
      <c r="B64" s="142" t="s">
        <v>169</v>
      </c>
      <c r="C64" s="122"/>
      <c r="D64" s="122"/>
      <c r="I64" s="143" t="s">
        <v>53</v>
      </c>
      <c r="J64" s="143" t="s">
        <v>177</v>
      </c>
      <c r="N64" s="121"/>
      <c r="O64" s="146" t="s">
        <v>186</v>
      </c>
      <c r="P64" s="146" t="s">
        <v>185</v>
      </c>
      <c r="Q64" s="121"/>
      <c r="R64" s="121"/>
      <c r="S64" s="121"/>
      <c r="T64" s="121"/>
      <c r="U64" s="121"/>
    </row>
    <row r="65" spans="2:26" ht="15" customHeight="1">
      <c r="B65" s="767" t="s">
        <v>660</v>
      </c>
      <c r="C65" s="769"/>
      <c r="D65" s="781" t="s">
        <v>674</v>
      </c>
      <c r="E65" s="417" t="s">
        <v>675</v>
      </c>
      <c r="F65" s="417" t="s">
        <v>636</v>
      </c>
      <c r="G65" s="417" t="s">
        <v>676</v>
      </c>
      <c r="I65" s="143"/>
      <c r="J65" s="143">
        <v>95.45</v>
      </c>
      <c r="N65" s="121"/>
      <c r="O65" s="147" t="s">
        <v>188</v>
      </c>
      <c r="P65" s="147" t="s">
        <v>187</v>
      </c>
      <c r="Q65" s="125"/>
      <c r="R65" s="125"/>
      <c r="S65" s="125"/>
      <c r="T65" s="121"/>
      <c r="U65" s="121"/>
    </row>
    <row r="66" spans="2:26" ht="15" customHeight="1">
      <c r="B66" s="416" t="s">
        <v>661</v>
      </c>
      <c r="C66" s="419" t="s">
        <v>662</v>
      </c>
      <c r="D66" s="744"/>
      <c r="E66" s="418" t="e">
        <f>X57</f>
        <v>#VALUE!</v>
      </c>
      <c r="F66" s="418" t="e">
        <f>Y57</f>
        <v>#N/A</v>
      </c>
      <c r="G66" s="402" t="e">
        <f>F66/E66</f>
        <v>#N/A</v>
      </c>
      <c r="I66" s="123">
        <v>1</v>
      </c>
      <c r="J66" s="123">
        <v>13.97</v>
      </c>
      <c r="N66" s="121"/>
      <c r="O66" s="134">
        <v>0</v>
      </c>
      <c r="P66" s="135" t="s">
        <v>189</v>
      </c>
      <c r="Q66" s="121"/>
      <c r="R66" s="125"/>
      <c r="S66" s="125"/>
      <c r="T66" s="121"/>
      <c r="U66" s="121"/>
    </row>
    <row r="67" spans="2:26" ht="15" customHeight="1">
      <c r="B67" s="372">
        <v>1</v>
      </c>
      <c r="C67" s="401">
        <f>IFERROR(LARGE(X48:X56,B67),0)</f>
        <v>0</v>
      </c>
      <c r="D67" s="179" t="s">
        <v>171</v>
      </c>
      <c r="E67" s="748" t="e">
        <f>SQRT(SUMSQ(C69:C77,Y48:Y56))</f>
        <v>#N/A</v>
      </c>
      <c r="F67" s="748"/>
      <c r="G67" s="749" t="e">
        <f>E67/SQRT(SUMSQ(E68,F68))</f>
        <v>#N/A</v>
      </c>
      <c r="H67" s="124"/>
      <c r="I67" s="123">
        <v>2</v>
      </c>
      <c r="J67" s="123">
        <v>4.53</v>
      </c>
      <c r="N67" s="121"/>
      <c r="O67" s="134">
        <v>1</v>
      </c>
      <c r="P67" s="135" t="s">
        <v>190</v>
      </c>
      <c r="Q67" s="121"/>
      <c r="R67" s="121"/>
      <c r="S67" s="121"/>
      <c r="T67" s="121"/>
      <c r="U67" s="121"/>
    </row>
    <row r="68" spans="2:26" ht="15" customHeight="1">
      <c r="B68" s="372">
        <v>2</v>
      </c>
      <c r="C68" s="401">
        <f>IFERROR(LARGE(X48:X56,B68),0)</f>
        <v>0</v>
      </c>
      <c r="D68" s="179" t="s">
        <v>172</v>
      </c>
      <c r="E68" s="415">
        <f>C67</f>
        <v>0</v>
      </c>
      <c r="F68" s="415">
        <f>C68</f>
        <v>0</v>
      </c>
      <c r="G68" s="750"/>
      <c r="H68" s="124"/>
      <c r="I68" s="123">
        <v>3</v>
      </c>
      <c r="J68" s="123">
        <v>3.31</v>
      </c>
      <c r="N68" s="121"/>
      <c r="O68" s="134">
        <v>2</v>
      </c>
      <c r="P68" s="135" t="s">
        <v>191</v>
      </c>
      <c r="Q68" s="121"/>
      <c r="R68" s="121"/>
      <c r="S68" s="121"/>
      <c r="T68" s="121"/>
      <c r="U68" s="121"/>
    </row>
    <row r="69" spans="2:26" ht="15" customHeight="1">
      <c r="B69" s="372">
        <v>3</v>
      </c>
      <c r="C69" s="420">
        <f>IFERROR(LARGE(X48:X56,B69),0)</f>
        <v>0</v>
      </c>
      <c r="D69" s="747" t="s">
        <v>170</v>
      </c>
      <c r="E69" s="371" t="s">
        <v>663</v>
      </c>
      <c r="F69" s="371" t="s">
        <v>664</v>
      </c>
      <c r="G69" s="371" t="s">
        <v>581</v>
      </c>
      <c r="H69" s="124"/>
      <c r="I69" s="123">
        <v>4</v>
      </c>
      <c r="J69" s="123">
        <v>2.87</v>
      </c>
      <c r="N69" s="121"/>
      <c r="O69" s="134">
        <v>3</v>
      </c>
      <c r="P69" s="135" t="s">
        <v>192</v>
      </c>
      <c r="Q69" s="121"/>
      <c r="R69" s="121"/>
      <c r="S69" s="121"/>
      <c r="T69" s="121"/>
      <c r="U69" s="121"/>
    </row>
    <row r="70" spans="2:26" ht="15" customHeight="1">
      <c r="B70" s="372">
        <v>4</v>
      </c>
      <c r="C70" s="420">
        <f>IFERROR(LARGE(X48:X56,B70),0)</f>
        <v>0</v>
      </c>
      <c r="D70" s="744"/>
      <c r="E70" s="372">
        <f ca="1">OFFSET(G45,MATCH(E68,X46:X56,0),0)/IF(OFFSET(H45,MATCH(E68,X46:X56,0),0)="",1,OFFSET(H45,MATCH(E68,X46:X56,0),0))</f>
        <v>0</v>
      </c>
      <c r="F70" s="372">
        <f ca="1">OFFSET(G45,MATCH(F68,X46:X56,0),0)/IF(OFFSET(H45,MATCH(F68,X46:X56,0),0)="",1,OFFSET(H45,MATCH(F68,X46:X56,0),0))</f>
        <v>0</v>
      </c>
      <c r="G70" s="370" t="e">
        <f ca="1">ABS(E70-F70)/(E70+F70)</f>
        <v>#DIV/0!</v>
      </c>
      <c r="I70" s="123">
        <v>5</v>
      </c>
      <c r="J70" s="123">
        <v>2.65</v>
      </c>
      <c r="N70" s="121"/>
      <c r="O70" s="134">
        <v>4</v>
      </c>
      <c r="P70" s="135" t="s">
        <v>193</v>
      </c>
      <c r="Q70" s="121"/>
      <c r="R70" s="121"/>
      <c r="S70" s="121"/>
      <c r="T70" s="121"/>
      <c r="U70" s="121"/>
    </row>
    <row r="71" spans="2:26" ht="15" customHeight="1">
      <c r="B71" s="372">
        <v>5</v>
      </c>
      <c r="C71" s="420">
        <f>IFERROR(LARGE(X48:X56,B71),0)</f>
        <v>0</v>
      </c>
      <c r="D71" s="148" t="s">
        <v>161</v>
      </c>
      <c r="E71" s="405" t="e">
        <f>IF(AND(G66&lt;0.3,G67&lt;0.3),"사다리꼴","정규")</f>
        <v>#N/A</v>
      </c>
      <c r="I71" s="123">
        <v>6</v>
      </c>
      <c r="J71" s="123">
        <v>2.52</v>
      </c>
      <c r="N71" s="121"/>
      <c r="O71" s="134">
        <v>5</v>
      </c>
      <c r="P71" s="135" t="s">
        <v>194</v>
      </c>
      <c r="Q71" s="121"/>
      <c r="R71" s="121"/>
      <c r="S71" s="121"/>
      <c r="T71" s="121"/>
      <c r="U71" s="121"/>
    </row>
    <row r="72" spans="2:26" ht="15" customHeight="1">
      <c r="B72" s="372">
        <v>6</v>
      </c>
      <c r="C72" s="420">
        <f>IFERROR(LARGE(X48:X56,B72),0)</f>
        <v>0</v>
      </c>
      <c r="D72" s="148" t="s">
        <v>173</v>
      </c>
      <c r="E72" s="123" t="e">
        <f ca="1">IF(E71="정규",IF(OR(U57="∞",U57&gt;=10),2,OFFSET(J65,MATCH(U57,I66:I75,0),0)),ROUND((1-SQRT((1-0.95)*(1-G70^2)))/SQRT((1+G70^2)/6),2))</f>
        <v>#N/A</v>
      </c>
      <c r="I72" s="123">
        <v>7</v>
      </c>
      <c r="J72" s="123">
        <v>2.4300000000000002</v>
      </c>
      <c r="N72" s="121"/>
      <c r="O72" s="134">
        <v>6</v>
      </c>
      <c r="P72" s="135" t="s">
        <v>195</v>
      </c>
      <c r="Q72" s="121"/>
      <c r="R72" s="121"/>
      <c r="S72" s="121"/>
      <c r="T72" s="121"/>
      <c r="U72" s="121"/>
    </row>
    <row r="73" spans="2:26" ht="15" customHeight="1">
      <c r="B73" s="372">
        <v>7</v>
      </c>
      <c r="C73" s="420">
        <f>IFERROR(LARGE(X48:X56,B73),0)</f>
        <v>0</v>
      </c>
      <c r="D73" s="122"/>
      <c r="I73" s="123">
        <v>8</v>
      </c>
      <c r="J73" s="123">
        <v>2.37</v>
      </c>
      <c r="N73" s="121"/>
      <c r="O73" s="134">
        <v>7</v>
      </c>
      <c r="P73" s="135" t="s">
        <v>196</v>
      </c>
      <c r="Q73" s="121"/>
      <c r="R73" s="121"/>
      <c r="S73" s="121"/>
      <c r="T73" s="121"/>
      <c r="U73" s="121"/>
    </row>
    <row r="74" spans="2:26" ht="15" customHeight="1">
      <c r="B74" s="372">
        <v>8</v>
      </c>
      <c r="C74" s="420">
        <f>IFERROR(LARGE(X48:X56,B74),0)</f>
        <v>0</v>
      </c>
      <c r="D74" s="122"/>
      <c r="I74" s="123">
        <v>9</v>
      </c>
      <c r="J74" s="123">
        <v>2.3199999999999998</v>
      </c>
      <c r="N74" s="121"/>
      <c r="O74" s="134">
        <v>8</v>
      </c>
      <c r="P74" s="135" t="s">
        <v>197</v>
      </c>
      <c r="Q74" s="121"/>
      <c r="R74" s="121"/>
      <c r="S74" s="121"/>
      <c r="T74" s="121"/>
      <c r="U74" s="121"/>
    </row>
    <row r="75" spans="2:26" ht="15" customHeight="1">
      <c r="B75" s="372">
        <v>9</v>
      </c>
      <c r="C75" s="420">
        <f>IFERROR(LARGE(X48:X56,B75),0)</f>
        <v>0</v>
      </c>
      <c r="D75" s="122"/>
      <c r="I75" s="123" t="s">
        <v>54</v>
      </c>
      <c r="J75" s="123">
        <v>2</v>
      </c>
      <c r="O75" s="134">
        <v>9</v>
      </c>
      <c r="P75" s="135" t="s">
        <v>198</v>
      </c>
      <c r="Q75" s="121"/>
      <c r="R75" s="121"/>
      <c r="S75" s="121"/>
      <c r="T75" s="121"/>
      <c r="U75" s="121"/>
    </row>
    <row r="76" spans="2:26" ht="15" customHeight="1">
      <c r="B76" s="372">
        <v>10</v>
      </c>
      <c r="C76" s="420">
        <f>IFERROR(LARGE(X48:X56,B76),0)</f>
        <v>0</v>
      </c>
      <c r="D76" s="120"/>
      <c r="E76" s="121"/>
      <c r="Q76" s="121"/>
      <c r="R76" s="121"/>
      <c r="S76" s="121"/>
      <c r="T76" s="121"/>
      <c r="U76" s="121"/>
    </row>
    <row r="77" spans="2:26" ht="15" customHeight="1">
      <c r="B77" s="372">
        <v>11</v>
      </c>
      <c r="C77" s="420">
        <f>IFERROR(LARGE(X48:X56,B77),0)</f>
        <v>0</v>
      </c>
      <c r="D77" s="120"/>
      <c r="E77" s="121"/>
      <c r="Q77" s="121"/>
      <c r="R77" s="121"/>
      <c r="S77" s="121"/>
      <c r="T77" s="121"/>
      <c r="U77" s="121"/>
    </row>
    <row r="78" spans="2:26" ht="15" customHeight="1">
      <c r="B78" s="122"/>
      <c r="C78" s="122"/>
      <c r="D78" s="120"/>
      <c r="E78" s="121"/>
      <c r="Q78" s="121"/>
      <c r="R78" s="121"/>
      <c r="S78" s="121"/>
      <c r="T78" s="121"/>
      <c r="U78" s="121"/>
    </row>
    <row r="79" spans="2:26" ht="15" customHeight="1">
      <c r="B79" s="142" t="s">
        <v>344</v>
      </c>
      <c r="I79" s="120"/>
      <c r="J79" s="121"/>
    </row>
    <row r="80" spans="2:26" ht="15" customHeight="1">
      <c r="B80" s="737" t="s">
        <v>102</v>
      </c>
      <c r="C80" s="767" t="s">
        <v>512</v>
      </c>
      <c r="D80" s="768"/>
      <c r="E80" s="768"/>
      <c r="F80" s="768"/>
      <c r="G80" s="769"/>
      <c r="H80" s="204" t="s">
        <v>345</v>
      </c>
      <c r="I80" s="204" t="s">
        <v>346</v>
      </c>
      <c r="J80" s="204" t="s">
        <v>347</v>
      </c>
      <c r="K80" s="204" t="s">
        <v>348</v>
      </c>
      <c r="L80" s="204" t="s">
        <v>349</v>
      </c>
      <c r="M80" s="740" t="s">
        <v>350</v>
      </c>
      <c r="N80" s="742" t="s">
        <v>351</v>
      </c>
      <c r="O80" s="782" t="s">
        <v>352</v>
      </c>
      <c r="P80" s="742"/>
      <c r="V80" s="122"/>
      <c r="W80" s="122"/>
      <c r="X80" s="122"/>
      <c r="Y80" s="122"/>
      <c r="Z80" s="122"/>
    </row>
    <row r="81" spans="2:37" ht="15" customHeight="1">
      <c r="B81" s="754"/>
      <c r="C81" s="337">
        <v>1</v>
      </c>
      <c r="D81" s="337">
        <v>2</v>
      </c>
      <c r="E81" s="337">
        <v>3</v>
      </c>
      <c r="F81" s="337">
        <v>4</v>
      </c>
      <c r="G81" s="337">
        <v>5</v>
      </c>
      <c r="H81" s="204" t="s">
        <v>183</v>
      </c>
      <c r="I81" s="204" t="s">
        <v>183</v>
      </c>
      <c r="J81" s="204" t="s">
        <v>183</v>
      </c>
      <c r="K81" s="204" t="s">
        <v>183</v>
      </c>
      <c r="L81" s="204" t="s">
        <v>183</v>
      </c>
      <c r="M81" s="741"/>
      <c r="N81" s="743" t="s">
        <v>353</v>
      </c>
      <c r="O81" s="783"/>
      <c r="P81" s="743"/>
      <c r="V81" s="122"/>
      <c r="W81" s="122"/>
      <c r="X81" s="122"/>
      <c r="Y81" s="122"/>
      <c r="Z81" s="122"/>
    </row>
    <row r="82" spans="2:37" ht="15" customHeight="1">
      <c r="B82" s="136">
        <f t="shared" ref="B82:B102" si="30">IF(TYPE(U21)=1,U21,0)</f>
        <v>0</v>
      </c>
      <c r="C82" s="136">
        <f>Length_2!E28</f>
        <v>0</v>
      </c>
      <c r="D82" s="136">
        <f>Length_2!F28</f>
        <v>0</v>
      </c>
      <c r="E82" s="136">
        <f>Length_2!G28</f>
        <v>0</v>
      </c>
      <c r="F82" s="136">
        <f>Length_2!H28</f>
        <v>0</v>
      </c>
      <c r="G82" s="136">
        <f>Length_2!I28</f>
        <v>0</v>
      </c>
      <c r="H82" s="205" t="e">
        <f>SQRT(SUMSQ(Length_2!P28,Length_2!Q28*Length_2!E28))/1000/I$46</f>
        <v>#N/A</v>
      </c>
      <c r="I82" s="205" t="e">
        <f>SQRT(SUMSQ(Length_2!R28,Length_2!S28*Length_2!F28))/1000/I$46</f>
        <v>#N/A</v>
      </c>
      <c r="J82" s="205" t="e">
        <f>SQRT(SUMSQ(Length_2!T28,Length_2!U28*Length_2!G28))/1000/I$46</f>
        <v>#N/A</v>
      </c>
      <c r="K82" s="205" t="e">
        <f>SQRT(SUMSQ(Length_2!V28,Length_2!W28*Length_2!H28))/1000/I$46</f>
        <v>#N/A</v>
      </c>
      <c r="L82" s="205" t="e">
        <f>SQRT(SUMSQ(Length_2!X28,Length_2!Y28*Length_2!I28))/1000/I$46</f>
        <v>#N/A</v>
      </c>
      <c r="M82" s="205" t="e">
        <f>SQRT(SUMSQ(H82,I82,J82,K82,L82)+SUM(2*(H82*I82),2*(H82*J82),2*(H82*K82),2*(H82*L82),2*(I82*J82),2*(I82*K82),2*(I82*L82),2*(J82*K82),2*(J82*L82),2*(K82*L82)))</f>
        <v>#N/A</v>
      </c>
      <c r="N82" s="136">
        <f>IF(COUNTIF(C82:G82,"&gt;"&amp;100)=0,0,COUNTIF(C82:G82,"&gt;"&amp;100)-1)</f>
        <v>0</v>
      </c>
      <c r="O82" s="205" t="e">
        <f t="shared" ref="O82:O102" si="31">SQRT(ABS(M82^2-(P82*B82)^2))</f>
        <v>#N/A</v>
      </c>
      <c r="P82" s="139" t="e">
        <f t="shared" ref="P82:P102" si="32">H$46/1000/I$46</f>
        <v>#N/A</v>
      </c>
      <c r="V82" s="122"/>
      <c r="W82" s="122"/>
      <c r="X82" s="122"/>
      <c r="Y82" s="122"/>
      <c r="Z82" s="122"/>
    </row>
    <row r="83" spans="2:37" ht="15" customHeight="1">
      <c r="B83" s="136">
        <f t="shared" si="30"/>
        <v>0</v>
      </c>
      <c r="C83" s="136">
        <f>Length_2!E29</f>
        <v>0</v>
      </c>
      <c r="D83" s="136">
        <f>Length_2!F29</f>
        <v>0</v>
      </c>
      <c r="E83" s="136">
        <f>Length_2!G29</f>
        <v>0</v>
      </c>
      <c r="F83" s="136">
        <f>Length_2!H29</f>
        <v>0</v>
      </c>
      <c r="G83" s="136">
        <f>Length_2!I29</f>
        <v>0</v>
      </c>
      <c r="H83" s="205" t="e">
        <f>SQRT(SUMSQ(Length_2!P29,Length_2!Q29*Length_2!E29))/1000/I$46</f>
        <v>#N/A</v>
      </c>
      <c r="I83" s="205" t="e">
        <f>SQRT(SUMSQ(Length_2!R29,Length_2!S29*Length_2!F29))/1000/I$46</f>
        <v>#N/A</v>
      </c>
      <c r="J83" s="205" t="e">
        <f>SQRT(SUMSQ(Length_2!T29,Length_2!U29*Length_2!G29))/1000/I$46</f>
        <v>#N/A</v>
      </c>
      <c r="K83" s="205" t="e">
        <f>SQRT(SUMSQ(Length_2!V29,Length_2!W29*Length_2!H29))/1000/I$46</f>
        <v>#N/A</v>
      </c>
      <c r="L83" s="205" t="e">
        <f>SQRT(SUMSQ(Length_2!X29,Length_2!Y29*Length_2!I29))/1000/I$46</f>
        <v>#N/A</v>
      </c>
      <c r="M83" s="205" t="e">
        <f t="shared" ref="M83:M102" si="33">SQRT(SUMSQ(H83,I83,J83,K83,L83)+SUM(2*(H83*I83),2*(H83*J83),2*(H83*K83),2*(H83*L83),2*(I83*J83),2*(I83*K83),2*(I83*L83),2*(J83*K83),2*(J83*L83),2*(K83*L83)))</f>
        <v>#N/A</v>
      </c>
      <c r="N83" s="136">
        <f t="shared" ref="N83:N102" si="34">IF(COUNTIF(C83:G83,"&gt;"&amp;100)=0,0,COUNTIF(C83:G83,"&gt;"&amp;100)-1)</f>
        <v>0</v>
      </c>
      <c r="O83" s="205" t="e">
        <f t="shared" si="31"/>
        <v>#N/A</v>
      </c>
      <c r="P83" s="139" t="e">
        <f t="shared" si="32"/>
        <v>#N/A</v>
      </c>
      <c r="V83" s="122"/>
      <c r="W83" s="122"/>
      <c r="X83" s="122"/>
      <c r="Y83" s="122"/>
      <c r="Z83" s="122"/>
    </row>
    <row r="84" spans="2:37" ht="15" customHeight="1">
      <c r="B84" s="136">
        <f t="shared" si="30"/>
        <v>0</v>
      </c>
      <c r="C84" s="136">
        <f>Length_2!E30</f>
        <v>0</v>
      </c>
      <c r="D84" s="136">
        <f>Length_2!F30</f>
        <v>0</v>
      </c>
      <c r="E84" s="136">
        <f>Length_2!G30</f>
        <v>0</v>
      </c>
      <c r="F84" s="136">
        <f>Length_2!H30</f>
        <v>0</v>
      </c>
      <c r="G84" s="136">
        <f>Length_2!I30</f>
        <v>0</v>
      </c>
      <c r="H84" s="205" t="e">
        <f>SQRT(SUMSQ(Length_2!P30,Length_2!Q30*Length_2!E30))/1000/I$46</f>
        <v>#N/A</v>
      </c>
      <c r="I84" s="205" t="e">
        <f>SQRT(SUMSQ(Length_2!R30,Length_2!S30*Length_2!F30))/1000/I$46</f>
        <v>#N/A</v>
      </c>
      <c r="J84" s="205" t="e">
        <f>SQRT(SUMSQ(Length_2!T30,Length_2!U30*Length_2!G30))/1000/I$46</f>
        <v>#N/A</v>
      </c>
      <c r="K84" s="205" t="e">
        <f>SQRT(SUMSQ(Length_2!V30,Length_2!W30*Length_2!H30))/1000/I$46</f>
        <v>#N/A</v>
      </c>
      <c r="L84" s="205" t="e">
        <f>SQRT(SUMSQ(Length_2!X30,Length_2!Y30*Length_2!I30))/1000/I$46</f>
        <v>#N/A</v>
      </c>
      <c r="M84" s="205" t="e">
        <f t="shared" si="33"/>
        <v>#N/A</v>
      </c>
      <c r="N84" s="136">
        <f t="shared" si="34"/>
        <v>0</v>
      </c>
      <c r="O84" s="205" t="e">
        <f t="shared" si="31"/>
        <v>#N/A</v>
      </c>
      <c r="P84" s="139" t="e">
        <f t="shared" si="32"/>
        <v>#N/A</v>
      </c>
      <c r="V84" s="122"/>
      <c r="W84" s="122"/>
      <c r="X84" s="122"/>
      <c r="Y84" s="122"/>
      <c r="Z84" s="122"/>
    </row>
    <row r="85" spans="2:37" ht="15" customHeight="1">
      <c r="B85" s="136">
        <f t="shared" si="30"/>
        <v>0</v>
      </c>
      <c r="C85" s="136">
        <f>Length_2!E31</f>
        <v>0</v>
      </c>
      <c r="D85" s="136">
        <f>Length_2!F31</f>
        <v>0</v>
      </c>
      <c r="E85" s="136">
        <f>Length_2!G31</f>
        <v>0</v>
      </c>
      <c r="F85" s="136">
        <f>Length_2!H31</f>
        <v>0</v>
      </c>
      <c r="G85" s="136">
        <f>Length_2!I31</f>
        <v>0</v>
      </c>
      <c r="H85" s="205" t="e">
        <f>SQRT(SUMSQ(Length_2!P31,Length_2!Q31*Length_2!E31))/1000/I$46</f>
        <v>#N/A</v>
      </c>
      <c r="I85" s="205" t="e">
        <f>SQRT(SUMSQ(Length_2!R31,Length_2!S31*Length_2!F31))/1000/I$46</f>
        <v>#N/A</v>
      </c>
      <c r="J85" s="205" t="e">
        <f>SQRT(SUMSQ(Length_2!T31,Length_2!U31*Length_2!G31))/1000/I$46</f>
        <v>#N/A</v>
      </c>
      <c r="K85" s="205" t="e">
        <f>SQRT(SUMSQ(Length_2!V31,Length_2!W31*Length_2!H31))/1000/I$46</f>
        <v>#N/A</v>
      </c>
      <c r="L85" s="205" t="e">
        <f>SQRT(SUMSQ(Length_2!X31,Length_2!Y31*Length_2!I31))/1000/I$46</f>
        <v>#N/A</v>
      </c>
      <c r="M85" s="205" t="e">
        <f t="shared" si="33"/>
        <v>#N/A</v>
      </c>
      <c r="N85" s="136">
        <f t="shared" si="34"/>
        <v>0</v>
      </c>
      <c r="O85" s="205" t="e">
        <f t="shared" si="31"/>
        <v>#N/A</v>
      </c>
      <c r="P85" s="139" t="e">
        <f t="shared" si="32"/>
        <v>#N/A</v>
      </c>
      <c r="V85" s="122"/>
      <c r="W85" s="122"/>
      <c r="X85" s="122"/>
      <c r="Y85" s="122"/>
      <c r="Z85" s="122"/>
    </row>
    <row r="86" spans="2:37" ht="15" customHeight="1">
      <c r="B86" s="136">
        <f t="shared" si="30"/>
        <v>0</v>
      </c>
      <c r="C86" s="136">
        <f>Length_2!E32</f>
        <v>0</v>
      </c>
      <c r="D86" s="136">
        <f>Length_2!F32</f>
        <v>0</v>
      </c>
      <c r="E86" s="136">
        <f>Length_2!G32</f>
        <v>0</v>
      </c>
      <c r="F86" s="136">
        <f>Length_2!H32</f>
        <v>0</v>
      </c>
      <c r="G86" s="136">
        <f>Length_2!I32</f>
        <v>0</v>
      </c>
      <c r="H86" s="205" t="e">
        <f>SQRT(SUMSQ(Length_2!P32,Length_2!Q32*Length_2!E32))/1000/I$46</f>
        <v>#N/A</v>
      </c>
      <c r="I86" s="205" t="e">
        <f>SQRT(SUMSQ(Length_2!R32,Length_2!S32*Length_2!F32))/1000/I$46</f>
        <v>#N/A</v>
      </c>
      <c r="J86" s="205" t="e">
        <f>SQRT(SUMSQ(Length_2!T32,Length_2!U32*Length_2!G32))/1000/I$46</f>
        <v>#N/A</v>
      </c>
      <c r="K86" s="205" t="e">
        <f>SQRT(SUMSQ(Length_2!V32,Length_2!W32*Length_2!H32))/1000/I$46</f>
        <v>#N/A</v>
      </c>
      <c r="L86" s="205" t="e">
        <f>SQRT(SUMSQ(Length_2!X32,Length_2!Y32*Length_2!I32))/1000/I$46</f>
        <v>#N/A</v>
      </c>
      <c r="M86" s="205" t="e">
        <f t="shared" si="33"/>
        <v>#N/A</v>
      </c>
      <c r="N86" s="136">
        <f t="shared" si="34"/>
        <v>0</v>
      </c>
      <c r="O86" s="205" t="e">
        <f t="shared" si="31"/>
        <v>#N/A</v>
      </c>
      <c r="P86" s="139" t="e">
        <f t="shared" si="32"/>
        <v>#N/A</v>
      </c>
      <c r="V86" s="122"/>
      <c r="W86" s="122"/>
      <c r="X86" s="122"/>
      <c r="Y86" s="122"/>
      <c r="Z86" s="122"/>
    </row>
    <row r="87" spans="2:37" ht="15" customHeight="1">
      <c r="B87" s="136">
        <f t="shared" si="30"/>
        <v>0</v>
      </c>
      <c r="C87" s="136">
        <f>Length_2!E33</f>
        <v>0</v>
      </c>
      <c r="D87" s="136">
        <f>Length_2!F33</f>
        <v>0</v>
      </c>
      <c r="E87" s="136">
        <f>Length_2!G33</f>
        <v>0</v>
      </c>
      <c r="F87" s="136">
        <f>Length_2!H33</f>
        <v>0</v>
      </c>
      <c r="G87" s="136">
        <f>Length_2!I33</f>
        <v>0</v>
      </c>
      <c r="H87" s="205" t="e">
        <f>SQRT(SUMSQ(Length_2!P33,Length_2!Q33*Length_2!E33))/1000/I$46</f>
        <v>#N/A</v>
      </c>
      <c r="I87" s="205" t="e">
        <f>SQRT(SUMSQ(Length_2!R33,Length_2!S33*Length_2!F33))/1000/I$46</f>
        <v>#N/A</v>
      </c>
      <c r="J87" s="205" t="e">
        <f>SQRT(SUMSQ(Length_2!T33,Length_2!U33*Length_2!G33))/1000/I$46</f>
        <v>#N/A</v>
      </c>
      <c r="K87" s="205" t="e">
        <f>SQRT(SUMSQ(Length_2!V33,Length_2!W33*Length_2!H33))/1000/I$46</f>
        <v>#N/A</v>
      </c>
      <c r="L87" s="205" t="e">
        <f>SQRT(SUMSQ(Length_2!X33,Length_2!Y33*Length_2!I33))/1000/I$46</f>
        <v>#N/A</v>
      </c>
      <c r="M87" s="205" t="e">
        <f t="shared" si="33"/>
        <v>#N/A</v>
      </c>
      <c r="N87" s="136">
        <f t="shared" si="34"/>
        <v>0</v>
      </c>
      <c r="O87" s="205" t="e">
        <f t="shared" si="31"/>
        <v>#N/A</v>
      </c>
      <c r="P87" s="139" t="e">
        <f t="shared" si="32"/>
        <v>#N/A</v>
      </c>
      <c r="V87" s="122"/>
      <c r="W87" s="122"/>
      <c r="X87" s="122"/>
      <c r="Y87" s="122"/>
      <c r="Z87" s="122"/>
    </row>
    <row r="88" spans="2:37" ht="15" customHeight="1">
      <c r="B88" s="136">
        <f t="shared" si="30"/>
        <v>0</v>
      </c>
      <c r="C88" s="136">
        <f>Length_2!E34</f>
        <v>0</v>
      </c>
      <c r="D88" s="136">
        <f>Length_2!F34</f>
        <v>0</v>
      </c>
      <c r="E88" s="136">
        <f>Length_2!G34</f>
        <v>0</v>
      </c>
      <c r="F88" s="136">
        <f>Length_2!H34</f>
        <v>0</v>
      </c>
      <c r="G88" s="136">
        <f>Length_2!I34</f>
        <v>0</v>
      </c>
      <c r="H88" s="205" t="e">
        <f>SQRT(SUMSQ(Length_2!P34,Length_2!Q34*Length_2!E34))/1000/I$46</f>
        <v>#N/A</v>
      </c>
      <c r="I88" s="205" t="e">
        <f>SQRT(SUMSQ(Length_2!R34,Length_2!S34*Length_2!F34))/1000/I$46</f>
        <v>#N/A</v>
      </c>
      <c r="J88" s="205" t="e">
        <f>SQRT(SUMSQ(Length_2!T34,Length_2!U34*Length_2!G34))/1000/I$46</f>
        <v>#N/A</v>
      </c>
      <c r="K88" s="205" t="e">
        <f>SQRT(SUMSQ(Length_2!V34,Length_2!W34*Length_2!H34))/1000/I$46</f>
        <v>#N/A</v>
      </c>
      <c r="L88" s="205" t="e">
        <f>SQRT(SUMSQ(Length_2!X34,Length_2!Y34*Length_2!I34))/1000/I$46</f>
        <v>#N/A</v>
      </c>
      <c r="M88" s="205" t="e">
        <f t="shared" si="33"/>
        <v>#N/A</v>
      </c>
      <c r="N88" s="136">
        <f t="shared" si="34"/>
        <v>0</v>
      </c>
      <c r="O88" s="205" t="e">
        <f t="shared" si="31"/>
        <v>#N/A</v>
      </c>
      <c r="P88" s="139" t="e">
        <f t="shared" si="32"/>
        <v>#N/A</v>
      </c>
      <c r="V88" s="122"/>
      <c r="W88" s="122"/>
      <c r="X88" s="122"/>
      <c r="Y88" s="122"/>
      <c r="Z88" s="122"/>
    </row>
    <row r="89" spans="2:37" ht="15" customHeight="1">
      <c r="B89" s="136">
        <f t="shared" si="30"/>
        <v>0</v>
      </c>
      <c r="C89" s="136">
        <f>Length_2!E35</f>
        <v>0</v>
      </c>
      <c r="D89" s="136">
        <f>Length_2!F35</f>
        <v>0</v>
      </c>
      <c r="E89" s="136">
        <f>Length_2!G35</f>
        <v>0</v>
      </c>
      <c r="F89" s="136">
        <f>Length_2!H35</f>
        <v>0</v>
      </c>
      <c r="G89" s="136">
        <f>Length_2!I35</f>
        <v>0</v>
      </c>
      <c r="H89" s="205" t="e">
        <f>SQRT(SUMSQ(Length_2!P35,Length_2!Q35*Length_2!E35))/1000/I$46</f>
        <v>#N/A</v>
      </c>
      <c r="I89" s="205" t="e">
        <f>SQRT(SUMSQ(Length_2!R35,Length_2!S35*Length_2!F35))/1000/I$46</f>
        <v>#N/A</v>
      </c>
      <c r="J89" s="205" t="e">
        <f>SQRT(SUMSQ(Length_2!T35,Length_2!U35*Length_2!G35))/1000/I$46</f>
        <v>#N/A</v>
      </c>
      <c r="K89" s="205" t="e">
        <f>SQRT(SUMSQ(Length_2!V35,Length_2!W35*Length_2!H35))/1000/I$46</f>
        <v>#N/A</v>
      </c>
      <c r="L89" s="205" t="e">
        <f>SQRT(SUMSQ(Length_2!X35,Length_2!Y35*Length_2!I35))/1000/I$46</f>
        <v>#N/A</v>
      </c>
      <c r="M89" s="205" t="e">
        <f t="shared" si="33"/>
        <v>#N/A</v>
      </c>
      <c r="N89" s="136">
        <f t="shared" si="34"/>
        <v>0</v>
      </c>
      <c r="O89" s="205" t="e">
        <f t="shared" si="31"/>
        <v>#N/A</v>
      </c>
      <c r="P89" s="139" t="e">
        <f t="shared" si="32"/>
        <v>#N/A</v>
      </c>
      <c r="V89" s="122"/>
      <c r="W89" s="122"/>
      <c r="X89" s="122"/>
      <c r="Y89" s="122"/>
      <c r="Z89" s="122"/>
    </row>
    <row r="90" spans="2:37" ht="15" customHeight="1">
      <c r="B90" s="136">
        <f t="shared" si="30"/>
        <v>0</v>
      </c>
      <c r="C90" s="136">
        <f>Length_2!E36</f>
        <v>0</v>
      </c>
      <c r="D90" s="136">
        <f>Length_2!F36</f>
        <v>0</v>
      </c>
      <c r="E90" s="136">
        <f>Length_2!G36</f>
        <v>0</v>
      </c>
      <c r="F90" s="136">
        <f>Length_2!H36</f>
        <v>0</v>
      </c>
      <c r="G90" s="136">
        <f>Length_2!I36</f>
        <v>0</v>
      </c>
      <c r="H90" s="205" t="e">
        <f>SQRT(SUMSQ(Length_2!P36,Length_2!Q36*Length_2!E36))/1000/I$46</f>
        <v>#N/A</v>
      </c>
      <c r="I90" s="205" t="e">
        <f>SQRT(SUMSQ(Length_2!R36,Length_2!S36*Length_2!F36))/1000/I$46</f>
        <v>#N/A</v>
      </c>
      <c r="J90" s="205" t="e">
        <f>SQRT(SUMSQ(Length_2!T36,Length_2!U36*Length_2!G36))/1000/I$46</f>
        <v>#N/A</v>
      </c>
      <c r="K90" s="205" t="e">
        <f>SQRT(SUMSQ(Length_2!V36,Length_2!W36*Length_2!H36))/1000/I$46</f>
        <v>#N/A</v>
      </c>
      <c r="L90" s="205" t="e">
        <f>SQRT(SUMSQ(Length_2!X36,Length_2!Y36*Length_2!I36))/1000/I$46</f>
        <v>#N/A</v>
      </c>
      <c r="M90" s="205" t="e">
        <f t="shared" si="33"/>
        <v>#N/A</v>
      </c>
      <c r="N90" s="136">
        <f t="shared" si="34"/>
        <v>0</v>
      </c>
      <c r="O90" s="205" t="e">
        <f t="shared" si="31"/>
        <v>#N/A</v>
      </c>
      <c r="P90" s="139" t="e">
        <f t="shared" si="32"/>
        <v>#N/A</v>
      </c>
      <c r="V90" s="122"/>
      <c r="W90" s="122"/>
      <c r="X90" s="122"/>
      <c r="Y90" s="122"/>
      <c r="Z90" s="122"/>
    </row>
    <row r="91" spans="2:37" ht="15" customHeight="1">
      <c r="B91" s="136">
        <f t="shared" si="30"/>
        <v>0</v>
      </c>
      <c r="C91" s="136">
        <f>Length_2!E37</f>
        <v>0</v>
      </c>
      <c r="D91" s="136">
        <f>Length_2!F37</f>
        <v>0</v>
      </c>
      <c r="E91" s="136">
        <f>Length_2!G37</f>
        <v>0</v>
      </c>
      <c r="F91" s="136">
        <f>Length_2!H37</f>
        <v>0</v>
      </c>
      <c r="G91" s="136">
        <f>Length_2!I37</f>
        <v>0</v>
      </c>
      <c r="H91" s="205" t="e">
        <f>SQRT(SUMSQ(Length_2!P37,Length_2!Q37*Length_2!E37))/1000/I$46</f>
        <v>#N/A</v>
      </c>
      <c r="I91" s="205" t="e">
        <f>SQRT(SUMSQ(Length_2!R37,Length_2!S37*Length_2!F37))/1000/I$46</f>
        <v>#N/A</v>
      </c>
      <c r="J91" s="205" t="e">
        <f>SQRT(SUMSQ(Length_2!T37,Length_2!U37*Length_2!G37))/1000/I$46</f>
        <v>#N/A</v>
      </c>
      <c r="K91" s="205" t="e">
        <f>SQRT(SUMSQ(Length_2!V37,Length_2!W37*Length_2!H37))/1000/I$46</f>
        <v>#N/A</v>
      </c>
      <c r="L91" s="205" t="e">
        <f>SQRT(SUMSQ(Length_2!X37,Length_2!Y37*Length_2!I37))/1000/I$46</f>
        <v>#N/A</v>
      </c>
      <c r="M91" s="205" t="e">
        <f t="shared" si="33"/>
        <v>#N/A</v>
      </c>
      <c r="N91" s="136">
        <f t="shared" si="34"/>
        <v>0</v>
      </c>
      <c r="O91" s="205" t="e">
        <f t="shared" si="31"/>
        <v>#N/A</v>
      </c>
      <c r="P91" s="139" t="e">
        <f t="shared" si="32"/>
        <v>#N/A</v>
      </c>
      <c r="V91" s="122"/>
      <c r="W91" s="122"/>
      <c r="X91" s="122"/>
      <c r="Y91" s="122"/>
      <c r="Z91" s="122"/>
      <c r="AK91" s="120"/>
    </row>
    <row r="92" spans="2:37" ht="15" customHeight="1">
      <c r="B92" s="136">
        <f t="shared" si="30"/>
        <v>0</v>
      </c>
      <c r="C92" s="136">
        <f>Length_2!E38</f>
        <v>0</v>
      </c>
      <c r="D92" s="136">
        <f>Length_2!F38</f>
        <v>0</v>
      </c>
      <c r="E92" s="136">
        <f>Length_2!G38</f>
        <v>0</v>
      </c>
      <c r="F92" s="136">
        <f>Length_2!H38</f>
        <v>0</v>
      </c>
      <c r="G92" s="136">
        <f>Length_2!I38</f>
        <v>0</v>
      </c>
      <c r="H92" s="205" t="e">
        <f>SQRT(SUMSQ(Length_2!P38,Length_2!Q38*Length_2!E38))/1000/I$46</f>
        <v>#N/A</v>
      </c>
      <c r="I92" s="205" t="e">
        <f>SQRT(SUMSQ(Length_2!R38,Length_2!S38*Length_2!F38))/1000/I$46</f>
        <v>#N/A</v>
      </c>
      <c r="J92" s="205" t="e">
        <f>SQRT(SUMSQ(Length_2!T38,Length_2!U38*Length_2!G38))/1000/I$46</f>
        <v>#N/A</v>
      </c>
      <c r="K92" s="205" t="e">
        <f>SQRT(SUMSQ(Length_2!V38,Length_2!W38*Length_2!H38))/1000/I$46</f>
        <v>#N/A</v>
      </c>
      <c r="L92" s="205" t="e">
        <f>SQRT(SUMSQ(Length_2!X38,Length_2!Y38*Length_2!I38))/1000/I$46</f>
        <v>#N/A</v>
      </c>
      <c r="M92" s="205" t="e">
        <f t="shared" si="33"/>
        <v>#N/A</v>
      </c>
      <c r="N92" s="136">
        <f t="shared" si="34"/>
        <v>0</v>
      </c>
      <c r="O92" s="205" t="e">
        <f t="shared" si="31"/>
        <v>#N/A</v>
      </c>
      <c r="P92" s="139" t="e">
        <f t="shared" si="32"/>
        <v>#N/A</v>
      </c>
      <c r="V92" s="122"/>
      <c r="W92" s="122"/>
      <c r="X92" s="122"/>
      <c r="Y92" s="122"/>
      <c r="Z92" s="122"/>
      <c r="AK92" s="120"/>
    </row>
    <row r="93" spans="2:37" ht="15" customHeight="1">
      <c r="B93" s="136">
        <f t="shared" si="30"/>
        <v>0</v>
      </c>
      <c r="C93" s="136">
        <f>Length_2!E39</f>
        <v>0</v>
      </c>
      <c r="D93" s="136">
        <f>Length_2!F39</f>
        <v>0</v>
      </c>
      <c r="E93" s="136">
        <f>Length_2!G39</f>
        <v>0</v>
      </c>
      <c r="F93" s="136">
        <f>Length_2!H39</f>
        <v>0</v>
      </c>
      <c r="G93" s="136">
        <f>Length_2!I39</f>
        <v>0</v>
      </c>
      <c r="H93" s="205" t="e">
        <f>SQRT(SUMSQ(Length_2!P39,Length_2!Q39*Length_2!E39))/1000/I$46</f>
        <v>#N/A</v>
      </c>
      <c r="I93" s="205" t="e">
        <f>SQRT(SUMSQ(Length_2!R39,Length_2!S39*Length_2!F39))/1000/I$46</f>
        <v>#N/A</v>
      </c>
      <c r="J93" s="205" t="e">
        <f>SQRT(SUMSQ(Length_2!T39,Length_2!U39*Length_2!G39))/1000/I$46</f>
        <v>#N/A</v>
      </c>
      <c r="K93" s="205" t="e">
        <f>SQRT(SUMSQ(Length_2!V39,Length_2!W39*Length_2!H39))/1000/I$46</f>
        <v>#N/A</v>
      </c>
      <c r="L93" s="205" t="e">
        <f>SQRT(SUMSQ(Length_2!X39,Length_2!Y39*Length_2!I39))/1000/I$46</f>
        <v>#N/A</v>
      </c>
      <c r="M93" s="205" t="e">
        <f t="shared" si="33"/>
        <v>#N/A</v>
      </c>
      <c r="N93" s="136">
        <f t="shared" si="34"/>
        <v>0</v>
      </c>
      <c r="O93" s="205" t="e">
        <f t="shared" si="31"/>
        <v>#N/A</v>
      </c>
      <c r="P93" s="139" t="e">
        <f t="shared" si="32"/>
        <v>#N/A</v>
      </c>
      <c r="V93" s="122"/>
      <c r="W93" s="122"/>
      <c r="X93" s="122"/>
      <c r="Y93" s="122"/>
      <c r="Z93" s="122"/>
    </row>
    <row r="94" spans="2:37" ht="15" customHeight="1">
      <c r="B94" s="136">
        <f t="shared" si="30"/>
        <v>0</v>
      </c>
      <c r="C94" s="136">
        <f>Length_2!E40</f>
        <v>0</v>
      </c>
      <c r="D94" s="136">
        <f>Length_2!F40</f>
        <v>0</v>
      </c>
      <c r="E94" s="136">
        <f>Length_2!G40</f>
        <v>0</v>
      </c>
      <c r="F94" s="136">
        <f>Length_2!H40</f>
        <v>0</v>
      </c>
      <c r="G94" s="136">
        <f>Length_2!I40</f>
        <v>0</v>
      </c>
      <c r="H94" s="205" t="e">
        <f>SQRT(SUMSQ(Length_2!P40,Length_2!Q40*Length_2!E40))/1000/I$46</f>
        <v>#N/A</v>
      </c>
      <c r="I94" s="205" t="e">
        <f>SQRT(SUMSQ(Length_2!R40,Length_2!S40*Length_2!F40))/1000/I$46</f>
        <v>#N/A</v>
      </c>
      <c r="J94" s="205" t="e">
        <f>SQRT(SUMSQ(Length_2!T40,Length_2!U40*Length_2!G40))/1000/I$46</f>
        <v>#N/A</v>
      </c>
      <c r="K94" s="205" t="e">
        <f>SQRT(SUMSQ(Length_2!V40,Length_2!W40*Length_2!H40))/1000/I$46</f>
        <v>#N/A</v>
      </c>
      <c r="L94" s="205" t="e">
        <f>SQRT(SUMSQ(Length_2!X40,Length_2!Y40*Length_2!I40))/1000/I$46</f>
        <v>#N/A</v>
      </c>
      <c r="M94" s="205" t="e">
        <f t="shared" si="33"/>
        <v>#N/A</v>
      </c>
      <c r="N94" s="136">
        <f t="shared" si="34"/>
        <v>0</v>
      </c>
      <c r="O94" s="205" t="e">
        <f t="shared" si="31"/>
        <v>#N/A</v>
      </c>
      <c r="P94" s="139" t="e">
        <f t="shared" si="32"/>
        <v>#N/A</v>
      </c>
      <c r="V94" s="122"/>
      <c r="W94" s="122"/>
      <c r="X94" s="122"/>
      <c r="Y94" s="122"/>
      <c r="Z94" s="122"/>
    </row>
    <row r="95" spans="2:37" ht="15" customHeight="1">
      <c r="B95" s="136">
        <f t="shared" si="30"/>
        <v>0</v>
      </c>
      <c r="C95" s="136">
        <f>Length_2!E41</f>
        <v>0</v>
      </c>
      <c r="D95" s="136">
        <f>Length_2!F41</f>
        <v>0</v>
      </c>
      <c r="E95" s="136">
        <f>Length_2!G41</f>
        <v>0</v>
      </c>
      <c r="F95" s="136">
        <f>Length_2!H41</f>
        <v>0</v>
      </c>
      <c r="G95" s="136">
        <f>Length_2!I41</f>
        <v>0</v>
      </c>
      <c r="H95" s="205" t="e">
        <f>SQRT(SUMSQ(Length_2!P41,Length_2!Q41*Length_2!E41))/1000/I$46</f>
        <v>#N/A</v>
      </c>
      <c r="I95" s="205" t="e">
        <f>SQRT(SUMSQ(Length_2!R41,Length_2!S41*Length_2!F41))/1000/I$46</f>
        <v>#N/A</v>
      </c>
      <c r="J95" s="205" t="e">
        <f>SQRT(SUMSQ(Length_2!T41,Length_2!U41*Length_2!G41))/1000/I$46</f>
        <v>#N/A</v>
      </c>
      <c r="K95" s="205" t="e">
        <f>SQRT(SUMSQ(Length_2!V41,Length_2!W41*Length_2!H41))/1000/I$46</f>
        <v>#N/A</v>
      </c>
      <c r="L95" s="205" t="e">
        <f>SQRT(SUMSQ(Length_2!X41,Length_2!Y41*Length_2!I41))/1000/I$46</f>
        <v>#N/A</v>
      </c>
      <c r="M95" s="205" t="e">
        <f t="shared" si="33"/>
        <v>#N/A</v>
      </c>
      <c r="N95" s="136">
        <f t="shared" si="34"/>
        <v>0</v>
      </c>
      <c r="O95" s="205" t="e">
        <f t="shared" si="31"/>
        <v>#N/A</v>
      </c>
      <c r="P95" s="139" t="e">
        <f t="shared" si="32"/>
        <v>#N/A</v>
      </c>
      <c r="W95" s="122"/>
      <c r="X95" s="122"/>
      <c r="Y95" s="122"/>
      <c r="Z95" s="122"/>
    </row>
    <row r="96" spans="2:37" ht="15" customHeight="1">
      <c r="B96" s="136">
        <f t="shared" si="30"/>
        <v>0</v>
      </c>
      <c r="C96" s="136">
        <f>Length_2!E42</f>
        <v>0</v>
      </c>
      <c r="D96" s="136">
        <f>Length_2!F42</f>
        <v>0</v>
      </c>
      <c r="E96" s="136">
        <f>Length_2!G42</f>
        <v>0</v>
      </c>
      <c r="F96" s="136">
        <f>Length_2!H42</f>
        <v>0</v>
      </c>
      <c r="G96" s="136">
        <f>Length_2!I42</f>
        <v>0</v>
      </c>
      <c r="H96" s="205" t="e">
        <f>SQRT(SUMSQ(Length_2!P42,Length_2!Q42*Length_2!E42))/1000/I$46</f>
        <v>#N/A</v>
      </c>
      <c r="I96" s="205" t="e">
        <f>SQRT(SUMSQ(Length_2!R42,Length_2!S42*Length_2!F42))/1000/I$46</f>
        <v>#N/A</v>
      </c>
      <c r="J96" s="205" t="e">
        <f>SQRT(SUMSQ(Length_2!T42,Length_2!U42*Length_2!G42))/1000/I$46</f>
        <v>#N/A</v>
      </c>
      <c r="K96" s="205" t="e">
        <f>SQRT(SUMSQ(Length_2!V42,Length_2!W42*Length_2!H42))/1000/I$46</f>
        <v>#N/A</v>
      </c>
      <c r="L96" s="205" t="e">
        <f>SQRT(SUMSQ(Length_2!X42,Length_2!Y42*Length_2!I42))/1000/I$46</f>
        <v>#N/A</v>
      </c>
      <c r="M96" s="205" t="e">
        <f t="shared" si="33"/>
        <v>#N/A</v>
      </c>
      <c r="N96" s="136">
        <f t="shared" si="34"/>
        <v>0</v>
      </c>
      <c r="O96" s="205" t="e">
        <f t="shared" si="31"/>
        <v>#N/A</v>
      </c>
      <c r="P96" s="139" t="e">
        <f t="shared" si="32"/>
        <v>#N/A</v>
      </c>
      <c r="V96" s="122"/>
      <c r="W96" s="122"/>
      <c r="X96" s="122"/>
      <c r="Y96" s="122"/>
      <c r="Z96" s="122"/>
    </row>
    <row r="97" spans="2:33" ht="15" customHeight="1">
      <c r="B97" s="136">
        <f t="shared" si="30"/>
        <v>0</v>
      </c>
      <c r="C97" s="136">
        <f>Length_2!E43</f>
        <v>0</v>
      </c>
      <c r="D97" s="136">
        <f>Length_2!F43</f>
        <v>0</v>
      </c>
      <c r="E97" s="136">
        <f>Length_2!G43</f>
        <v>0</v>
      </c>
      <c r="F97" s="136">
        <f>Length_2!H43</f>
        <v>0</v>
      </c>
      <c r="G97" s="136">
        <f>Length_2!I43</f>
        <v>0</v>
      </c>
      <c r="H97" s="205" t="e">
        <f>SQRT(SUMSQ(Length_2!P43,Length_2!Q43*Length_2!E43))/1000/I$46</f>
        <v>#N/A</v>
      </c>
      <c r="I97" s="205" t="e">
        <f>SQRT(SUMSQ(Length_2!R43,Length_2!S43*Length_2!F43))/1000/I$46</f>
        <v>#N/A</v>
      </c>
      <c r="J97" s="205" t="e">
        <f>SQRT(SUMSQ(Length_2!T43,Length_2!U43*Length_2!G43))/1000/I$46</f>
        <v>#N/A</v>
      </c>
      <c r="K97" s="205" t="e">
        <f>SQRT(SUMSQ(Length_2!V43,Length_2!W43*Length_2!H43))/1000/I$46</f>
        <v>#N/A</v>
      </c>
      <c r="L97" s="205" t="e">
        <f>SQRT(SUMSQ(Length_2!X43,Length_2!Y43*Length_2!I43))/1000/I$46</f>
        <v>#N/A</v>
      </c>
      <c r="M97" s="205" t="e">
        <f t="shared" si="33"/>
        <v>#N/A</v>
      </c>
      <c r="N97" s="136">
        <f t="shared" si="34"/>
        <v>0</v>
      </c>
      <c r="O97" s="205" t="e">
        <f t="shared" si="31"/>
        <v>#N/A</v>
      </c>
      <c r="P97" s="139" t="e">
        <f t="shared" si="32"/>
        <v>#N/A</v>
      </c>
      <c r="V97" s="122"/>
      <c r="W97" s="122"/>
      <c r="X97" s="122"/>
      <c r="Y97" s="122"/>
      <c r="Z97" s="122"/>
    </row>
    <row r="98" spans="2:33" ht="15" customHeight="1">
      <c r="B98" s="136">
        <f t="shared" si="30"/>
        <v>0</v>
      </c>
      <c r="C98" s="136">
        <f>Length_2!E44</f>
        <v>0</v>
      </c>
      <c r="D98" s="136">
        <f>Length_2!F44</f>
        <v>0</v>
      </c>
      <c r="E98" s="136">
        <f>Length_2!G44</f>
        <v>0</v>
      </c>
      <c r="F98" s="136">
        <f>Length_2!H44</f>
        <v>0</v>
      </c>
      <c r="G98" s="136">
        <f>Length_2!I44</f>
        <v>0</v>
      </c>
      <c r="H98" s="205" t="e">
        <f>SQRT(SUMSQ(Length_2!P44,Length_2!Q44*Length_2!E44))/1000/I$46</f>
        <v>#N/A</v>
      </c>
      <c r="I98" s="205" t="e">
        <f>SQRT(SUMSQ(Length_2!R44,Length_2!S44*Length_2!F44))/1000/I$46</f>
        <v>#N/A</v>
      </c>
      <c r="J98" s="205" t="e">
        <f>SQRT(SUMSQ(Length_2!T44,Length_2!U44*Length_2!G44))/1000/I$46</f>
        <v>#N/A</v>
      </c>
      <c r="K98" s="205" t="e">
        <f>SQRT(SUMSQ(Length_2!V44,Length_2!W44*Length_2!H44))/1000/I$46</f>
        <v>#N/A</v>
      </c>
      <c r="L98" s="205" t="e">
        <f>SQRT(SUMSQ(Length_2!X44,Length_2!Y44*Length_2!I44))/1000/I$46</f>
        <v>#N/A</v>
      </c>
      <c r="M98" s="205" t="e">
        <f t="shared" si="33"/>
        <v>#N/A</v>
      </c>
      <c r="N98" s="136">
        <f t="shared" si="34"/>
        <v>0</v>
      </c>
      <c r="O98" s="205" t="e">
        <f t="shared" si="31"/>
        <v>#N/A</v>
      </c>
      <c r="P98" s="139" t="e">
        <f t="shared" si="32"/>
        <v>#N/A</v>
      </c>
      <c r="V98" s="122"/>
      <c r="W98" s="122"/>
      <c r="X98" s="122"/>
      <c r="Y98" s="122"/>
      <c r="Z98" s="122"/>
      <c r="AF98" s="122"/>
      <c r="AG98" s="122"/>
    </row>
    <row r="99" spans="2:33" ht="15" customHeight="1">
      <c r="B99" s="136">
        <f t="shared" si="30"/>
        <v>0</v>
      </c>
      <c r="C99" s="136">
        <f>Length_2!E45</f>
        <v>0</v>
      </c>
      <c r="D99" s="136">
        <f>Length_2!F45</f>
        <v>0</v>
      </c>
      <c r="E99" s="136">
        <f>Length_2!G45</f>
        <v>0</v>
      </c>
      <c r="F99" s="136">
        <f>Length_2!H45</f>
        <v>0</v>
      </c>
      <c r="G99" s="136">
        <f>Length_2!I45</f>
        <v>0</v>
      </c>
      <c r="H99" s="205" t="e">
        <f>SQRT(SUMSQ(Length_2!P45,Length_2!Q45*Length_2!E45))/1000/I$46</f>
        <v>#N/A</v>
      </c>
      <c r="I99" s="205" t="e">
        <f>SQRT(SUMSQ(Length_2!R45,Length_2!S45*Length_2!F45))/1000/I$46</f>
        <v>#N/A</v>
      </c>
      <c r="J99" s="205" t="e">
        <f>SQRT(SUMSQ(Length_2!T45,Length_2!U45*Length_2!G45))/1000/I$46</f>
        <v>#N/A</v>
      </c>
      <c r="K99" s="205" t="e">
        <f>SQRT(SUMSQ(Length_2!V45,Length_2!W45*Length_2!H45))/1000/I$46</f>
        <v>#N/A</v>
      </c>
      <c r="L99" s="205" t="e">
        <f>SQRT(SUMSQ(Length_2!X45,Length_2!Y45*Length_2!I45))/1000/I$46</f>
        <v>#N/A</v>
      </c>
      <c r="M99" s="205" t="e">
        <f t="shared" si="33"/>
        <v>#N/A</v>
      </c>
      <c r="N99" s="136">
        <f t="shared" si="34"/>
        <v>0</v>
      </c>
      <c r="O99" s="205" t="e">
        <f t="shared" si="31"/>
        <v>#N/A</v>
      </c>
      <c r="P99" s="139" t="e">
        <f t="shared" si="32"/>
        <v>#N/A</v>
      </c>
      <c r="V99" s="122"/>
      <c r="W99" s="122"/>
      <c r="X99" s="122"/>
      <c r="Y99" s="122"/>
      <c r="Z99" s="122"/>
      <c r="AF99" s="122"/>
      <c r="AG99" s="122"/>
    </row>
    <row r="100" spans="2:33" ht="15" customHeight="1">
      <c r="B100" s="136">
        <f t="shared" si="30"/>
        <v>0</v>
      </c>
      <c r="C100" s="136">
        <f>Length_2!E46</f>
        <v>0</v>
      </c>
      <c r="D100" s="136">
        <f>Length_2!F46</f>
        <v>0</v>
      </c>
      <c r="E100" s="136">
        <f>Length_2!G46</f>
        <v>0</v>
      </c>
      <c r="F100" s="136">
        <f>Length_2!H46</f>
        <v>0</v>
      </c>
      <c r="G100" s="136">
        <f>Length_2!I46</f>
        <v>0</v>
      </c>
      <c r="H100" s="205" t="e">
        <f>SQRT(SUMSQ(Length_2!P46,Length_2!Q46*Length_2!E46))/1000/I$46</f>
        <v>#N/A</v>
      </c>
      <c r="I100" s="205" t="e">
        <f>SQRT(SUMSQ(Length_2!R46,Length_2!S46*Length_2!F46))/1000/I$46</f>
        <v>#N/A</v>
      </c>
      <c r="J100" s="205" t="e">
        <f>SQRT(SUMSQ(Length_2!T46,Length_2!U46*Length_2!G46))/1000/I$46</f>
        <v>#N/A</v>
      </c>
      <c r="K100" s="205" t="e">
        <f>SQRT(SUMSQ(Length_2!V46,Length_2!W46*Length_2!H46))/1000/I$46</f>
        <v>#N/A</v>
      </c>
      <c r="L100" s="205" t="e">
        <f>SQRT(SUMSQ(Length_2!X46,Length_2!Y46*Length_2!I46))/1000/I$46</f>
        <v>#N/A</v>
      </c>
      <c r="M100" s="205" t="e">
        <f t="shared" si="33"/>
        <v>#N/A</v>
      </c>
      <c r="N100" s="136">
        <f t="shared" si="34"/>
        <v>0</v>
      </c>
      <c r="O100" s="205" t="e">
        <f t="shared" si="31"/>
        <v>#N/A</v>
      </c>
      <c r="P100" s="139" t="e">
        <f t="shared" si="32"/>
        <v>#N/A</v>
      </c>
      <c r="V100" s="122"/>
      <c r="W100" s="122"/>
      <c r="X100" s="122"/>
      <c r="Y100" s="122"/>
      <c r="Z100" s="122"/>
      <c r="AF100" s="122"/>
      <c r="AG100" s="122"/>
    </row>
    <row r="101" spans="2:33" ht="15" customHeight="1">
      <c r="B101" s="136">
        <f t="shared" si="30"/>
        <v>0</v>
      </c>
      <c r="C101" s="136">
        <f>Length_2!E47</f>
        <v>0</v>
      </c>
      <c r="D101" s="136">
        <f>Length_2!F47</f>
        <v>0</v>
      </c>
      <c r="E101" s="136">
        <f>Length_2!G47</f>
        <v>0</v>
      </c>
      <c r="F101" s="136">
        <f>Length_2!H47</f>
        <v>0</v>
      </c>
      <c r="G101" s="136">
        <f>Length_2!I47</f>
        <v>0</v>
      </c>
      <c r="H101" s="205" t="e">
        <f>SQRT(SUMSQ(Length_2!P47,Length_2!Q47*Length_2!E47))/1000/I$46</f>
        <v>#N/A</v>
      </c>
      <c r="I101" s="205" t="e">
        <f>SQRT(SUMSQ(Length_2!R47,Length_2!S47*Length_2!F47))/1000/I$46</f>
        <v>#N/A</v>
      </c>
      <c r="J101" s="205" t="e">
        <f>SQRT(SUMSQ(Length_2!T47,Length_2!U47*Length_2!G47))/1000/I$46</f>
        <v>#N/A</v>
      </c>
      <c r="K101" s="205" t="e">
        <f>SQRT(SUMSQ(Length_2!V47,Length_2!W47*Length_2!H47))/1000/I$46</f>
        <v>#N/A</v>
      </c>
      <c r="L101" s="205" t="e">
        <f>SQRT(SUMSQ(Length_2!X47,Length_2!Y47*Length_2!I47))/1000/I$46</f>
        <v>#N/A</v>
      </c>
      <c r="M101" s="205" t="e">
        <f t="shared" si="33"/>
        <v>#N/A</v>
      </c>
      <c r="N101" s="136">
        <f t="shared" si="34"/>
        <v>0</v>
      </c>
      <c r="O101" s="205" t="e">
        <f t="shared" si="31"/>
        <v>#N/A</v>
      </c>
      <c r="P101" s="139" t="e">
        <f t="shared" si="32"/>
        <v>#N/A</v>
      </c>
      <c r="V101" s="122"/>
      <c r="W101" s="122"/>
      <c r="X101" s="122"/>
      <c r="Y101" s="122"/>
      <c r="Z101" s="122"/>
      <c r="AF101" s="122"/>
      <c r="AG101" s="122"/>
    </row>
    <row r="102" spans="2:33" ht="15" customHeight="1">
      <c r="B102" s="136">
        <f t="shared" si="30"/>
        <v>0</v>
      </c>
      <c r="C102" s="136">
        <f>Length_2!E48</f>
        <v>0</v>
      </c>
      <c r="D102" s="136">
        <f>Length_2!F48</f>
        <v>0</v>
      </c>
      <c r="E102" s="136">
        <f>Length_2!G48</f>
        <v>0</v>
      </c>
      <c r="F102" s="136">
        <f>Length_2!H48</f>
        <v>0</v>
      </c>
      <c r="G102" s="136">
        <f>Length_2!I48</f>
        <v>0</v>
      </c>
      <c r="H102" s="205" t="e">
        <f>SQRT(SUMSQ(Length_2!P48,Length_2!Q48*Length_2!E48))/1000/I$46</f>
        <v>#N/A</v>
      </c>
      <c r="I102" s="205" t="e">
        <f>SQRT(SUMSQ(Length_2!R48,Length_2!S48*Length_2!F48))/1000/I$46</f>
        <v>#N/A</v>
      </c>
      <c r="J102" s="205" t="e">
        <f>SQRT(SUMSQ(Length_2!T48,Length_2!U48*Length_2!G48))/1000/I$46</f>
        <v>#N/A</v>
      </c>
      <c r="K102" s="205" t="e">
        <f>SQRT(SUMSQ(Length_2!V48,Length_2!W48*Length_2!H48))/1000/I$46</f>
        <v>#N/A</v>
      </c>
      <c r="L102" s="205" t="e">
        <f>SQRT(SUMSQ(Length_2!X48,Length_2!Y48*Length_2!I48))/1000/I$46</f>
        <v>#N/A</v>
      </c>
      <c r="M102" s="205" t="e">
        <f t="shared" si="33"/>
        <v>#N/A</v>
      </c>
      <c r="N102" s="136">
        <f t="shared" si="34"/>
        <v>0</v>
      </c>
      <c r="O102" s="205" t="e">
        <f t="shared" si="31"/>
        <v>#N/A</v>
      </c>
      <c r="P102" s="139" t="e">
        <f t="shared" si="32"/>
        <v>#N/A</v>
      </c>
      <c r="V102" s="122"/>
      <c r="W102" s="122"/>
      <c r="X102" s="122"/>
      <c r="Y102" s="122"/>
      <c r="Z102" s="122"/>
      <c r="AF102" s="122"/>
      <c r="AG102" s="122"/>
    </row>
    <row r="103" spans="2:33" ht="18" customHeight="1">
      <c r="I103" s="120"/>
      <c r="J103" s="121"/>
      <c r="K103" s="124"/>
      <c r="Z103" s="122"/>
      <c r="AA103" s="122"/>
      <c r="AB103" s="122"/>
      <c r="AC103" s="122"/>
    </row>
    <row r="104" spans="2:33" ht="18" customHeight="1">
      <c r="I104" s="120"/>
      <c r="J104" s="121"/>
      <c r="K104" s="124"/>
      <c r="Z104" s="122"/>
      <c r="AA104" s="122"/>
      <c r="AB104" s="122"/>
      <c r="AC104" s="122"/>
    </row>
    <row r="105" spans="2:33" ht="18" customHeight="1">
      <c r="H105" s="121"/>
      <c r="I105" s="124"/>
      <c r="J105" s="124"/>
      <c r="K105" s="124"/>
      <c r="Z105" s="122"/>
      <c r="AA105" s="122"/>
      <c r="AB105" s="122"/>
      <c r="AC105" s="122"/>
    </row>
    <row r="106" spans="2:33" ht="18" customHeight="1">
      <c r="B106" s="180" t="s">
        <v>291</v>
      </c>
      <c r="C106" s="181"/>
      <c r="D106" s="181"/>
      <c r="E106" s="181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Z106" s="122"/>
      <c r="AA106" s="122"/>
      <c r="AB106" s="122"/>
      <c r="AC106" s="122"/>
    </row>
    <row r="107" spans="2:33" ht="18" customHeight="1">
      <c r="B107" s="181"/>
      <c r="C107" s="770" t="s">
        <v>292</v>
      </c>
      <c r="D107" s="771"/>
      <c r="E107" s="327" t="s">
        <v>293</v>
      </c>
      <c r="F107" s="327" t="s">
        <v>294</v>
      </c>
      <c r="G107" s="327" t="s">
        <v>295</v>
      </c>
      <c r="H107" s="181"/>
      <c r="I107" s="327" t="s">
        <v>200</v>
      </c>
      <c r="J107" s="327" t="s">
        <v>296</v>
      </c>
      <c r="K107" s="327" t="s">
        <v>297</v>
      </c>
      <c r="L107" s="327" t="s">
        <v>298</v>
      </c>
      <c r="M107" s="328" t="s">
        <v>299</v>
      </c>
      <c r="N107" s="327" t="s">
        <v>294</v>
      </c>
      <c r="O107" s="328" t="s">
        <v>295</v>
      </c>
      <c r="P107" s="327" t="s">
        <v>300</v>
      </c>
      <c r="Q107" s="327" t="s">
        <v>301</v>
      </c>
      <c r="R107" s="327" t="s">
        <v>302</v>
      </c>
      <c r="Z107" s="122"/>
      <c r="AA107" s="122"/>
      <c r="AB107" s="122"/>
      <c r="AC107" s="122"/>
    </row>
    <row r="108" spans="2:33" ht="18" customHeight="1">
      <c r="B108" s="181"/>
      <c r="C108" s="182">
        <v>300</v>
      </c>
      <c r="D108" s="183" t="s">
        <v>303</v>
      </c>
      <c r="E108" s="328"/>
      <c r="F108" s="329">
        <v>22000</v>
      </c>
      <c r="G108" s="772" t="s">
        <v>508</v>
      </c>
      <c r="H108" s="181"/>
      <c r="I108" s="327">
        <f>MAX(K3)</f>
        <v>0</v>
      </c>
      <c r="J108" s="330">
        <f>MAX(I108-C108,0)</f>
        <v>0</v>
      </c>
      <c r="K108" s="327">
        <f>COUNTIF(B21:B41,TRUE)</f>
        <v>0</v>
      </c>
      <c r="L108" s="327">
        <f>MAX(0,K108-10)</f>
        <v>0</v>
      </c>
      <c r="M108" s="327" t="b">
        <f>H3="inch"</f>
        <v>0</v>
      </c>
      <c r="N108" s="329">
        <f>F108*IF(M108=TRUE,1.8,1)</f>
        <v>22000</v>
      </c>
      <c r="O108" s="331">
        <f>ROUNDDOWN(J108/50,0)*(N108*20%)</f>
        <v>0</v>
      </c>
      <c r="P108" s="332">
        <f>N108*10%*L108</f>
        <v>0</v>
      </c>
      <c r="Q108" s="332">
        <f>SUM(N108:P108)</f>
        <v>22000</v>
      </c>
      <c r="R108" s="755">
        <f>SUM(Q108:Q110)</f>
        <v>22000</v>
      </c>
      <c r="Z108" s="122"/>
      <c r="AA108" s="122"/>
      <c r="AB108" s="122"/>
      <c r="AC108" s="122"/>
    </row>
    <row r="109" spans="2:33" ht="18" customHeight="1">
      <c r="B109" s="181"/>
      <c r="C109" s="182"/>
      <c r="D109" s="183"/>
      <c r="E109" s="328"/>
      <c r="F109" s="329"/>
      <c r="G109" s="773"/>
      <c r="H109" s="181"/>
      <c r="I109" s="327"/>
      <c r="J109" s="330"/>
      <c r="K109" s="327"/>
      <c r="L109" s="327"/>
      <c r="M109" s="327"/>
      <c r="N109" s="329"/>
      <c r="O109" s="331"/>
      <c r="P109" s="332"/>
      <c r="Q109" s="332"/>
      <c r="R109" s="756"/>
      <c r="Z109" s="122"/>
      <c r="AA109" s="122"/>
      <c r="AB109" s="122"/>
      <c r="AC109" s="122"/>
    </row>
    <row r="110" spans="2:33" ht="18" customHeight="1">
      <c r="B110" s="181"/>
      <c r="C110" s="182"/>
      <c r="D110" s="183"/>
      <c r="E110" s="328"/>
      <c r="F110" s="329"/>
      <c r="G110" s="773"/>
      <c r="H110" s="181"/>
      <c r="I110" s="327"/>
      <c r="J110" s="327"/>
      <c r="K110" s="327"/>
      <c r="L110" s="327"/>
      <c r="M110" s="327"/>
      <c r="N110" s="329"/>
      <c r="O110" s="333"/>
      <c r="P110" s="332"/>
      <c r="Q110" s="332"/>
      <c r="R110" s="757"/>
      <c r="Z110" s="122"/>
      <c r="AA110" s="122"/>
      <c r="AB110" s="122"/>
      <c r="AC110" s="122"/>
    </row>
    <row r="111" spans="2:33" ht="18" customHeight="1">
      <c r="B111" s="181"/>
      <c r="C111" s="182"/>
      <c r="D111" s="183"/>
      <c r="E111" s="328"/>
      <c r="F111" s="329"/>
      <c r="G111" s="773"/>
      <c r="H111" s="181"/>
      <c r="I111" s="181"/>
      <c r="J111" s="181"/>
      <c r="K111" s="181"/>
      <c r="L111" s="181"/>
      <c r="M111" s="181"/>
      <c r="N111" s="181"/>
      <c r="O111" s="184"/>
      <c r="P111" s="181"/>
      <c r="Q111" s="181"/>
      <c r="R111" s="181"/>
      <c r="Z111" s="122"/>
      <c r="AA111" s="122"/>
      <c r="AB111" s="122"/>
      <c r="AC111" s="122"/>
    </row>
    <row r="112" spans="2:33" ht="18" customHeight="1">
      <c r="B112" s="181"/>
      <c r="C112" s="182"/>
      <c r="D112" s="183"/>
      <c r="E112" s="328"/>
      <c r="F112" s="329"/>
      <c r="G112" s="773"/>
      <c r="H112" s="181"/>
      <c r="I112" s="185" t="s">
        <v>304</v>
      </c>
      <c r="J112" s="181"/>
      <c r="K112" s="181"/>
      <c r="L112" s="181"/>
      <c r="M112" s="181"/>
      <c r="N112" s="181"/>
      <c r="O112" s="181"/>
      <c r="P112" s="181"/>
      <c r="Q112" s="181"/>
      <c r="R112" s="181"/>
      <c r="Z112" s="122"/>
      <c r="AA112" s="122"/>
      <c r="AB112" s="122"/>
      <c r="AC112" s="122"/>
    </row>
    <row r="113" spans="2:29" ht="18" customHeight="1">
      <c r="B113" s="181"/>
      <c r="C113" s="182"/>
      <c r="D113" s="183"/>
      <c r="E113" s="328"/>
      <c r="F113" s="329"/>
      <c r="G113" s="773"/>
      <c r="H113" s="181"/>
      <c r="I113" s="186" t="s">
        <v>509</v>
      </c>
      <c r="M113" s="181"/>
      <c r="N113" s="181"/>
      <c r="O113" s="181"/>
      <c r="P113" s="181"/>
      <c r="Q113" s="181"/>
      <c r="R113" s="181"/>
      <c r="Z113" s="122"/>
      <c r="AA113" s="122"/>
      <c r="AB113" s="122"/>
      <c r="AC113" s="122"/>
    </row>
    <row r="114" spans="2:29" ht="18" customHeight="1">
      <c r="B114" s="181"/>
      <c r="C114" s="182"/>
      <c r="D114" s="187"/>
      <c r="E114" s="327"/>
      <c r="F114" s="327"/>
      <c r="G114" s="774"/>
      <c r="H114" s="181"/>
      <c r="I114" s="186" t="s">
        <v>510</v>
      </c>
      <c r="M114" s="181"/>
      <c r="N114" s="181"/>
      <c r="O114" s="181"/>
      <c r="P114" s="181"/>
      <c r="Q114" s="181"/>
      <c r="R114" s="181"/>
      <c r="Z114" s="122"/>
      <c r="AA114" s="122"/>
      <c r="AB114" s="122"/>
      <c r="AC114" s="122"/>
    </row>
    <row r="115" spans="2:29" ht="18" customHeight="1">
      <c r="B115" s="70"/>
      <c r="C115" s="70"/>
      <c r="D115" s="70"/>
      <c r="E115" s="70"/>
      <c r="F115" s="70"/>
      <c r="G115" s="70"/>
      <c r="H115" s="70"/>
      <c r="M115" s="70"/>
      <c r="N115" s="70"/>
      <c r="O115" s="70"/>
      <c r="P115" s="181"/>
      <c r="Q115" s="181"/>
      <c r="R115" s="181"/>
      <c r="Z115" s="122"/>
      <c r="AA115" s="122"/>
      <c r="AB115" s="122"/>
      <c r="AC115" s="122"/>
    </row>
    <row r="116" spans="2:29" ht="18" customHeight="1">
      <c r="B116" s="122"/>
      <c r="C116" s="122"/>
      <c r="D116" s="122"/>
      <c r="I116" s="186" t="s">
        <v>305</v>
      </c>
      <c r="J116" s="181"/>
      <c r="K116" s="181"/>
      <c r="L116" s="181"/>
      <c r="P116" s="121"/>
      <c r="Q116" s="121"/>
      <c r="R116" s="121"/>
      <c r="Z116" s="122"/>
      <c r="AA116" s="122"/>
      <c r="AB116" s="122"/>
      <c r="AC116" s="122"/>
    </row>
    <row r="117" spans="2:29" ht="18" customHeight="1">
      <c r="B117" s="122"/>
      <c r="C117" s="122"/>
      <c r="D117" s="122"/>
      <c r="I117" s="186"/>
      <c r="J117" s="181"/>
      <c r="K117" s="181"/>
      <c r="L117" s="181"/>
      <c r="P117" s="121"/>
      <c r="Q117" s="121"/>
      <c r="R117" s="121"/>
      <c r="Y117" s="122"/>
      <c r="Z117" s="122"/>
      <c r="AA117" s="122"/>
      <c r="AB117" s="122"/>
      <c r="AC117" s="122"/>
    </row>
    <row r="118" spans="2:29" ht="18" customHeight="1">
      <c r="B118" s="122"/>
      <c r="C118" s="122"/>
      <c r="D118" s="122"/>
      <c r="J118" s="70"/>
      <c r="K118" s="70"/>
      <c r="L118" s="70"/>
      <c r="P118" s="121"/>
      <c r="Q118" s="121"/>
      <c r="R118" s="121"/>
      <c r="V118" s="122"/>
      <c r="W118" s="122"/>
      <c r="X118" s="122"/>
      <c r="Y118" s="122"/>
      <c r="Z118" s="122"/>
      <c r="AA118" s="122"/>
      <c r="AB118" s="122"/>
      <c r="AC118" s="122"/>
    </row>
    <row r="119" spans="2:29" ht="18" customHeight="1">
      <c r="B119" s="122"/>
      <c r="C119" s="122"/>
      <c r="D119" s="122"/>
      <c r="I119" s="186"/>
      <c r="J119" s="125"/>
      <c r="K119" s="125"/>
      <c r="P119" s="121"/>
      <c r="Q119" s="121"/>
      <c r="R119" s="121"/>
      <c r="V119" s="122"/>
      <c r="W119" s="122"/>
      <c r="X119" s="122"/>
    </row>
    <row r="120" spans="2:29" ht="18" customHeight="1">
      <c r="B120" s="122"/>
      <c r="C120" s="122"/>
      <c r="D120" s="122"/>
      <c r="I120" s="186"/>
      <c r="J120" s="125"/>
      <c r="K120" s="125"/>
      <c r="P120" s="121"/>
      <c r="Q120" s="121"/>
      <c r="R120" s="121"/>
    </row>
    <row r="121" spans="2:29" ht="18" customHeight="1">
      <c r="B121" s="122"/>
      <c r="C121" s="122"/>
      <c r="D121" s="122"/>
      <c r="J121" s="125"/>
      <c r="K121" s="125"/>
      <c r="P121" s="121"/>
      <c r="Q121" s="121"/>
      <c r="R121" s="121"/>
    </row>
    <row r="122" spans="2:29" ht="18" customHeight="1">
      <c r="B122" s="122"/>
      <c r="C122" s="122"/>
      <c r="D122" s="122"/>
      <c r="P122" s="121"/>
      <c r="Q122" s="121"/>
      <c r="R122" s="121"/>
    </row>
  </sheetData>
  <mergeCells count="42">
    <mergeCell ref="AB18:AG18"/>
    <mergeCell ref="N18:P18"/>
    <mergeCell ref="O80:P81"/>
    <mergeCell ref="W18:X18"/>
    <mergeCell ref="N45:O45"/>
    <mergeCell ref="J59:M59"/>
    <mergeCell ref="O59:Q59"/>
    <mergeCell ref="R59:R60"/>
    <mergeCell ref="D65:D66"/>
    <mergeCell ref="S59:T59"/>
    <mergeCell ref="R108:R110"/>
    <mergeCell ref="Z18:AA18"/>
    <mergeCell ref="R45:T45"/>
    <mergeCell ref="G57:Q57"/>
    <mergeCell ref="W44:W45"/>
    <mergeCell ref="C80:G80"/>
    <mergeCell ref="J45:L45"/>
    <mergeCell ref="P45:Q45"/>
    <mergeCell ref="C107:D107"/>
    <mergeCell ref="G108:G114"/>
    <mergeCell ref="E18:J18"/>
    <mergeCell ref="G44:L44"/>
    <mergeCell ref="K18:K19"/>
    <mergeCell ref="R44:T44"/>
    <mergeCell ref="V44:V45"/>
    <mergeCell ref="B65:C65"/>
    <mergeCell ref="B18:B20"/>
    <mergeCell ref="C18:C20"/>
    <mergeCell ref="D18:D20"/>
    <mergeCell ref="M80:M81"/>
    <mergeCell ref="N80:N81"/>
    <mergeCell ref="B44:B45"/>
    <mergeCell ref="C44:C45"/>
    <mergeCell ref="D44:D45"/>
    <mergeCell ref="E44:E45"/>
    <mergeCell ref="F44:F45"/>
    <mergeCell ref="D69:D70"/>
    <mergeCell ref="E67:F67"/>
    <mergeCell ref="G67:G68"/>
    <mergeCell ref="C59:G59"/>
    <mergeCell ref="B80:B81"/>
    <mergeCell ref="N44:Q44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11</vt:i4>
      </vt:variant>
      <vt:variant>
        <vt:lpstr>이름이 지정된 범위</vt:lpstr>
      </vt:variant>
      <vt:variant>
        <vt:i4>20</vt:i4>
      </vt:variant>
    </vt:vector>
  </HeadingPairs>
  <TitlesOfParts>
    <vt:vector size="31" baseType="lpstr">
      <vt:lpstr>기본정보</vt:lpstr>
      <vt:lpstr>교정결과</vt:lpstr>
      <vt:lpstr>교정결과-E</vt:lpstr>
      <vt:lpstr>교정결과-HY</vt:lpstr>
      <vt:lpstr>판정결과</vt:lpstr>
      <vt:lpstr>부록</vt:lpstr>
      <vt:lpstr>RAWDATA</vt:lpstr>
      <vt:lpstr>측정불확도추정보고서</vt:lpstr>
      <vt:lpstr>Calcu</vt:lpstr>
      <vt:lpstr>STD_Data</vt:lpstr>
      <vt:lpstr>Length_2</vt:lpstr>
      <vt:lpstr>'교정결과-E'!B_Tag</vt:lpstr>
      <vt:lpstr>'교정결과-HY'!B_Tag</vt:lpstr>
      <vt:lpstr>B_Tag</vt:lpstr>
      <vt:lpstr>판정결과!B_Tag_2</vt:lpstr>
      <vt:lpstr>부록!B_Tag_3</vt:lpstr>
      <vt:lpstr>Length_2_CMC</vt:lpstr>
      <vt:lpstr>Length_2_Condition</vt:lpstr>
      <vt:lpstr>Length_2_Resolution</vt:lpstr>
      <vt:lpstr>Length_2_Result</vt:lpstr>
      <vt:lpstr>Length_2_Result_Temp</vt:lpstr>
      <vt:lpstr>Length_2_Result2</vt:lpstr>
      <vt:lpstr>Length_2_Result3</vt:lpstr>
      <vt:lpstr>Length_2_Spec</vt:lpstr>
      <vt:lpstr>Length_2_STD1</vt:lpstr>
      <vt:lpstr>기본정보!Print_Area</vt:lpstr>
      <vt:lpstr>교정결과!Print_Titles</vt:lpstr>
      <vt:lpstr>'교정결과-E'!Print_Titles</vt:lpstr>
      <vt:lpstr>'교정결과-HY'!Print_Titles</vt:lpstr>
      <vt:lpstr>부록!Print_Titles</vt:lpstr>
      <vt:lpstr>판정결과!Print_Titles</vt:lpstr>
    </vt:vector>
  </TitlesOfParts>
  <Company>HCT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노트북-5</dc:creator>
  <cp:lastModifiedBy>Jey Jey</cp:lastModifiedBy>
  <cp:lastPrinted>2020-11-02T06:56:18Z</cp:lastPrinted>
  <dcterms:created xsi:type="dcterms:W3CDTF">2004-11-10T00:11:43Z</dcterms:created>
  <dcterms:modified xsi:type="dcterms:W3CDTF">2021-09-03T01:03:00Z</dcterms:modified>
</cp:coreProperties>
</file>