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9" sheetId="14" r:id="rId11"/>
  </sheets>
  <definedNames>
    <definedName name="_xlnm._FilterDatabase" localSheetId="0" hidden="1">기본정보!#REF!</definedName>
    <definedName name="B_Tag" localSheetId="2">'교정결과-E'!$E$21:$I$21</definedName>
    <definedName name="B_Tag" localSheetId="3">'교정결과-HY'!$B$20:$Q$20</definedName>
    <definedName name="B_Tag">교정결과!$E$21:$I$21</definedName>
    <definedName name="B_Tag_2" localSheetId="4">판정결과!$E$11:$J$11</definedName>
    <definedName name="B_Tag_3" localSheetId="5">부록!$B$11:$K$11</definedName>
    <definedName name="Length_9_CMC">Length_9!$G$4:$I$9</definedName>
    <definedName name="Length_9_Condition">Length_9!$A$4:$F$9</definedName>
    <definedName name="Length_9_Condition_Temp">Length_9!$A$12:$D$12</definedName>
    <definedName name="Length_9_Resolution">Length_9!$J$4:$M$9</definedName>
    <definedName name="Length_9_Result">Length_9!$Q$4:$U$9</definedName>
    <definedName name="Length_9_Spec">Length_9!$N$4:$P$9</definedName>
    <definedName name="Length_9_STD1">Length_9!$A$16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F43" i="21" l="1"/>
  <c r="F44" i="21"/>
  <c r="F45" i="21"/>
  <c r="F42" i="21"/>
  <c r="E8" i="3"/>
  <c r="D8" i="3"/>
  <c r="C8" i="3"/>
  <c r="B8" i="3"/>
  <c r="AF137" i="23"/>
  <c r="V138" i="23"/>
  <c r="V137" i="23"/>
  <c r="L138" i="23"/>
  <c r="L137" i="23"/>
  <c r="AA138" i="23"/>
  <c r="O24" i="21" l="1"/>
  <c r="M24" i="21" s="1"/>
  <c r="K24" i="21"/>
  <c r="L59" i="21" l="1"/>
  <c r="Q59" i="21" s="1"/>
  <c r="T54" i="21" l="1"/>
  <c r="T53" i="21"/>
  <c r="T51" i="21"/>
  <c r="T50" i="21"/>
  <c r="J17" i="21"/>
  <c r="T18" i="21" l="1"/>
  <c r="T17" i="21"/>
  <c r="T15" i="21"/>
  <c r="O60" i="21" l="1"/>
  <c r="M60" i="21" s="1"/>
  <c r="K60" i="21" l="1"/>
  <c r="B225" i="23"/>
  <c r="B86" i="23"/>
  <c r="E9" i="31" l="1"/>
  <c r="E8" i="31"/>
  <c r="E7" i="31"/>
  <c r="E6" i="31"/>
  <c r="A4" i="31"/>
  <c r="V53" i="21" l="1"/>
  <c r="V54" i="21"/>
  <c r="V17" i="21"/>
  <c r="V18" i="21"/>
  <c r="U51" i="21" l="1"/>
  <c r="U50" i="21"/>
  <c r="U15" i="21"/>
  <c r="I41" i="21" l="1"/>
  <c r="J41" i="21" s="1"/>
  <c r="K41" i="21" s="1"/>
  <c r="L41" i="21" s="1"/>
  <c r="M41" i="21" s="1"/>
  <c r="N41" i="21" s="1"/>
  <c r="O41" i="21" s="1"/>
  <c r="P41" i="21" s="1"/>
  <c r="Q41" i="21" s="1"/>
  <c r="I8" i="21"/>
  <c r="J8" i="21" s="1"/>
  <c r="K8" i="21" s="1"/>
  <c r="L8" i="21" s="1"/>
  <c r="M8" i="21" s="1"/>
  <c r="N8" i="21" s="1"/>
  <c r="O8" i="21" s="1"/>
  <c r="P8" i="21" s="1"/>
  <c r="Q8" i="21" s="1"/>
  <c r="V77" i="23" l="1"/>
  <c r="R82" i="23" s="1"/>
  <c r="Y82" i="23" s="1"/>
  <c r="AC90" i="23"/>
  <c r="R95" i="23" s="1"/>
  <c r="Y95" i="23" s="1"/>
  <c r="C87" i="23"/>
  <c r="N216" i="23" l="1"/>
  <c r="AM165" i="23"/>
  <c r="M165" i="23"/>
  <c r="AP164" i="23"/>
  <c r="AF247" i="23" s="1"/>
  <c r="AM164" i="23"/>
  <c r="AA164" i="23"/>
  <c r="O231" i="23" s="1"/>
  <c r="L233" i="23" s="1"/>
  <c r="V164" i="23"/>
  <c r="I230" i="23" s="1"/>
  <c r="S164" i="23"/>
  <c r="M164" i="23"/>
  <c r="H164" i="23"/>
  <c r="H226" i="23" s="1"/>
  <c r="AP163" i="23"/>
  <c r="AA247" i="23" s="1"/>
  <c r="AM163" i="23"/>
  <c r="AA163" i="23"/>
  <c r="O219" i="23" s="1"/>
  <c r="L221" i="23" s="1"/>
  <c r="V163" i="23"/>
  <c r="I218" i="23" s="1"/>
  <c r="S163" i="23"/>
  <c r="M163" i="23"/>
  <c r="H163" i="23"/>
  <c r="H211" i="23" s="1"/>
  <c r="AP162" i="23"/>
  <c r="V247" i="23" s="1"/>
  <c r="AM162" i="23"/>
  <c r="AA162" i="23"/>
  <c r="N204" i="23" s="1"/>
  <c r="L206" i="23" s="1"/>
  <c r="V162" i="23"/>
  <c r="I203" i="23" s="1"/>
  <c r="S162" i="23"/>
  <c r="M162" i="23"/>
  <c r="N171" i="23" s="1"/>
  <c r="AP161" i="23"/>
  <c r="Q247" i="23" s="1"/>
  <c r="AM161" i="23"/>
  <c r="AA161" i="23"/>
  <c r="N190" i="23" s="1"/>
  <c r="L192" i="23" s="1"/>
  <c r="V161" i="23"/>
  <c r="I189" i="23" s="1"/>
  <c r="S161" i="23"/>
  <c r="M161" i="23"/>
  <c r="N185" i="23" s="1"/>
  <c r="AM160" i="23"/>
  <c r="AA160" i="23"/>
  <c r="N179" i="23" s="1"/>
  <c r="L181" i="23" s="1"/>
  <c r="S160" i="23"/>
  <c r="M160" i="23"/>
  <c r="N197" i="23" s="1"/>
  <c r="N77" i="23"/>
  <c r="D74" i="23" s="1"/>
  <c r="AM38" i="23"/>
  <c r="M38" i="23"/>
  <c r="AP37" i="23"/>
  <c r="AA109" i="23" s="1"/>
  <c r="AM37" i="23"/>
  <c r="AA37" i="23"/>
  <c r="O93" i="23" s="1"/>
  <c r="L95" i="23" s="1"/>
  <c r="V37" i="23"/>
  <c r="I92" i="23" s="1"/>
  <c r="S37" i="23"/>
  <c r="M37" i="23"/>
  <c r="H37" i="23"/>
  <c r="H88" i="23" s="1"/>
  <c r="AP36" i="23"/>
  <c r="V109" i="23" s="1"/>
  <c r="AM36" i="23"/>
  <c r="AA36" i="23"/>
  <c r="O80" i="23" s="1"/>
  <c r="L82" i="23" s="1"/>
  <c r="V36" i="23"/>
  <c r="I79" i="23" s="1"/>
  <c r="S36" i="23"/>
  <c r="M36" i="23"/>
  <c r="H36" i="23"/>
  <c r="H76" i="23" s="1"/>
  <c r="AP35" i="23"/>
  <c r="Q109" i="23" s="1"/>
  <c r="AM35" i="23"/>
  <c r="AA35" i="23"/>
  <c r="N66" i="23" s="1"/>
  <c r="L68" i="23" s="1"/>
  <c r="V35" i="23"/>
  <c r="I65" i="23" s="1"/>
  <c r="S35" i="23"/>
  <c r="M35" i="23"/>
  <c r="N44" i="23" s="1"/>
  <c r="AM34" i="23"/>
  <c r="AA34" i="23"/>
  <c r="N52" i="23" s="1"/>
  <c r="L54" i="23" s="1"/>
  <c r="S34" i="23"/>
  <c r="M34" i="23"/>
  <c r="N59" i="23" s="1"/>
  <c r="K214" i="23"/>
  <c r="J227" i="23"/>
  <c r="AA201" i="23"/>
  <c r="R206" i="23" s="1"/>
  <c r="Y206" i="23" s="1"/>
  <c r="J198" i="23"/>
  <c r="C196" i="23"/>
  <c r="B195" i="23"/>
  <c r="Y176" i="23"/>
  <c r="S176" i="23"/>
  <c r="Y173" i="23"/>
  <c r="R181" i="23" s="1"/>
  <c r="Y181" i="23" s="1"/>
  <c r="S173" i="23"/>
  <c r="B168" i="23"/>
  <c r="AB63" i="23"/>
  <c r="R68" i="23" s="1"/>
  <c r="Y68" i="23" s="1"/>
  <c r="J60" i="23"/>
  <c r="C58" i="23"/>
  <c r="B57" i="23"/>
  <c r="AA49" i="23"/>
  <c r="U49" i="23"/>
  <c r="AA46" i="23"/>
  <c r="R54" i="23" s="1"/>
  <c r="Y54" i="23" s="1"/>
  <c r="U46" i="23"/>
  <c r="B41" i="23"/>
  <c r="S77" i="23" l="1"/>
  <c r="O82" i="23" s="1"/>
  <c r="V82" i="23" s="1"/>
  <c r="S216" i="23"/>
  <c r="O221" i="23" s="1"/>
  <c r="V221" i="23" s="1"/>
  <c r="I51" i="21" l="1"/>
  <c r="Q202" i="23" s="1"/>
  <c r="H51" i="21"/>
  <c r="AB198" i="23" s="1"/>
  <c r="G51" i="21"/>
  <c r="X198" i="23" s="1"/>
  <c r="P45" i="21"/>
  <c r="L45" i="21"/>
  <c r="AK132" i="23" s="1"/>
  <c r="K45" i="21"/>
  <c r="AF132" i="23" s="1"/>
  <c r="J45" i="21"/>
  <c r="I45" i="21"/>
  <c r="V132" i="23" s="1"/>
  <c r="H45" i="21"/>
  <c r="Q132" i="23" s="1"/>
  <c r="G45" i="21"/>
  <c r="L132" i="23"/>
  <c r="D45" i="21"/>
  <c r="P44" i="21"/>
  <c r="L44" i="21"/>
  <c r="AK131" i="23" s="1"/>
  <c r="K44" i="21"/>
  <c r="AF131" i="23" s="1"/>
  <c r="J44" i="21"/>
  <c r="AA131" i="23" s="1"/>
  <c r="I44" i="21"/>
  <c r="V131" i="23" s="1"/>
  <c r="H44" i="21"/>
  <c r="Q131" i="23" s="1"/>
  <c r="G44" i="21"/>
  <c r="L131" i="23"/>
  <c r="D44" i="21"/>
  <c r="C44" i="21"/>
  <c r="P43" i="21"/>
  <c r="L43" i="21"/>
  <c r="AK130" i="23" s="1"/>
  <c r="K43" i="21"/>
  <c r="AF130" i="23" s="1"/>
  <c r="J43" i="21"/>
  <c r="AA130" i="23" s="1"/>
  <c r="I43" i="21"/>
  <c r="H43" i="21"/>
  <c r="Q130" i="23" s="1"/>
  <c r="G43" i="21"/>
  <c r="L130" i="23"/>
  <c r="D43" i="21"/>
  <c r="P42" i="21"/>
  <c r="L42" i="21"/>
  <c r="AK129" i="23" s="1"/>
  <c r="K42" i="21"/>
  <c r="AF129" i="23" s="1"/>
  <c r="J42" i="21"/>
  <c r="AA129" i="23" s="1"/>
  <c r="I42" i="21"/>
  <c r="V129" i="23" s="1"/>
  <c r="H42" i="21"/>
  <c r="G42" i="21"/>
  <c r="L128" i="23" s="1"/>
  <c r="L129" i="23"/>
  <c r="D42" i="21"/>
  <c r="C42" i="21"/>
  <c r="B42" i="21"/>
  <c r="I15" i="21"/>
  <c r="R64" i="23" s="1"/>
  <c r="H15" i="21"/>
  <c r="G15" i="21"/>
  <c r="X60" i="23" s="1"/>
  <c r="P10" i="21"/>
  <c r="L10" i="21"/>
  <c r="AK13" i="23" s="1"/>
  <c r="K10" i="21"/>
  <c r="J10" i="21"/>
  <c r="AA13" i="23" s="1"/>
  <c r="I10" i="21"/>
  <c r="V13" i="23" s="1"/>
  <c r="H10" i="21"/>
  <c r="Q13" i="23" s="1"/>
  <c r="G10" i="21"/>
  <c r="F10" i="21"/>
  <c r="L13" i="23" s="1"/>
  <c r="D10" i="21"/>
  <c r="C10" i="21"/>
  <c r="P9" i="21"/>
  <c r="L9" i="21"/>
  <c r="AK12" i="23" s="1"/>
  <c r="K9" i="21"/>
  <c r="AF12" i="23" s="1"/>
  <c r="J9" i="21"/>
  <c r="AA12" i="23" s="1"/>
  <c r="I9" i="21"/>
  <c r="V12" i="23" s="1"/>
  <c r="H9" i="21"/>
  <c r="Q12" i="23" s="1"/>
  <c r="G9" i="21"/>
  <c r="L11" i="23" s="1"/>
  <c r="Q11" i="23" s="1"/>
  <c r="V11" i="23" s="1"/>
  <c r="AA11" i="23" s="1"/>
  <c r="AF11" i="23" s="1"/>
  <c r="AK11" i="23" s="1"/>
  <c r="F9" i="21"/>
  <c r="L12" i="23" s="1"/>
  <c r="D9" i="21"/>
  <c r="C9" i="21"/>
  <c r="B9" i="21"/>
  <c r="M3" i="21"/>
  <c r="F24" i="21" s="1"/>
  <c r="L3" i="21"/>
  <c r="C60" i="21" s="1"/>
  <c r="G60" i="21" s="1"/>
  <c r="K3" i="21"/>
  <c r="C24" i="21" s="1"/>
  <c r="G24" i="21" s="1"/>
  <c r="J3" i="21"/>
  <c r="M77" i="21" s="1"/>
  <c r="I3" i="21"/>
  <c r="G18" i="21" s="1"/>
  <c r="J18" i="21" s="1"/>
  <c r="G3" i="21"/>
  <c r="F3" i="21"/>
  <c r="H3" i="21" s="1"/>
  <c r="H5" i="23" s="1"/>
  <c r="E3" i="21"/>
  <c r="E9" i="21" s="1"/>
  <c r="D3" i="21"/>
  <c r="E42" i="21" s="1"/>
  <c r="C3" i="21"/>
  <c r="B3" i="21" s="1"/>
  <c r="K77" i="21"/>
  <c r="J77" i="21"/>
  <c r="F59" i="21"/>
  <c r="J53" i="21"/>
  <c r="O163" i="23" s="1"/>
  <c r="F23" i="21"/>
  <c r="O36" i="23"/>
  <c r="S42" i="21" l="1"/>
  <c r="G54" i="21"/>
  <c r="P176" i="23" s="1"/>
  <c r="V176" i="23" s="1"/>
  <c r="E15" i="21"/>
  <c r="H35" i="23" s="1"/>
  <c r="I59" i="23" s="1"/>
  <c r="S9" i="21"/>
  <c r="J51" i="21"/>
  <c r="O162" i="23" s="1"/>
  <c r="Q17" i="21"/>
  <c r="Q53" i="21"/>
  <c r="E41" i="21"/>
  <c r="E8" i="21"/>
  <c r="R41" i="21"/>
  <c r="R8" i="21"/>
  <c r="AA136" i="23" s="1"/>
  <c r="E51" i="21"/>
  <c r="H162" i="23" s="1"/>
  <c r="I197" i="23" s="1"/>
  <c r="N10" i="21"/>
  <c r="AU13" i="23" s="1"/>
  <c r="AF13" i="23"/>
  <c r="N44" i="21"/>
  <c r="AU131" i="23" s="1"/>
  <c r="V227" i="23"/>
  <c r="S228" i="23" s="1"/>
  <c r="X228" i="23" s="1"/>
  <c r="O233" i="23" s="1"/>
  <c r="V233" i="23" s="1"/>
  <c r="P89" i="23"/>
  <c r="T90" i="23" s="1"/>
  <c r="Z90" i="23" s="1"/>
  <c r="O95" i="23" s="1"/>
  <c r="V95" i="23" s="1"/>
  <c r="N43" i="21"/>
  <c r="AU130" i="23" s="1"/>
  <c r="V130" i="23"/>
  <c r="N45" i="21"/>
  <c r="AU132" i="23" s="1"/>
  <c r="AA132" i="23"/>
  <c r="Q128" i="23"/>
  <c r="V128" i="23" s="1"/>
  <c r="AA128" i="23" s="1"/>
  <c r="AF128" i="23" s="1"/>
  <c r="AK128" i="23" s="1"/>
  <c r="V136" i="23"/>
  <c r="M200" i="23"/>
  <c r="Q201" i="23" s="1"/>
  <c r="X201" i="23" s="1"/>
  <c r="O206" i="23" s="1"/>
  <c r="V206" i="23" s="1"/>
  <c r="J54" i="21"/>
  <c r="J15" i="21"/>
  <c r="AB60" i="23"/>
  <c r="M62" i="23" s="1"/>
  <c r="R63" i="23" s="1"/>
  <c r="Y63" i="23" s="1"/>
  <c r="O68" i="23" s="1"/>
  <c r="V68" i="23" s="1"/>
  <c r="R49" i="23"/>
  <c r="X49" i="23" s="1"/>
  <c r="B5" i="23"/>
  <c r="N42" i="21"/>
  <c r="AU129" i="23" s="1"/>
  <c r="Q129" i="23"/>
  <c r="N77" i="21"/>
  <c r="O77" i="21" s="1"/>
  <c r="Q77" i="21" s="1"/>
  <c r="R77" i="21" s="1"/>
  <c r="A48" i="13" s="1"/>
  <c r="M42" i="21"/>
  <c r="M45" i="21"/>
  <c r="H22" i="21"/>
  <c r="I22" i="21" s="1"/>
  <c r="H58" i="21"/>
  <c r="I58" i="21" s="1"/>
  <c r="I23" i="21"/>
  <c r="L23" i="21" s="1"/>
  <c r="Q23" i="21" s="1"/>
  <c r="N9" i="21"/>
  <c r="AU12" i="23" s="1"/>
  <c r="M10" i="21"/>
  <c r="M43" i="21"/>
  <c r="M9" i="21"/>
  <c r="M44" i="21"/>
  <c r="I59" i="21"/>
  <c r="F60" i="21"/>
  <c r="F8" i="30"/>
  <c r="G8" i="30" s="1"/>
  <c r="H8" i="30" s="1"/>
  <c r="F13" i="24"/>
  <c r="G13" i="24" s="1"/>
  <c r="H13" i="24" s="1"/>
  <c r="F13" i="11"/>
  <c r="Q51" i="21" l="1"/>
  <c r="AH162" i="23" s="1"/>
  <c r="O181" i="23" s="1"/>
  <c r="V181" i="23" s="1"/>
  <c r="W41" i="21"/>
  <c r="X41" i="21" s="1"/>
  <c r="Y41" i="21" s="1"/>
  <c r="S41" i="21"/>
  <c r="T41" i="21" s="1"/>
  <c r="U41" i="21" s="1"/>
  <c r="W8" i="21"/>
  <c r="X8" i="21" s="1"/>
  <c r="Y8" i="21" s="1"/>
  <c r="S8" i="21"/>
  <c r="T8" i="21" s="1"/>
  <c r="U8" i="21" s="1"/>
  <c r="U53" i="21"/>
  <c r="AH163" i="23"/>
  <c r="U17" i="21"/>
  <c r="AH36" i="23"/>
  <c r="Q45" i="23"/>
  <c r="R46" i="23" s="1"/>
  <c r="X46" i="23" s="1"/>
  <c r="O9" i="21"/>
  <c r="E16" i="21" s="1"/>
  <c r="AP12" i="23"/>
  <c r="G52" i="21"/>
  <c r="S52" i="21"/>
  <c r="O44" i="21"/>
  <c r="AP131" i="23"/>
  <c r="O43" i="21"/>
  <c r="AP130" i="23"/>
  <c r="Q138" i="23" s="1"/>
  <c r="H52" i="21"/>
  <c r="O10" i="21"/>
  <c r="Q10" i="21" s="1"/>
  <c r="AP13" i="23"/>
  <c r="I52" i="21"/>
  <c r="Q136" i="23"/>
  <c r="AF136" i="23"/>
  <c r="O45" i="21"/>
  <c r="AP132" i="23"/>
  <c r="Q172" i="23"/>
  <c r="P173" i="23" s="1"/>
  <c r="V173" i="23" s="1"/>
  <c r="Q18" i="21"/>
  <c r="O37" i="23"/>
  <c r="Q54" i="21"/>
  <c r="O164" i="23"/>
  <c r="O42" i="21"/>
  <c r="E52" i="21" s="1"/>
  <c r="H160" i="23" s="1"/>
  <c r="I171" i="23" s="1"/>
  <c r="AP129" i="23"/>
  <c r="L52" i="21"/>
  <c r="Q15" i="21"/>
  <c r="O35" i="23"/>
  <c r="L16" i="21"/>
  <c r="I16" i="21"/>
  <c r="S16" i="21" s="1"/>
  <c r="H16" i="21"/>
  <c r="G16" i="21"/>
  <c r="F18" i="24"/>
  <c r="G18" i="24" s="1"/>
  <c r="H18" i="24" s="1"/>
  <c r="F18" i="11"/>
  <c r="G18" i="11" s="1"/>
  <c r="H18" i="11" s="1"/>
  <c r="G13" i="11"/>
  <c r="H13" i="11" s="1"/>
  <c r="E20" i="3"/>
  <c r="D20" i="3"/>
  <c r="E19" i="3"/>
  <c r="D19" i="3"/>
  <c r="C19" i="3"/>
  <c r="E18" i="3"/>
  <c r="D18" i="3"/>
  <c r="E17" i="3"/>
  <c r="D17" i="3"/>
  <c r="C17" i="3"/>
  <c r="B17" i="3"/>
  <c r="E16" i="3"/>
  <c r="C16" i="3"/>
  <c r="E15" i="3"/>
  <c r="C15" i="3"/>
  <c r="B15" i="3"/>
  <c r="E14" i="3"/>
  <c r="F14" i="3" s="1"/>
  <c r="G14" i="3" s="1"/>
  <c r="H14" i="3" s="1"/>
  <c r="I14" i="3" s="1"/>
  <c r="J14" i="3" s="1"/>
  <c r="F12" i="3"/>
  <c r="H4" i="3"/>
  <c r="E4" i="3"/>
  <c r="C4" i="3"/>
  <c r="H3" i="3"/>
  <c r="E3" i="3"/>
  <c r="C3" i="3"/>
  <c r="V51" i="21" l="1"/>
  <c r="AP160" i="23"/>
  <c r="L247" i="23" s="1"/>
  <c r="T52" i="21"/>
  <c r="T55" i="21" s="1"/>
  <c r="S55" i="21" s="1"/>
  <c r="AP34" i="23"/>
  <c r="L109" i="23" s="1"/>
  <c r="T16" i="21"/>
  <c r="T19" i="21" s="1"/>
  <c r="S19" i="21" s="1"/>
  <c r="J16" i="21"/>
  <c r="Z41" i="21"/>
  <c r="G18" i="31"/>
  <c r="Z8" i="21"/>
  <c r="AB8" i="21" s="1"/>
  <c r="G15" i="31"/>
  <c r="T239" i="23"/>
  <c r="V246" i="23"/>
  <c r="T101" i="23"/>
  <c r="V108" i="23"/>
  <c r="Q9" i="21"/>
  <c r="E50" i="21" s="1"/>
  <c r="AA246" i="23"/>
  <c r="AA239" i="23"/>
  <c r="V160" i="23"/>
  <c r="I178" i="23" s="1"/>
  <c r="V52" i="21"/>
  <c r="AH164" i="23"/>
  <c r="AH239" i="23" s="1"/>
  <c r="U54" i="21"/>
  <c r="V34" i="23"/>
  <c r="I51" i="23" s="1"/>
  <c r="V16" i="21"/>
  <c r="AH37" i="23"/>
  <c r="AA108" i="23" s="1"/>
  <c r="U18" i="21"/>
  <c r="AH35" i="23"/>
  <c r="Q108" i="23" s="1"/>
  <c r="V15" i="21"/>
  <c r="Q137" i="23"/>
  <c r="J52" i="21"/>
  <c r="E19" i="21"/>
  <c r="H38" i="23" s="1"/>
  <c r="H34" i="23"/>
  <c r="I44" i="23" s="1"/>
  <c r="AA8" i="21" l="1"/>
  <c r="R9" i="21"/>
  <c r="AA137" i="23" s="1"/>
  <c r="AB41" i="21"/>
  <c r="AA41" i="21"/>
  <c r="AF246" i="23"/>
  <c r="M101" i="23"/>
  <c r="O54" i="23"/>
  <c r="V54" i="23" s="1"/>
  <c r="V19" i="21"/>
  <c r="F28" i="21" s="1"/>
  <c r="AA101" i="23"/>
  <c r="Q16" i="21"/>
  <c r="U16" i="21" s="1"/>
  <c r="O34" i="23"/>
  <c r="E55" i="21"/>
  <c r="H165" i="23" s="1"/>
  <c r="H161" i="23"/>
  <c r="I185" i="23" s="1"/>
  <c r="Q52" i="21"/>
  <c r="U52" i="21" s="1"/>
  <c r="O160" i="23"/>
  <c r="J20" i="3"/>
  <c r="F20" i="3"/>
  <c r="I19" i="3"/>
  <c r="I18" i="3"/>
  <c r="H17" i="3"/>
  <c r="I20" i="3"/>
  <c r="H19" i="3"/>
  <c r="H18" i="3"/>
  <c r="G17" i="3"/>
  <c r="H20" i="3"/>
  <c r="G19" i="3"/>
  <c r="G18" i="3"/>
  <c r="J17" i="3"/>
  <c r="F17" i="3"/>
  <c r="G20" i="3"/>
  <c r="J19" i="3"/>
  <c r="F19" i="3"/>
  <c r="J18" i="3"/>
  <c r="F18" i="3"/>
  <c r="I17" i="3"/>
  <c r="I16" i="3"/>
  <c r="H15" i="3"/>
  <c r="H16" i="3"/>
  <c r="G15" i="3"/>
  <c r="G16" i="3"/>
  <c r="J15" i="3"/>
  <c r="F15" i="3"/>
  <c r="J16" i="3"/>
  <c r="F16" i="3"/>
  <c r="I15" i="3"/>
  <c r="C30" i="21" l="1"/>
  <c r="F30" i="21" s="1"/>
  <c r="F32" i="21" s="1"/>
  <c r="C29" i="21"/>
  <c r="E30" i="21" s="1"/>
  <c r="E32" i="21" s="1"/>
  <c r="Q42" i="21"/>
  <c r="Q44" i="21"/>
  <c r="Q45" i="21"/>
  <c r="Q43" i="21"/>
  <c r="C68" i="21"/>
  <c r="C65" i="21"/>
  <c r="E66" i="21" s="1"/>
  <c r="E68" i="21" s="1"/>
  <c r="C69" i="21"/>
  <c r="C67" i="21"/>
  <c r="C66" i="21"/>
  <c r="F66" i="21" s="1"/>
  <c r="F68" i="21" s="1"/>
  <c r="C32" i="21"/>
  <c r="C31" i="21"/>
  <c r="U55" i="21"/>
  <c r="E64" i="21" s="1"/>
  <c r="U19" i="21"/>
  <c r="E28" i="21" s="1"/>
  <c r="G28" i="21" s="1"/>
  <c r="AH160" i="23"/>
  <c r="Q19" i="21"/>
  <c r="AH34" i="23"/>
  <c r="R42" i="21"/>
  <c r="E29" i="21" l="1"/>
  <c r="G29" i="21" s="1"/>
  <c r="E33" i="21" s="1"/>
  <c r="G32" i="21"/>
  <c r="AP38" i="23"/>
  <c r="AF107" i="23" s="1"/>
  <c r="AH38" i="23"/>
  <c r="F102" i="23" s="1"/>
  <c r="E104" i="23" s="1"/>
  <c r="G68" i="21"/>
  <c r="L108" i="23"/>
  <c r="F101" i="23"/>
  <c r="L246" i="23"/>
  <c r="F239" i="23"/>
  <c r="G16" i="31" l="1"/>
  <c r="E34" i="21"/>
  <c r="H16" i="31" s="1"/>
  <c r="F15" i="24"/>
  <c r="E15" i="11"/>
  <c r="L107" i="23"/>
  <c r="M122" i="23"/>
  <c r="I122" i="23" l="1"/>
  <c r="F15" i="11"/>
  <c r="C23" i="21"/>
  <c r="G23" i="21" s="1"/>
  <c r="H23" i="21" s="1"/>
  <c r="I50" i="21"/>
  <c r="Q188" i="23" s="1"/>
  <c r="G15" i="24"/>
  <c r="R23" i="21" l="1"/>
  <c r="J23" i="21"/>
  <c r="K23" i="21" l="1"/>
  <c r="M23" i="21" s="1"/>
  <c r="W9" i="21" s="1"/>
  <c r="O23" i="21"/>
  <c r="P23" i="21" l="1"/>
  <c r="Y9" i="21" s="1"/>
  <c r="N23" i="21"/>
  <c r="U9" i="21"/>
  <c r="T9" i="21"/>
  <c r="X9" i="21"/>
  <c r="AB9" i="21" l="1"/>
  <c r="H15" i="31" s="1"/>
  <c r="S23" i="21"/>
  <c r="AD9" i="21"/>
  <c r="Q15" i="31" s="1"/>
  <c r="AA9" i="21"/>
  <c r="K15" i="31" s="1"/>
  <c r="AC9" i="21"/>
  <c r="AC8" i="21" s="1"/>
  <c r="Z9" i="21"/>
  <c r="G50" i="21"/>
  <c r="F9" i="30"/>
  <c r="F15" i="31"/>
  <c r="F14" i="11"/>
  <c r="F14" i="24"/>
  <c r="L15" i="31" l="1"/>
  <c r="J15" i="31"/>
  <c r="T23" i="21"/>
  <c r="H14" i="24" s="1"/>
  <c r="H14" i="11"/>
  <c r="H9" i="30"/>
  <c r="G14" i="24"/>
  <c r="G9" i="30"/>
  <c r="I9" i="30"/>
  <c r="G14" i="11"/>
  <c r="Q187" i="23"/>
  <c r="J50" i="21"/>
  <c r="O161" i="23" l="1"/>
  <c r="Q50" i="21"/>
  <c r="AP165" i="23"/>
  <c r="C9" i="25"/>
  <c r="C8" i="25"/>
  <c r="C7" i="25"/>
  <c r="C6" i="25"/>
  <c r="Q55" i="21" l="1"/>
  <c r="AH165" i="23" s="1"/>
  <c r="AH161" i="23"/>
  <c r="V50" i="21"/>
  <c r="E65" i="21" s="1"/>
  <c r="G65" i="21" l="1"/>
  <c r="V55" i="21"/>
  <c r="F64" i="21" s="1"/>
  <c r="G64" i="21" s="1"/>
  <c r="E9" i="24"/>
  <c r="E8" i="24"/>
  <c r="E7" i="24"/>
  <c r="E6" i="24"/>
  <c r="A4" i="24"/>
  <c r="E69" i="21" l="1"/>
  <c r="E20" i="11" s="1"/>
  <c r="E9" i="11"/>
  <c r="E8" i="11"/>
  <c r="E7" i="11"/>
  <c r="E6" i="11"/>
  <c r="E70" i="21" l="1"/>
  <c r="C59" i="21" s="1"/>
  <c r="G59" i="21" s="1"/>
  <c r="H59" i="21" s="1"/>
  <c r="R59" i="21" s="1"/>
  <c r="N3" i="21" s="1"/>
  <c r="F20" i="24"/>
  <c r="G19" i="31"/>
  <c r="A4" i="11"/>
  <c r="J59" i="21" l="1"/>
  <c r="G20" i="24"/>
  <c r="H19" i="31"/>
  <c r="F20" i="11"/>
  <c r="I260" i="23"/>
  <c r="C43" i="13"/>
  <c r="O59" i="21" l="1"/>
  <c r="K59" i="21"/>
  <c r="M59" i="21" s="1"/>
  <c r="T42" i="21" s="1"/>
  <c r="W122" i="23"/>
  <c r="R122" i="23"/>
  <c r="W42" i="21" l="1"/>
  <c r="U42" i="21"/>
  <c r="X42" i="21"/>
  <c r="P59" i="21"/>
  <c r="Y42" i="21" s="1"/>
  <c r="F18" i="31" s="1"/>
  <c r="N59" i="21"/>
  <c r="V187" i="23"/>
  <c r="O192" i="23" s="1"/>
  <c r="V192" i="23" s="1"/>
  <c r="AC42" i="21" l="1"/>
  <c r="AC41" i="21" s="1"/>
  <c r="O3" i="21" s="1"/>
  <c r="AD42" i="21"/>
  <c r="Q18" i="31" s="1"/>
  <c r="Z42" i="21"/>
  <c r="S59" i="21"/>
  <c r="H19" i="11" s="1"/>
  <c r="AA42" i="21"/>
  <c r="K18" i="31" s="1"/>
  <c r="F19" i="24"/>
  <c r="F10" i="30"/>
  <c r="AB42" i="21"/>
  <c r="H10" i="30" s="1"/>
  <c r="F19" i="11"/>
  <c r="M239" i="23"/>
  <c r="Q246" i="23"/>
  <c r="L18" i="31" l="1"/>
  <c r="J18" i="31"/>
  <c r="I10" i="30"/>
  <c r="T59" i="21"/>
  <c r="H19" i="24" s="1"/>
  <c r="A50" i="13"/>
  <c r="G19" i="11"/>
  <c r="G10" i="30"/>
  <c r="G19" i="24"/>
  <c r="H18" i="31"/>
  <c r="F240" i="23"/>
  <c r="F242" i="23" s="1"/>
  <c r="M260" i="23" l="1"/>
  <c r="L245" i="23"/>
  <c r="AK245" i="23"/>
  <c r="R260" i="23" l="1"/>
  <c r="W260" i="23"/>
</calcChain>
</file>

<file path=xl/sharedStrings.xml><?xml version="1.0" encoding="utf-8"?>
<sst xmlns="http://schemas.openxmlformats.org/spreadsheetml/2006/main" count="933" uniqueCount="614">
  <si>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</si>
  <si>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</si>
  <si>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</si>
  <si>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</si>
  <si>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</si>
  <si>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</si>
  <si>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</si>
  <si>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</si>
  <si>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</si>
  <si>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</si>
  <si>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</si>
  <si>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</si>
  <si>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</si>
  <si>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</si>
  <si>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</si>
  <si>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</si>
  <si>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</si>
  <si>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</si>
  <si>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</si>
  <si>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</si>
  <si>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</si>
  <si>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</si>
  <si>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</si>
  <si>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</si>
  <si>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</si>
  <si>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</si>
  <si>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</si>
  <si>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</si>
  <si>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</si>
  <si>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</si>
  <si>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</si>
  <si>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</si>
  <si>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</si>
  <si>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</si>
  <si>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</si>
  <si>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</si>
  <si>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</si>
  <si>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</si>
  <si>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</si>
  <si>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</si>
  <si>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</si>
  <si>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</si>
  <si>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</si>
  <si>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</si>
  <si>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</si>
  <si>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</si>
  <si>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</si>
  <si>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</si>
  <si>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</si>
  <si>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</si>
  <si>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</si>
  <si>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</si>
  <si>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</si>
  <si>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</si>
  <si>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</si>
  <si>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</si>
  <si>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</si>
  <si>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</si>
  <si>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</si>
  <si>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</si>
  <si>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</si>
  <si>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</si>
  <si>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</si>
  <si>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</si>
  <si>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</si>
  <si>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7" type="noConversion"/>
  </si>
  <si>
    <t>기기명(종류)</t>
    <phoneticPr fontId="77" type="noConversion"/>
  </si>
  <si>
    <t>측정값</t>
    <phoneticPr fontId="77" type="noConversion"/>
  </si>
  <si>
    <t>단위</t>
    <phoneticPr fontId="77" type="noConversion"/>
  </si>
  <si>
    <t>보정값</t>
    <phoneticPr fontId="77" type="noConversion"/>
  </si>
  <si>
    <t>불확도 1</t>
    <phoneticPr fontId="77" type="noConversion"/>
  </si>
  <si>
    <t>불확도 단위</t>
    <phoneticPr fontId="77" type="noConversion"/>
  </si>
  <si>
    <t>포함인자</t>
    <phoneticPr fontId="77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</si>
  <si>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</si>
  <si>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</si>
  <si>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</si>
  <si>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</si>
  <si>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</si>
  <si>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◆ 측정불확도 추정보고서 ◆</t>
    <phoneticPr fontId="4" type="noConversion"/>
  </si>
  <si>
    <t>|</t>
    <phoneticPr fontId="4" type="noConversion"/>
  </si>
  <si>
    <t>×</t>
    <phoneticPr fontId="4" type="noConversion"/>
  </si>
  <si>
    <t>D6. 자유도 :</t>
    <phoneticPr fontId="4" type="noConversion"/>
  </si>
  <si>
    <t>● Calibration Result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</si>
  <si>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</si>
  <si>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</si>
  <si>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교정번호</t>
    <phoneticPr fontId="4" type="noConversion"/>
  </si>
  <si>
    <t>교정일자</t>
    <phoneticPr fontId="4" type="noConversion"/>
  </si>
  <si>
    <t>● Range 1</t>
    <phoneticPr fontId="4" type="noConversion"/>
  </si>
  <si>
    <t>○ 측정데이터</t>
    <phoneticPr fontId="4" type="noConversion"/>
  </si>
  <si>
    <t>교정자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</si>
  <si>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</si>
  <si>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</si>
  <si>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</si>
  <si>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</si>
  <si>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</si>
  <si>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</si>
  <si>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</si>
  <si>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</si>
  <si>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7" type="noConversion"/>
  </si>
  <si>
    <t>측정위치</t>
    <phoneticPr fontId="77" type="noConversion"/>
  </si>
  <si>
    <t>명목값</t>
    <phoneticPr fontId="77" type="noConversion"/>
  </si>
  <si>
    <t>기준값</t>
    <phoneticPr fontId="77" type="noConversion"/>
  </si>
  <si>
    <t>단위</t>
    <phoneticPr fontId="77" type="noConversion"/>
  </si>
  <si>
    <t>불확도 2</t>
  </si>
  <si>
    <t>비고</t>
    <phoneticPr fontId="4" type="noConversion"/>
  </si>
  <si>
    <t>열팽창계수</t>
    <phoneticPr fontId="77" type="noConversion"/>
  </si>
  <si>
    <t>단위</t>
    <phoneticPr fontId="4" type="noConversion"/>
  </si>
  <si>
    <t>개수</t>
    <phoneticPr fontId="4" type="noConversion"/>
  </si>
  <si>
    <t>교정일자</t>
    <phoneticPr fontId="77" type="noConversion"/>
  </si>
  <si>
    <t>μm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</si>
  <si>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</si>
  <si>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</si>
  <si>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</si>
  <si>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4회</t>
  </si>
  <si>
    <t>5회</t>
  </si>
  <si>
    <t>1. 교정결과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</si>
  <si>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</si>
  <si>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=</t>
    <phoneticPr fontId="4" type="noConversion"/>
  </si>
  <si>
    <t>×</t>
  </si>
  <si>
    <t>명목값</t>
    <phoneticPr fontId="4" type="noConversion"/>
  </si>
  <si>
    <t>사용중지?</t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</si>
  <si>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</si>
  <si>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</si>
  <si>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불확도1</t>
  </si>
  <si>
    <t>불확도2</t>
  </si>
  <si>
    <t>불확도 단위</t>
  </si>
  <si>
    <t>k</t>
  </si>
  <si>
    <t>1회</t>
    <phoneticPr fontId="4" type="noConversion"/>
  </si>
  <si>
    <t>추정값</t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</si>
  <si>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</si>
  <si>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A2. 표준불확도 :</t>
    <phoneticPr fontId="4" type="noConversion"/>
  </si>
  <si>
    <t>k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</si>
  <si>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</si>
  <si>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</si>
  <si>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</si>
  <si>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s</t>
    <phoneticPr fontId="4" type="noConversion"/>
  </si>
  <si>
    <t>d</t>
    <phoneticPr fontId="4" type="noConversion"/>
  </si>
  <si>
    <t>C4. 감도계수 :</t>
    <phoneticPr fontId="4" type="noConversion"/>
  </si>
  <si>
    <t>C5. 불확도 기여량 :</t>
    <phoneticPr fontId="4" type="noConversion"/>
  </si>
  <si>
    <t>｜</t>
    <phoneticPr fontId="4" type="noConversion"/>
  </si>
  <si>
    <t>D1. 추정값 :</t>
    <phoneticPr fontId="4" type="noConversion"/>
  </si>
  <si>
    <t>D4. 감도계수 :</t>
    <phoneticPr fontId="4" type="noConversion"/>
  </si>
  <si>
    <t>E3. 확률분포 :</t>
    <phoneticPr fontId="4" type="noConversion"/>
  </si>
  <si>
    <t>E5. 불확도 기여량 :</t>
    <phoneticPr fontId="4" type="noConversion"/>
  </si>
  <si>
    <t>1 ×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</si>
  <si>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</si>
  <si>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■ 합성표준불확도 계산</t>
    <phoneticPr fontId="4" type="noConversion"/>
  </si>
  <si>
    <t>+</t>
    <phoneticPr fontId="4" type="noConversion"/>
  </si>
  <si>
    <t>■ 유효자유도</t>
    <phoneticPr fontId="4" type="noConversion"/>
  </si>
  <si>
    <t>■ 측정불확도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</si>
  <si>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</si>
  <si>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</si>
  <si>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t>측정항목</t>
    <phoneticPr fontId="4" type="noConversion"/>
  </si>
  <si>
    <t>측정방향</t>
    <phoneticPr fontId="4" type="noConversion"/>
  </si>
  <si>
    <t>측정위치</t>
    <phoneticPr fontId="4" type="noConversion"/>
  </si>
  <si>
    <t>명목값</t>
    <phoneticPr fontId="4" type="noConversion"/>
  </si>
  <si>
    <t>기준값</t>
    <phoneticPr fontId="4" type="noConversion"/>
  </si>
  <si>
    <t>등록번호</t>
    <phoneticPr fontId="4" type="noConversion"/>
  </si>
  <si>
    <t>단위</t>
    <phoneticPr fontId="4" type="noConversion"/>
  </si>
  <si>
    <t>보정값</t>
    <phoneticPr fontId="4" type="noConversion"/>
  </si>
  <si>
    <t>단위</t>
    <phoneticPr fontId="4" type="noConversion"/>
  </si>
  <si>
    <t>2번</t>
  </si>
  <si>
    <t>3번</t>
  </si>
  <si>
    <t>4번</t>
  </si>
  <si>
    <t>5번</t>
  </si>
  <si>
    <t>단위</t>
    <phoneticPr fontId="4" type="noConversion"/>
  </si>
  <si>
    <t>체눈 크기</t>
    <phoneticPr fontId="4" type="noConversion"/>
  </si>
  <si>
    <t>선재 지름</t>
    <phoneticPr fontId="4" type="noConversion"/>
  </si>
  <si>
    <t>체눈 수</t>
    <phoneticPr fontId="4" type="noConversion"/>
  </si>
  <si>
    <t>분해능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</si>
  <si>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</si>
  <si>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측정항목</t>
    <phoneticPr fontId="4" type="noConversion"/>
  </si>
  <si>
    <t>측정값</t>
    <phoneticPr fontId="4" type="noConversion"/>
  </si>
  <si>
    <t>선재의 지름</t>
    <phoneticPr fontId="4" type="noConversion"/>
  </si>
  <si>
    <t>체눈의 평균크기</t>
    <phoneticPr fontId="4" type="noConversion"/>
  </si>
  <si>
    <t>명목값</t>
    <phoneticPr fontId="4" type="noConversion"/>
  </si>
  <si>
    <t>명목값</t>
    <phoneticPr fontId="4" type="noConversion"/>
  </si>
  <si>
    <t>측정불확도</t>
    <phoneticPr fontId="4" type="noConversion"/>
  </si>
  <si>
    <t>Nominal Value</t>
    <phoneticPr fontId="4" type="noConversion"/>
  </si>
  <si>
    <t>Measured Value</t>
    <phoneticPr fontId="4" type="noConversion"/>
  </si>
  <si>
    <t>Measurement Uncertainty</t>
    <phoneticPr fontId="4" type="noConversion"/>
  </si>
  <si>
    <t>Measured item</t>
    <phoneticPr fontId="4" type="noConversion"/>
  </si>
  <si>
    <t>Wire diameter</t>
    <phoneticPr fontId="4" type="noConversion"/>
  </si>
  <si>
    <t>Sieve opening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</si>
  <si>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</si>
  <si>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</si>
  <si>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</si>
  <si>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체눈크기</t>
    <phoneticPr fontId="4" type="noConversion"/>
  </si>
  <si>
    <t>선재지름</t>
    <phoneticPr fontId="4" type="noConversion"/>
  </si>
  <si>
    <t>단위</t>
    <phoneticPr fontId="4" type="noConversion"/>
  </si>
  <si>
    <t>체눈 수</t>
    <phoneticPr fontId="4" type="noConversion"/>
  </si>
  <si>
    <t>환산계수</t>
    <phoneticPr fontId="4" type="noConversion"/>
  </si>
  <si>
    <t>분해능</t>
    <phoneticPr fontId="4" type="noConversion"/>
  </si>
  <si>
    <t>단위</t>
    <phoneticPr fontId="4" type="noConversion"/>
  </si>
  <si>
    <t>CMC1</t>
    <phoneticPr fontId="4" type="noConversion"/>
  </si>
  <si>
    <t>CMC2</t>
    <phoneticPr fontId="4" type="noConversion"/>
  </si>
  <si>
    <t>CMC단위</t>
    <phoneticPr fontId="4" type="noConversion"/>
  </si>
  <si>
    <t>2. 교정결과</t>
    <phoneticPr fontId="4" type="noConversion"/>
  </si>
  <si>
    <t>평균값</t>
    <phoneticPr fontId="4" type="noConversion"/>
  </si>
  <si>
    <t>3. 불확도 계산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</si>
  <si>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</si>
  <si>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</si>
  <si>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</si>
  <si>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요인(값)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</si>
  <si>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</si>
  <si>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</si>
  <si>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</si>
  <si>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</si>
  <si>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</si>
  <si>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B</t>
    <phoneticPr fontId="4" type="noConversion"/>
  </si>
  <si>
    <t>기준기보정값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</si>
  <si>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b</t>
    </r>
    <phoneticPr fontId="4" type="noConversion"/>
  </si>
  <si>
    <t>mm</t>
    <phoneticPr fontId="4" type="noConversion"/>
  </si>
  <si>
    <t>μm</t>
    <phoneticPr fontId="4" type="noConversion"/>
  </si>
  <si>
    <t>정규</t>
    <phoneticPr fontId="4" type="noConversion"/>
  </si>
  <si>
    <t>∞</t>
    <phoneticPr fontId="4" type="noConversion"/>
  </si>
  <si>
    <t>A</t>
    <phoneticPr fontId="4" type="noConversion"/>
  </si>
  <si>
    <t>기준기지시값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</si>
  <si>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</si>
  <si>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mm</t>
    <phoneticPr fontId="4" type="noConversion"/>
  </si>
  <si>
    <t>C</t>
    <phoneticPr fontId="4" type="noConversion"/>
  </si>
  <si>
    <t>목측오차</t>
    <phoneticPr fontId="4" type="noConversion"/>
  </si>
  <si>
    <t>직사각형</t>
    <phoneticPr fontId="4" type="noConversion"/>
  </si>
  <si>
    <t>D</t>
    <phoneticPr fontId="4" type="noConversion"/>
  </si>
  <si>
    <t>E</t>
    <phoneticPr fontId="4" type="noConversion"/>
  </si>
  <si>
    <t>합성표준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</si>
  <si>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d</t>
    </r>
    <phoneticPr fontId="4" type="noConversion"/>
  </si>
  <si>
    <t>μm</t>
    <phoneticPr fontId="4" type="noConversion"/>
  </si>
  <si>
    <t>※ 직사각형 확률분포가 합성표준불확도에 미치는 영향</t>
    <phoneticPr fontId="4" type="noConversion"/>
  </si>
  <si>
    <t>직사각형
분포 성분</t>
    <phoneticPr fontId="4" type="noConversion"/>
  </si>
  <si>
    <t>측정불확도</t>
    <phoneticPr fontId="4" type="noConversion"/>
  </si>
  <si>
    <t>선택</t>
    <phoneticPr fontId="4" type="noConversion"/>
  </si>
  <si>
    <t>5% rule</t>
    <phoneticPr fontId="4" type="noConversion"/>
  </si>
  <si>
    <t>Number Format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</si>
  <si>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</si>
  <si>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계산 (mm)</t>
    <phoneticPr fontId="4" type="noConversion"/>
  </si>
  <si>
    <t>불확도</t>
    <phoneticPr fontId="4" type="noConversion"/>
  </si>
  <si>
    <t>성적서</t>
    <phoneticPr fontId="4" type="noConversion"/>
  </si>
  <si>
    <t>Rawdata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</si>
  <si>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</si>
  <si>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</si>
  <si>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β</t>
    <phoneticPr fontId="4" type="noConversion"/>
  </si>
  <si>
    <t>k</t>
    <phoneticPr fontId="4" type="noConversion"/>
  </si>
  <si>
    <t>CMC</t>
    <phoneticPr fontId="4" type="noConversion"/>
  </si>
  <si>
    <t>4. 교정결과</t>
    <phoneticPr fontId="4" type="noConversion"/>
  </si>
  <si>
    <t>측정항목</t>
    <phoneticPr fontId="4" type="noConversion"/>
  </si>
  <si>
    <t>측정방향</t>
    <phoneticPr fontId="4" type="noConversion"/>
  </si>
  <si>
    <t>측정위치</t>
    <phoneticPr fontId="4" type="noConversion"/>
  </si>
  <si>
    <t>지시값</t>
    <phoneticPr fontId="4" type="noConversion"/>
  </si>
  <si>
    <t>5. 불확도 계산</t>
    <phoneticPr fontId="4" type="noConversion"/>
  </si>
  <si>
    <t>신뢰수준(%)</t>
    <phoneticPr fontId="4" type="noConversion"/>
  </si>
  <si>
    <t>소수점</t>
    <phoneticPr fontId="4" type="noConversion"/>
  </si>
  <si>
    <t>Number</t>
    <phoneticPr fontId="4" type="noConversion"/>
  </si>
  <si>
    <t>자리수</t>
    <phoneticPr fontId="4" type="noConversion"/>
  </si>
  <si>
    <t>Format</t>
    <phoneticPr fontId="4" type="noConversion"/>
  </si>
  <si>
    <t>선재지름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</si>
  <si>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d</t>
    </r>
    <phoneticPr fontId="4" type="noConversion"/>
  </si>
  <si>
    <t>0</t>
    <phoneticPr fontId="4" type="noConversion"/>
  </si>
  <si>
    <t>C</t>
    <phoneticPr fontId="4" type="noConversion"/>
  </si>
  <si>
    <t>정규</t>
    <phoneticPr fontId="4" type="noConversion"/>
  </si>
  <si>
    <t>μm</t>
    <phoneticPr fontId="4" type="noConversion"/>
  </si>
  <si>
    <t>∞</t>
    <phoneticPr fontId="4" type="noConversion"/>
  </si>
  <si>
    <t>0.0</t>
    <phoneticPr fontId="4" type="noConversion"/>
  </si>
  <si>
    <t>A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</si>
  <si>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</si>
  <si>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0.00</t>
    <phoneticPr fontId="4" type="noConversion"/>
  </si>
  <si>
    <t>G</t>
    <phoneticPr fontId="4" type="noConversion"/>
  </si>
  <si>
    <t>목측오차</t>
    <phoneticPr fontId="4" type="noConversion"/>
  </si>
  <si>
    <t>직사각형</t>
    <phoneticPr fontId="4" type="noConversion"/>
  </si>
  <si>
    <t>0.000</t>
    <phoneticPr fontId="4" type="noConversion"/>
  </si>
  <si>
    <t>H</t>
    <phoneticPr fontId="4" type="noConversion"/>
  </si>
  <si>
    <t>분해능</t>
    <phoneticPr fontId="4" type="noConversion"/>
  </si>
  <si>
    <t>0.000 0</t>
    <phoneticPr fontId="4" type="noConversion"/>
  </si>
  <si>
    <t>I</t>
    <phoneticPr fontId="4" type="noConversion"/>
  </si>
  <si>
    <t>합성표준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</si>
  <si>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</si>
  <si>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</si>
  <si>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</si>
  <si>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</si>
  <si>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</si>
  <si>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</si>
  <si>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계산(mm)</t>
    <phoneticPr fontId="4" type="noConversion"/>
  </si>
  <si>
    <t>● 교정료 계산</t>
    <phoneticPr fontId="4" type="noConversion"/>
  </si>
  <si>
    <t>조건 1</t>
    <phoneticPr fontId="4" type="noConversion"/>
  </si>
  <si>
    <t>조건 2</t>
    <phoneticPr fontId="4" type="noConversion"/>
  </si>
  <si>
    <t>기본수수료</t>
    <phoneticPr fontId="4" type="noConversion"/>
  </si>
  <si>
    <t>추가수수료</t>
    <phoneticPr fontId="4" type="noConversion"/>
  </si>
  <si>
    <t>최대범위</t>
    <phoneticPr fontId="4" type="noConversion"/>
  </si>
  <si>
    <t>추가치수</t>
    <phoneticPr fontId="4" type="noConversion"/>
  </si>
  <si>
    <t>인치?</t>
    <phoneticPr fontId="4" type="noConversion"/>
  </si>
  <si>
    <t>소계</t>
    <phoneticPr fontId="4" type="noConversion"/>
  </si>
  <si>
    <t>합계</t>
    <phoneticPr fontId="4" type="noConversion"/>
  </si>
  <si>
    <t>※ 인치의 경우 기본수수료에서 80% 추가함.</t>
    <phoneticPr fontId="4" type="noConversion"/>
  </si>
  <si>
    <t>■ 측정기본정보</t>
    <phoneticPr fontId="4" type="noConversion"/>
  </si>
  <si>
    <t>단위</t>
    <phoneticPr fontId="4" type="noConversion"/>
  </si>
  <si>
    <t>환산계수</t>
    <phoneticPr fontId="4" type="noConversion"/>
  </si>
  <si>
    <t>기기명</t>
    <phoneticPr fontId="4" type="noConversion"/>
  </si>
  <si>
    <t>기준기명</t>
    <phoneticPr fontId="4" type="noConversion"/>
  </si>
  <si>
    <t>선재</t>
    <phoneticPr fontId="4" type="noConversion"/>
  </si>
  <si>
    <t>측정 투영기</t>
    <phoneticPr fontId="4" type="noConversion"/>
  </si>
  <si>
    <t>● 선재의 지름</t>
    <phoneticPr fontId="4" type="noConversion"/>
  </si>
  <si>
    <t>■ 반복 측정 결과</t>
    <phoneticPr fontId="4" type="noConversion"/>
  </si>
  <si>
    <t>측정항목</t>
    <phoneticPr fontId="4" type="noConversion"/>
  </si>
  <si>
    <t>측정방향</t>
    <phoneticPr fontId="4" type="noConversion"/>
  </si>
  <si>
    <t>명목값</t>
    <phoneticPr fontId="4" type="noConversion"/>
  </si>
  <si>
    <t>측정 투영기 지시값</t>
    <phoneticPr fontId="4" type="noConversion"/>
  </si>
  <si>
    <t>표준편차</t>
    <phoneticPr fontId="4" type="noConversion"/>
  </si>
  <si>
    <t>1회</t>
    <phoneticPr fontId="4" type="noConversion"/>
  </si>
  <si>
    <t>2회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</si>
  <si>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</si>
  <si>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</si>
  <si>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</si>
  <si>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mm</t>
    <phoneticPr fontId="4" type="noConversion"/>
  </si>
  <si>
    <t>선재지름</t>
  </si>
  <si>
    <t>가로방향</t>
    <phoneticPr fontId="4" type="noConversion"/>
  </si>
  <si>
    <t>세로방향</t>
    <phoneticPr fontId="4" type="noConversion"/>
  </si>
  <si>
    <t>■ 수학적 모델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</si>
  <si>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d</t>
    </r>
    <phoneticPr fontId="4" type="noConversion"/>
  </si>
  <si>
    <t>:</t>
    <phoneticPr fontId="4" type="noConversion"/>
  </si>
  <si>
    <t>표준온도에서 선재의 지름</t>
  </si>
  <si>
    <t>:</t>
    <phoneticPr fontId="4" type="noConversion"/>
  </si>
  <si>
    <t>측정 투영기의 지시값</t>
  </si>
  <si>
    <r>
      <t>l</t>
    </r>
    <r>
      <rPr>
        <i/>
        <vertAlign val="subscript"/>
        <sz val="10"/>
        <rFont val="Times New Roman"/>
        <family val="1"/>
      </rPr>
      <t>b</t>
    </r>
    <phoneticPr fontId="4" type="noConversion"/>
  </si>
  <si>
    <t>:</t>
    <phoneticPr fontId="4" type="noConversion"/>
  </si>
  <si>
    <t>측정 투영기의 보정값</t>
  </si>
  <si>
    <t>투영면의 십자선과 선재의 끝부분을 일치시킬 때의 선재 상호간의 선명도 차이에 의한 목측오차의 보정값</t>
    <phoneticPr fontId="4" type="noConversion"/>
  </si>
  <si>
    <t>측정 투영지의 분해능에 의한 영향량</t>
    <phoneticPr fontId="4" type="noConversion"/>
  </si>
  <si>
    <t>측정 투영지의 분해능에 의한 영향량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</si>
  <si>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</si>
  <si>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</si>
  <si>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</si>
  <si>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확률분포</t>
    <phoneticPr fontId="4" type="noConversion"/>
  </si>
  <si>
    <t>불확도 기여량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</si>
  <si>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</si>
  <si>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</si>
  <si>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</si>
  <si>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</si>
  <si>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C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</si>
  <si>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d</t>
    </r>
    <phoneticPr fontId="4" type="noConversion"/>
  </si>
  <si>
    <t>■ 표준불확도 성분의 계산</t>
    <phoneticPr fontId="4" type="noConversion"/>
  </si>
  <si>
    <t>※ 표준불확도 성분은 우연효과로 인한 불확도로써 A형 평가를 통하여 구한다.</t>
    <phoneticPr fontId="4" type="noConversion"/>
  </si>
  <si>
    <t>A1. 추정값 :</t>
    <phoneticPr fontId="4" type="noConversion"/>
  </si>
  <si>
    <t>=</t>
    <phoneticPr fontId="4" type="noConversion"/>
  </si>
  <si>
    <t>※ 5회 측정한 표준편차가 0 일 때, 최소한 분해능 1눈금의 차이는 있을 수 있다고 추정하여 다음과 같이 계산한다. (이 내용은 KOLAS 평가시 제외)</t>
    <phoneticPr fontId="4" type="noConversion"/>
  </si>
  <si>
    <t>d</t>
    <phoneticPr fontId="4" type="noConversion"/>
  </si>
  <si>
    <t>A3. 확률분포 :</t>
    <phoneticPr fontId="4" type="noConversion"/>
  </si>
  <si>
    <t>A4. 감도계수 :</t>
    <phoneticPr fontId="4" type="noConversion"/>
  </si>
  <si>
    <t>A5. 불확도 기여도 :</t>
    <phoneticPr fontId="4" type="noConversion"/>
  </si>
  <si>
    <t>|</t>
    <phoneticPr fontId="4" type="noConversion"/>
  </si>
  <si>
    <t>×</t>
    <phoneticPr fontId="4" type="noConversion"/>
  </si>
  <si>
    <t>A6. 자유도 :</t>
    <phoneticPr fontId="4" type="noConversion"/>
  </si>
  <si>
    <t>A6.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</si>
  <si>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</si>
  <si>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b</t>
    </r>
    <r>
      <rPr>
        <b/>
        <sz val="10"/>
        <rFont val="Times New Roman"/>
        <family val="1"/>
      </rPr>
      <t>)</t>
    </r>
    <phoneticPr fontId="4" type="noConversion"/>
  </si>
  <si>
    <t>B1. 추정값 :</t>
    <phoneticPr fontId="4" type="noConversion"/>
  </si>
  <si>
    <t>B2. 표준불확도 :</t>
    <phoneticPr fontId="4" type="noConversion"/>
  </si>
  <si>
    <t>B2. 표준불확도 :</t>
    <phoneticPr fontId="4" type="noConversion"/>
  </si>
  <si>
    <r>
      <t xml:space="preserve">μm (신뢰수준 약 95 %,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inor"/>
      </rPr>
      <t>=2) 이므로</t>
    </r>
    <phoneticPr fontId="4" type="noConversion"/>
  </si>
  <si>
    <r>
      <t>(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inor"/>
      </rPr>
      <t>는 명목값이며, 단위는 mm이다.)</t>
    </r>
    <phoneticPr fontId="4" type="noConversion"/>
  </si>
  <si>
    <t>μm 이다.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</si>
  <si>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</si>
  <si>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t>U</t>
    <phoneticPr fontId="4" type="noConversion"/>
  </si>
  <si>
    <t>μm</t>
    <phoneticPr fontId="4" type="noConversion"/>
  </si>
  <si>
    <t>B3. 확률분포 :</t>
    <phoneticPr fontId="4" type="noConversion"/>
  </si>
  <si>
    <t>B4. 감도계수 :</t>
    <phoneticPr fontId="4" type="noConversion"/>
  </si>
  <si>
    <t>B5. 불확도 기여도 :</t>
    <phoneticPr fontId="4" type="noConversion"/>
  </si>
  <si>
    <t>×</t>
    <phoneticPr fontId="4" type="noConversion"/>
  </si>
  <si>
    <t>B6.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</si>
  <si>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</si>
  <si>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</si>
  <si>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C1. 추정값 :</t>
    <phoneticPr fontId="4" type="noConversion"/>
  </si>
  <si>
    <t>C2. 표준불확도 :</t>
    <phoneticPr fontId="4" type="noConversion"/>
  </si>
  <si>
    <t>※ 이 측정은 측정자의 목측에 의존하므로 개인오차 및 선재 상호간의 촞점거리 불일치에 의한</t>
    <phoneticPr fontId="4" type="noConversion"/>
  </si>
  <si>
    <t>※ 이 측정은 측정자의 목측에 의존하므로 개인오차 및 선재 상호간의 촞점거리 불일치에 의한</t>
    <phoneticPr fontId="4" type="noConversion"/>
  </si>
  <si>
    <t>선명도 차이에서 오는 오차가 고려되어야 한다.</t>
    <phoneticPr fontId="4" type="noConversion"/>
  </si>
  <si>
    <t>적용하여 계산하면</t>
    <phoneticPr fontId="4" type="noConversion"/>
  </si>
  <si>
    <t>적용하여 계산하면</t>
    <phoneticPr fontId="4" type="noConversion"/>
  </si>
  <si>
    <t>C3. 확률분포 :</t>
    <phoneticPr fontId="4" type="noConversion"/>
  </si>
  <si>
    <t>C3. 확률분포 :</t>
    <phoneticPr fontId="4" type="noConversion"/>
  </si>
  <si>
    <t>C6.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</si>
  <si>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</si>
  <si>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D1. 추정값 :</t>
    <phoneticPr fontId="4" type="noConversion"/>
  </si>
  <si>
    <t>D2. 표준불확도 :</t>
    <phoneticPr fontId="4" type="noConversion"/>
  </si>
  <si>
    <t>d</t>
    <phoneticPr fontId="4" type="noConversion"/>
  </si>
  <si>
    <t>D3. 확률분포 :</t>
    <phoneticPr fontId="4" type="noConversion"/>
  </si>
  <si>
    <t>D3. 확률분포 :</t>
    <phoneticPr fontId="4" type="noConversion"/>
  </si>
  <si>
    <t>D5. 불확도 기여량 :</t>
    <phoneticPr fontId="4" type="noConversion"/>
  </si>
  <si>
    <t>1 ×</t>
    <phoneticPr fontId="4" type="noConversion"/>
  </si>
  <si>
    <t>D6. 자유도 :</t>
    <phoneticPr fontId="4" type="noConversion"/>
  </si>
  <si>
    <t>+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</si>
  <si>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</si>
  <si>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t>+</t>
    <phoneticPr fontId="4" type="noConversion"/>
  </si>
  <si>
    <t>■ 측정불확도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</si>
  <si>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</si>
  <si>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</si>
  <si>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</si>
  <si>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</si>
  <si>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경우, 주된 성분에 대한 잔여 성분의 크기가 0.3보다 작은지 점검한다.</t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</si>
  <si>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</si>
  <si>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</si>
  <si>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</si>
  <si>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=</t>
    <phoneticPr fontId="4" type="noConversion"/>
  </si>
  <si>
    <t>≒</t>
    <phoneticPr fontId="4" type="noConversion"/>
  </si>
  <si>
    <t>● 체눈의 평균 크기</t>
    <phoneticPr fontId="4" type="noConversion"/>
  </si>
  <si>
    <t>■ 반복 측정 결과</t>
    <phoneticPr fontId="4" type="noConversion"/>
  </si>
  <si>
    <t>체눈 10개를 포함하는 길이 측정</t>
    <phoneticPr fontId="4" type="noConversion"/>
  </si>
  <si>
    <t>명목값</t>
    <phoneticPr fontId="4" type="noConversion"/>
  </si>
  <si>
    <t>측정 투영기 지시값</t>
    <phoneticPr fontId="4" type="noConversion"/>
  </si>
  <si>
    <t>평균값</t>
    <phoneticPr fontId="4" type="noConversion"/>
  </si>
  <si>
    <t>표준편차</t>
    <phoneticPr fontId="4" type="noConversion"/>
  </si>
  <si>
    <t>1회</t>
    <phoneticPr fontId="4" type="noConversion"/>
  </si>
  <si>
    <t>2회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</si>
  <si>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</si>
  <si>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</si>
  <si>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</si>
  <si>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측정위치</t>
    <phoneticPr fontId="4" type="noConversion"/>
  </si>
  <si>
    <t>mm</t>
    <phoneticPr fontId="4" type="noConversion"/>
  </si>
  <si>
    <t>가로방향</t>
    <phoneticPr fontId="4" type="noConversion"/>
  </si>
  <si>
    <t>위치 1</t>
    <phoneticPr fontId="4" type="noConversion"/>
  </si>
  <si>
    <t>위치 2</t>
    <phoneticPr fontId="4" type="noConversion"/>
  </si>
  <si>
    <t>위치 2</t>
    <phoneticPr fontId="4" type="noConversion"/>
  </si>
  <si>
    <t>세로방향</t>
    <phoneticPr fontId="4" type="noConversion"/>
  </si>
  <si>
    <t>선재의 지름</t>
    <phoneticPr fontId="4" type="noConversion"/>
  </si>
  <si>
    <t>체눈크기</t>
    <phoneticPr fontId="4" type="noConversion"/>
  </si>
  <si>
    <t>■ 수학적 모델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</si>
  <si>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</si>
  <si>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표준온도에서 체눈의 평균 크기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</si>
  <si>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</si>
  <si>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</si>
  <si>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d</t>
    </r>
    <phoneticPr fontId="4" type="noConversion"/>
  </si>
  <si>
    <t>선재의 평균지름</t>
    <phoneticPr fontId="4" type="noConversion"/>
  </si>
  <si>
    <t>투영면의 십자선과 선재의 끝부분을 일치시킬 때의 선재 상호간의 선명도 차이에 의한 목측오차</t>
    <phoneticPr fontId="4" type="noConversion"/>
  </si>
  <si>
    <t>※ 감도계수</t>
    <phoneticPr fontId="4" type="noConversion"/>
  </si>
  <si>
    <t>■ 불확도 총괄표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</si>
  <si>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</si>
  <si>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</si>
  <si>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</si>
  <si>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</si>
  <si>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자유도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</si>
  <si>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</si>
  <si>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</si>
  <si>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</si>
  <si>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</si>
  <si>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</si>
  <si>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A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</si>
  <si>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d</t>
    </r>
    <phoneticPr fontId="4" type="noConversion"/>
  </si>
  <si>
    <t>C</t>
    <phoneticPr fontId="4" type="noConversion"/>
  </si>
  <si>
    <t>D</t>
    <phoneticPr fontId="4" type="noConversion"/>
  </si>
  <si>
    <t>F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</si>
  <si>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</si>
  <si>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t>=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</si>
  <si>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</si>
  <si>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t>A5. 불확도 기여도 :</t>
    <phoneticPr fontId="4" type="noConversion"/>
  </si>
  <si>
    <t>2. 선재의 평균지름의 표준불확도 :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</si>
  <si>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d</t>
    </r>
    <r>
      <rPr>
        <b/>
        <sz val="10"/>
        <rFont val="Times New Roman"/>
        <family val="1"/>
      </rPr>
      <t>)</t>
    </r>
    <phoneticPr fontId="4" type="noConversion"/>
  </si>
  <si>
    <t>※ 선재의 평균지름 불확도 산출내역을 참고한다.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</si>
  <si>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d</t>
    </r>
    <r>
      <rPr>
        <sz val="10"/>
        <rFont val="Times New Roman"/>
        <family val="1"/>
      </rPr>
      <t>)=</t>
    </r>
    <phoneticPr fontId="4" type="noConversion"/>
  </si>
  <si>
    <t>U</t>
    <phoneticPr fontId="4" type="noConversion"/>
  </si>
  <si>
    <t>k</t>
    <phoneticPr fontId="4" type="noConversion"/>
  </si>
  <si>
    <t>B4. 감도계수 :</t>
    <phoneticPr fontId="4" type="noConversion"/>
  </si>
  <si>
    <t>B5. 불확도 기여량 :</t>
    <phoneticPr fontId="4" type="noConversion"/>
  </si>
  <si>
    <t>1 ×</t>
    <phoneticPr fontId="4" type="noConversion"/>
  </si>
  <si>
    <t>B6.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</si>
  <si>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d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</si>
  <si>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C1. 추정값 :</t>
    <phoneticPr fontId="4" type="noConversion"/>
  </si>
  <si>
    <t>μm 이다.</t>
    <phoneticPr fontId="4" type="noConversion"/>
  </si>
  <si>
    <t>C5. 불확도 기여도 :</t>
    <phoneticPr fontId="4" type="noConversion"/>
  </si>
  <si>
    <t>C6. 자유도 :</t>
    <phoneticPr fontId="4" type="noConversion"/>
  </si>
  <si>
    <t>4. 투영면의 십자선과 선재의 끝부분을 일치시킬 때의 선재 상호간의 선명도 차이에 의한 목측오차로 인한 표준불확도</t>
    <phoneticPr fontId="4" type="noConversion"/>
  </si>
  <si>
    <t>선명도 차이에서 오는 오차가 고려되어야 한다.</t>
    <phoneticPr fontId="4" type="noConversion"/>
  </si>
  <si>
    <t>1 ×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</si>
  <si>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</si>
  <si>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E1. 추정값 :</t>
    <phoneticPr fontId="4" type="noConversion"/>
  </si>
  <si>
    <t>E2. 표준불확도 :</t>
    <phoneticPr fontId="4" type="noConversion"/>
  </si>
  <si>
    <r>
      <t>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 =</t>
    </r>
    <phoneticPr fontId="4" type="noConversion"/>
  </si>
  <si>
    <t>=</t>
    <phoneticPr fontId="4" type="noConversion"/>
  </si>
  <si>
    <t>E4. 감도계수 :</t>
    <phoneticPr fontId="4" type="noConversion"/>
  </si>
  <si>
    <t>1 ×</t>
    <phoneticPr fontId="4" type="noConversion"/>
  </si>
  <si>
    <t>E6. 자유도 :</t>
    <phoneticPr fontId="4" type="noConversion"/>
  </si>
  <si>
    <t>■ 합성표준불확도 계산</t>
    <phoneticPr fontId="4" type="noConversion"/>
  </si>
  <si>
    <t>μm</t>
    <phoneticPr fontId="4" type="noConversion"/>
  </si>
  <si>
    <t>μm</t>
    <phoneticPr fontId="4" type="noConversion"/>
  </si>
  <si>
    <t>■ 유효자유도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</si>
  <si>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</si>
  <si>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</si>
  <si>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t>전체의 대부분을 차지하는 경우, 주된 성분에 대한 잔여 성분의 크기가 0.3보다 작은지 점검한다.</t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</si>
  <si>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</si>
  <si>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</si>
  <si>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t>fees</t>
    <phoneticPr fontId="4" type="noConversion"/>
  </si>
  <si>
    <t>P/F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</si>
  <si>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</si>
  <si>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>)</t>
    </r>
    <phoneticPr fontId="4" type="noConversion"/>
  </si>
  <si>
    <r>
      <t>※</t>
    </r>
    <r>
      <rPr>
        <sz val="10"/>
        <rFont val="맑은 고딕"/>
        <family val="1"/>
        <scheme val="major"/>
      </rPr>
      <t xml:space="preserve"> 분해능 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</si>
  <si>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t>mm</t>
    <phoneticPr fontId="4" type="noConversion"/>
  </si>
  <si>
    <t>μm</t>
    <phoneticPr fontId="4" type="noConversion"/>
  </si>
  <si>
    <t>측정항목</t>
    <phoneticPr fontId="4" type="noConversion"/>
  </si>
  <si>
    <t>측정방향</t>
    <phoneticPr fontId="4" type="noConversion"/>
  </si>
  <si>
    <t>측정위치</t>
    <phoneticPr fontId="4" type="noConversion"/>
  </si>
  <si>
    <t>명목값</t>
    <phoneticPr fontId="4" type="noConversion"/>
  </si>
  <si>
    <t>단위</t>
    <phoneticPr fontId="4" type="noConversion"/>
  </si>
  <si>
    <t>측정 투영기 지시값</t>
    <phoneticPr fontId="4" type="noConversion"/>
  </si>
  <si>
    <t>표준편차</t>
    <phoneticPr fontId="4" type="noConversion"/>
  </si>
  <si>
    <t>지시값</t>
    <phoneticPr fontId="4" type="noConversion"/>
  </si>
  <si>
    <t>보정값</t>
    <phoneticPr fontId="4" type="noConversion"/>
  </si>
  <si>
    <t>선재지름</t>
    <phoneticPr fontId="4" type="noConversion"/>
  </si>
  <si>
    <t>자리수 맞춤</t>
    <phoneticPr fontId="4" type="noConversion"/>
  </si>
  <si>
    <t>표기용</t>
    <phoneticPr fontId="4" type="noConversion"/>
  </si>
  <si>
    <t>1번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</si>
  <si>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</si>
  <si>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</si>
  <si>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b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</si>
  <si>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d</t>
    </r>
    <phoneticPr fontId="4" type="noConversion"/>
  </si>
  <si>
    <t>Min</t>
    <phoneticPr fontId="4" type="noConversion"/>
  </si>
  <si>
    <t>Max</t>
    <phoneticPr fontId="4" type="noConversion"/>
  </si>
  <si>
    <t>눈금값</t>
    <phoneticPr fontId="4" type="noConversion"/>
  </si>
  <si>
    <t>Spec</t>
    <phoneticPr fontId="4" type="noConversion"/>
  </si>
  <si>
    <t>Pass/Fail</t>
    <phoneticPr fontId="4" type="noConversion"/>
  </si>
  <si>
    <t>명목값</t>
    <phoneticPr fontId="4" type="noConversion"/>
  </si>
  <si>
    <t>기준값</t>
    <phoneticPr fontId="4" type="noConversion"/>
  </si>
  <si>
    <t>단위</t>
    <phoneticPr fontId="4" type="noConversion"/>
  </si>
  <si>
    <t>측정 투영기 지시값</t>
    <phoneticPr fontId="4" type="noConversion"/>
  </si>
  <si>
    <t>체눈크기</t>
    <phoneticPr fontId="4" type="noConversion"/>
  </si>
  <si>
    <t>평균값</t>
    <phoneticPr fontId="4" type="noConversion"/>
  </si>
  <si>
    <t>Spec</t>
    <phoneticPr fontId="4" type="noConversion"/>
  </si>
  <si>
    <t>표기용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</si>
  <si>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</si>
  <si>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</si>
  <si>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b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</si>
  <si>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</si>
  <si>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Min</t>
    <phoneticPr fontId="4" type="noConversion"/>
  </si>
  <si>
    <t>Max</t>
    <phoneticPr fontId="4" type="noConversion"/>
  </si>
  <si>
    <t>눈금값</t>
    <phoneticPr fontId="4" type="noConversion"/>
  </si>
  <si>
    <t>교정값</t>
    <phoneticPr fontId="4" type="noConversion"/>
  </si>
  <si>
    <t>Pass/Fail</t>
    <phoneticPr fontId="4" type="noConversion"/>
  </si>
  <si>
    <t>mm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</si>
  <si>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</si>
  <si>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=</t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</si>
  <si>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</si>
  <si>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</si>
  <si>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</si>
  <si>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t>주 기여량</t>
    <phoneticPr fontId="4" type="noConversion"/>
  </si>
  <si>
    <t>잔여 기여량</t>
    <phoneticPr fontId="4" type="noConversion"/>
  </si>
  <si>
    <t>불확도</t>
    <phoneticPr fontId="4" type="noConversion"/>
  </si>
  <si>
    <t>선재지름</t>
    <phoneticPr fontId="4" type="noConversion"/>
  </si>
  <si>
    <t>보정값</t>
    <phoneticPr fontId="4" type="noConversion"/>
  </si>
  <si>
    <t>mm</t>
    <phoneticPr fontId="4" type="noConversion"/>
  </si>
  <si>
    <t>보정값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</si>
  <si>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</si>
  <si>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Indication Value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</si>
  <si>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</si>
  <si>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</si>
  <si>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</si>
  <si>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</si>
  <si>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</si>
  <si>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</si>
  <si>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</si>
  <si>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</si>
  <si>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측정항목</t>
    <phoneticPr fontId="4" type="noConversion"/>
  </si>
  <si>
    <t>선재의 지름</t>
    <phoneticPr fontId="4" type="noConversion"/>
  </si>
  <si>
    <t>체눈의 평균크기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</si>
  <si>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</si>
  <si>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</si>
  <si>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</si>
  <si>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Measured
Value</t>
    <phoneticPr fontId="4" type="noConversion"/>
  </si>
  <si>
    <t>Pass
/Fail</t>
    <phoneticPr fontId="4" type="noConversion"/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</si>
  <si>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</si>
  <si>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</si>
  <si>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</si>
  <si>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</si>
  <si>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t>확률분포별 불확도기여량</t>
    <phoneticPr fontId="4" type="noConversion"/>
  </si>
  <si>
    <t>기타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</si>
  <si>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</si>
  <si>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직사각형분포</t>
    <phoneticPr fontId="4" type="noConversion"/>
  </si>
  <si>
    <t>영향</t>
    <phoneticPr fontId="4" type="noConversion"/>
  </si>
  <si>
    <t>직사각형</t>
    <phoneticPr fontId="4" type="noConversion"/>
  </si>
  <si>
    <t>기타</t>
    <phoneticPr fontId="4" type="noConversion"/>
  </si>
  <si>
    <t>비율</t>
    <phoneticPr fontId="4" type="noConversion"/>
  </si>
  <si>
    <t>번호</t>
    <phoneticPr fontId="4" type="noConversion"/>
  </si>
  <si>
    <t>크기순</t>
    <phoneticPr fontId="4" type="noConversion"/>
  </si>
  <si>
    <t>CMC초과?</t>
    <phoneticPr fontId="4" type="noConversion"/>
  </si>
  <si>
    <t>소수점 자리수</t>
    <phoneticPr fontId="4" type="noConversion"/>
  </si>
  <si>
    <t>불확도표기</t>
    <phoneticPr fontId="4" type="noConversion"/>
  </si>
  <si>
    <t>성적서</t>
    <phoneticPr fontId="4" type="noConversion"/>
  </si>
  <si>
    <t>U+α</t>
    <phoneticPr fontId="4" type="noConversion"/>
  </si>
  <si>
    <t>U&amp;r</t>
    <phoneticPr fontId="4" type="noConversion"/>
  </si>
  <si>
    <t>HCT</t>
    <phoneticPr fontId="4" type="noConversion"/>
  </si>
  <si>
    <t>0.0</t>
    <phoneticPr fontId="4" type="noConversion"/>
  </si>
  <si>
    <t>0.00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</si>
  <si>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</si>
  <si>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</si>
  <si>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</si>
  <si>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</si>
  <si>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</si>
  <si>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</si>
  <si>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</si>
  <si>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E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</si>
  <si>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E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</si>
  <si>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</si>
  <si>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rPr>
        <b/>
        <sz val="10"/>
        <rFont val="맑은 고딕"/>
        <family val="3"/>
        <charset val="129"/>
        <scheme val="minor"/>
      </rPr>
      <t xml:space="preserve">3. 투영면의 십자선과 선재의 끝부분을 일치시킬 때의 선재 상호간의 선명도 차이에 의한 목측오차로 인한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E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</si>
  <si>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E</t>
    </r>
    <r>
      <rPr>
        <sz val="10"/>
        <rFont val="Times New Roman"/>
        <family val="1"/>
      </rPr>
      <t xml:space="preserve">) 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</si>
  <si>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</si>
  <si>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</si>
  <si>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E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</si>
  <si>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</si>
  <si>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 xml:space="preserve">: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E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</si>
  <si>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E</t>
    </r>
    <r>
      <rPr>
        <sz val="10"/>
        <rFont val="Times New Roman"/>
        <family val="1"/>
      </rPr>
      <t>) =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</si>
  <si>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</si>
  <si>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t>=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</si>
  <si>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</si>
  <si>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E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</si>
  <si>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</si>
  <si>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t>값</t>
    <phoneticPr fontId="4" type="noConversion"/>
  </si>
  <si>
    <t>단위포함</t>
    <phoneticPr fontId="4" type="noConversion"/>
  </si>
  <si>
    <t>평균 측정값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</si>
</sst>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5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0_ "/>
    <numFmt numFmtId="189" formatCode="0.000000_ "/>
    <numFmt numFmtId="190" formatCode="0.00\ &quot;mg&quot;"/>
    <numFmt numFmtId="191" formatCode="0.000\ &quot;kg&quot;"/>
    <numFmt numFmtId="192" formatCode="0.0_ "/>
    <numFmt numFmtId="193" formatCode="0.0\ &quot;kg&quot;"/>
    <numFmt numFmtId="194" formatCode="#\ ##0.0\ &quot;mg&quot;"/>
    <numFmt numFmtId="195" formatCode="0.000"/>
    <numFmt numFmtId="196" formatCode="####\-##\-##"/>
    <numFmt numFmtId="197" formatCode="0.000_);[Red]\(0.000\)"/>
    <numFmt numFmtId="198" formatCode="0.0000_);[Red]\(0.0000\)"/>
    <numFmt numFmtId="199" formatCode="0.0000_ "/>
    <numFmt numFmtId="200" formatCode="\√\(0\)"/>
    <numFmt numFmtId="201" formatCode="0.0"/>
    <numFmt numFmtId="202" formatCode="0.00\ &quot;μm&quot;"/>
    <numFmt numFmtId="203" formatCode="0.00\ \℃"/>
    <numFmt numFmtId="204" formatCode="0.000\ &quot;mm&quot;"/>
    <numFmt numFmtId="205" formatCode="0.0####\ &quot;mm&quot;"/>
    <numFmt numFmtId="206" formatCode="0\ &quot;μm&quot;"/>
    <numFmt numFmtId="207" formatCode="0.000\ 00"/>
    <numFmt numFmtId="208" formatCode="#\ ###\ ###"/>
    <numFmt numFmtId="209" formatCode="0.0\ &quot;μm&quot;"/>
    <numFmt numFmtId="210" formatCode="0.000\ &quot;μm&quot;"/>
    <numFmt numFmtId="211" formatCode="_-* #,##0_-;\-* #,##0_-;_-* &quot;-&quot;??_-;_-@_-"/>
    <numFmt numFmtId="212" formatCode="0.00_);[Red]\(0.00\)"/>
    <numFmt numFmtId="213" formatCode="0.0##\ &quot;μm&quot;"/>
    <numFmt numFmtId="214" formatCode="General\ &quot;μm&quot;"/>
    <numFmt numFmtId="215" formatCode="0.0000"/>
    <numFmt numFmtId="216" formatCode="0.0_);[Red]\(0.0\)"/>
    <numFmt numFmtId="217" formatCode="0.00_ "/>
    <numFmt numFmtId="218" formatCode="0_ "/>
  </numFmts>
  <fonts count="101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b/>
      <i/>
      <sz val="10"/>
      <name val="맑은 고딕"/>
      <family val="3"/>
      <charset val="129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sz val="10"/>
      <name val="바탕"/>
      <family val="1"/>
      <charset val="129"/>
    </font>
    <font>
      <b/>
      <sz val="10"/>
      <name val="맑은 고딕"/>
      <family val="3"/>
      <charset val="129"/>
    </font>
    <font>
      <sz val="9"/>
      <color indexed="9"/>
      <name val="맑은 고딕"/>
      <family val="3"/>
      <charset val="129"/>
      <scheme val="major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4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6" applyNumberFormat="0" applyBorder="0" applyAlignment="0" applyProtection="0"/>
    <xf numFmtId="0" fontId="17" fillId="22" borderId="57" applyNumberFormat="0" applyAlignment="0" applyProtection="0">
      <alignment vertical="center"/>
    </xf>
    <xf numFmtId="0" fontId="3" fillId="23" borderId="54" applyNumberFormat="0" applyFont="0" applyAlignment="0" applyProtection="0">
      <alignment vertical="center"/>
    </xf>
    <xf numFmtId="0" fontId="24" fillId="0" borderId="58" applyNumberFormat="0" applyFill="0" applyAlignment="0" applyProtection="0">
      <alignment vertical="center"/>
    </xf>
    <xf numFmtId="0" fontId="25" fillId="7" borderId="57" applyNumberFormat="0" applyAlignment="0" applyProtection="0">
      <alignment vertical="center"/>
    </xf>
    <xf numFmtId="0" fontId="31" fillId="22" borderId="5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1" applyNumberFormat="0" applyBorder="0" applyAlignment="0" applyProtection="0"/>
    <xf numFmtId="0" fontId="17" fillId="22" borderId="62" applyNumberFormat="0" applyAlignment="0" applyProtection="0">
      <alignment vertical="center"/>
    </xf>
    <xf numFmtId="0" fontId="3" fillId="23" borderId="60" applyNumberFormat="0" applyFont="0" applyAlignment="0" applyProtection="0">
      <alignment vertical="center"/>
    </xf>
    <xf numFmtId="0" fontId="24" fillId="0" borderId="63" applyNumberFormat="0" applyFill="0" applyAlignment="0" applyProtection="0">
      <alignment vertical="center"/>
    </xf>
    <xf numFmtId="0" fontId="25" fillId="7" borderId="62" applyNumberFormat="0" applyAlignment="0" applyProtection="0">
      <alignment vertical="center"/>
    </xf>
    <xf numFmtId="0" fontId="31" fillId="22" borderId="64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1" applyNumberFormat="0" applyBorder="0" applyAlignment="0" applyProtection="0"/>
    <xf numFmtId="0" fontId="17" fillId="22" borderId="62" applyNumberFormat="0" applyAlignment="0" applyProtection="0">
      <alignment vertical="center"/>
    </xf>
    <xf numFmtId="0" fontId="3" fillId="23" borderId="60" applyNumberFormat="0" applyFont="0" applyAlignment="0" applyProtection="0">
      <alignment vertical="center"/>
    </xf>
    <xf numFmtId="0" fontId="24" fillId="0" borderId="63" applyNumberFormat="0" applyFill="0" applyAlignment="0" applyProtection="0">
      <alignment vertical="center"/>
    </xf>
    <xf numFmtId="0" fontId="25" fillId="7" borderId="62" applyNumberFormat="0" applyAlignment="0" applyProtection="0">
      <alignment vertical="center"/>
    </xf>
    <xf numFmtId="0" fontId="31" fillId="22" borderId="64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</cellStyleXfs>
  <cellXfs count="530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Border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89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4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0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8" xfId="79" applyNumberFormat="1" applyFont="1" applyFill="1" applyBorder="1" applyAlignment="1">
      <alignment vertical="center"/>
    </xf>
    <xf numFmtId="0" fontId="48" fillId="0" borderId="38" xfId="79" applyNumberFormat="1" applyFont="1" applyFill="1" applyBorder="1" applyAlignment="1">
      <alignment horizontal="left" vertical="center"/>
    </xf>
    <xf numFmtId="0" fontId="48" fillId="0" borderId="38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8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7" xfId="0" applyFont="1" applyBorder="1" applyAlignment="1">
      <alignment horizontal="center" vertical="center"/>
    </xf>
    <xf numFmtId="0" fontId="79" fillId="0" borderId="0" xfId="0" applyFont="1" applyBorder="1">
      <alignment vertical="center"/>
    </xf>
    <xf numFmtId="0" fontId="48" fillId="0" borderId="38" xfId="79" applyNumberFormat="1" applyFont="1" applyFill="1" applyBorder="1" applyAlignment="1">
      <alignment horizontal="center" vertical="center"/>
    </xf>
    <xf numFmtId="0" fontId="50" fillId="0" borderId="38" xfId="80" applyNumberFormat="1" applyFont="1" applyFill="1" applyBorder="1" applyAlignment="1">
      <alignment horizontal="right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39" xfId="79" applyNumberFormat="1" applyFont="1" applyFill="1" applyBorder="1" applyAlignment="1">
      <alignment horizontal="center" vertical="center"/>
    </xf>
    <xf numFmtId="0" fontId="60" fillId="31" borderId="39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3" xfId="0" applyNumberFormat="1" applyFont="1" applyBorder="1" applyAlignment="1">
      <alignment horizontal="center" vertical="center"/>
    </xf>
    <xf numFmtId="0" fontId="53" fillId="26" borderId="43" xfId="0" applyFont="1" applyFill="1" applyBorder="1" applyAlignment="1">
      <alignment horizontal="center" vertical="center" wrapText="1"/>
    </xf>
    <xf numFmtId="0" fontId="55" fillId="0" borderId="43" xfId="0" applyFont="1" applyBorder="1" applyAlignment="1">
      <alignment horizontal="center" vertical="center"/>
    </xf>
    <xf numFmtId="0" fontId="52" fillId="0" borderId="43" xfId="0" applyFont="1" applyBorder="1" applyAlignment="1">
      <alignment horizontal="center" vertical="center"/>
    </xf>
    <xf numFmtId="0" fontId="52" fillId="0" borderId="43" xfId="0" applyNumberFormat="1" applyFont="1" applyBorder="1" applyAlignment="1">
      <alignment horizontal="center" vertical="center"/>
    </xf>
    <xf numFmtId="0" fontId="76" fillId="33" borderId="43" xfId="0" applyFont="1" applyFill="1" applyBorder="1">
      <alignment vertical="center"/>
    </xf>
    <xf numFmtId="0" fontId="80" fillId="0" borderId="0" xfId="0" applyNumberFormat="1" applyFont="1" applyFill="1" applyAlignment="1">
      <alignment horizontal="left" vertical="center" indent="1"/>
    </xf>
    <xf numFmtId="0" fontId="81" fillId="0" borderId="0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1" fillId="0" borderId="0" xfId="0" applyNumberFormat="1" applyFont="1" applyFill="1" applyAlignme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1" fillId="0" borderId="46" xfId="0" applyNumberFormat="1" applyFont="1" applyFill="1" applyBorder="1" applyAlignment="1">
      <alignment horizontal="center" vertical="center"/>
    </xf>
    <xf numFmtId="197" fontId="81" fillId="29" borderId="47" xfId="0" applyNumberFormat="1" applyFont="1" applyFill="1" applyBorder="1" applyAlignment="1">
      <alignment horizontal="center" vertical="center"/>
    </xf>
    <xf numFmtId="197" fontId="81" fillId="0" borderId="49" xfId="0" applyNumberFormat="1" applyFont="1" applyFill="1" applyBorder="1" applyAlignment="1">
      <alignment horizontal="center" vertical="center"/>
    </xf>
    <xf numFmtId="198" fontId="81" fillId="0" borderId="46" xfId="0" applyNumberFormat="1" applyFont="1" applyFill="1" applyBorder="1" applyAlignment="1">
      <alignment horizontal="center" vertical="center"/>
    </xf>
    <xf numFmtId="0" fontId="81" fillId="35" borderId="46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vertical="center"/>
    </xf>
    <xf numFmtId="199" fontId="81" fillId="0" borderId="48" xfId="0" applyNumberFormat="1" applyFont="1" applyFill="1" applyBorder="1" applyAlignment="1">
      <alignment horizontal="center" vertical="center"/>
    </xf>
    <xf numFmtId="199" fontId="81" fillId="0" borderId="46" xfId="0" applyNumberFormat="1" applyFont="1" applyFill="1" applyBorder="1" applyAlignment="1">
      <alignment horizontal="center" vertical="center"/>
    </xf>
    <xf numFmtId="0" fontId="81" fillId="35" borderId="48" xfId="0" applyNumberFormat="1" applyFont="1" applyFill="1" applyBorder="1" applyAlignment="1">
      <alignment horizontal="center" vertical="center"/>
    </xf>
    <xf numFmtId="0" fontId="48" fillId="0" borderId="44" xfId="79" applyNumberFormat="1" applyFont="1" applyFill="1" applyBorder="1" applyAlignment="1">
      <alignment horizontal="center" vertical="center"/>
    </xf>
    <xf numFmtId="195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202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203" fontId="67" fillId="0" borderId="0" xfId="0" applyNumberFormat="1" applyFont="1" applyBorder="1" applyAlignment="1">
      <alignment vertical="center"/>
    </xf>
    <xf numFmtId="0" fontId="90" fillId="0" borderId="0" xfId="0" applyFont="1" applyBorder="1" applyAlignment="1">
      <alignment vertical="center"/>
    </xf>
    <xf numFmtId="201" fontId="90" fillId="0" borderId="0" xfId="0" applyNumberFormat="1" applyFont="1" applyBorder="1" applyAlignment="1">
      <alignment vertical="center"/>
    </xf>
    <xf numFmtId="201" fontId="90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horizontal="left" vertical="center" shrinkToFit="1"/>
    </xf>
    <xf numFmtId="207" fontId="67" fillId="0" borderId="0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horizontal="center" vertical="center"/>
    </xf>
    <xf numFmtId="208" fontId="67" fillId="0" borderId="0" xfId="0" applyNumberFormat="1" applyFont="1" applyBorder="1" applyAlignment="1">
      <alignment vertical="center"/>
    </xf>
    <xf numFmtId="210" fontId="67" fillId="0" borderId="0" xfId="0" applyNumberFormat="1" applyFont="1" applyBorder="1" applyAlignment="1">
      <alignment vertical="center"/>
    </xf>
    <xf numFmtId="2" fontId="67" fillId="0" borderId="0" xfId="0" applyNumberFormat="1" applyFont="1" applyBorder="1" applyAlignment="1">
      <alignment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50" xfId="0" applyNumberFormat="1" applyFont="1" applyBorder="1" applyAlignment="1">
      <alignment vertical="center"/>
    </xf>
    <xf numFmtId="0" fontId="52" fillId="0" borderId="51" xfId="0" applyNumberFormat="1" applyFont="1" applyBorder="1" applyAlignme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91" fillId="0" borderId="0" xfId="0" applyNumberFormat="1" applyFont="1" applyAlignment="1">
      <alignment vertical="center"/>
    </xf>
    <xf numFmtId="0" fontId="91" fillId="0" borderId="0" xfId="0" applyNumberFormat="1" applyFont="1" applyAlignment="1">
      <alignment horizontal="left" vertical="center" indent="1"/>
    </xf>
    <xf numFmtId="0" fontId="52" fillId="0" borderId="51" xfId="0" applyNumberFormat="1" applyFont="1" applyBorder="1" applyAlignment="1">
      <alignment horizontal="left" vertical="center"/>
    </xf>
    <xf numFmtId="0" fontId="90" fillId="0" borderId="0" xfId="0" applyFont="1" applyBorder="1">
      <alignment vertical="center"/>
    </xf>
    <xf numFmtId="0" fontId="81" fillId="32" borderId="55" xfId="0" applyNumberFormat="1" applyFont="1" applyFill="1" applyBorder="1" applyAlignment="1">
      <alignment horizontal="center" vertical="center" wrapText="1"/>
    </xf>
    <xf numFmtId="0" fontId="81" fillId="0" borderId="48" xfId="0" applyNumberFormat="1" applyFont="1" applyFill="1" applyBorder="1" applyAlignment="1">
      <alignment horizontal="center" vertical="center"/>
    </xf>
    <xf numFmtId="0" fontId="52" fillId="0" borderId="43" xfId="0" applyNumberFormat="1" applyFont="1" applyBorder="1" applyAlignment="1">
      <alignment horizontal="center" vertical="center" shrinkToFit="1"/>
    </xf>
    <xf numFmtId="41" fontId="52" fillId="0" borderId="43" xfId="87" applyFont="1" applyBorder="1" applyAlignment="1">
      <alignment horizontal="center" vertical="center"/>
    </xf>
    <xf numFmtId="0" fontId="52" fillId="0" borderId="43" xfId="87" applyNumberFormat="1" applyFont="1" applyBorder="1" applyAlignment="1">
      <alignment horizontal="center" vertical="center"/>
    </xf>
    <xf numFmtId="41" fontId="52" fillId="0" borderId="43" xfId="0" applyNumberFormat="1" applyFont="1" applyBorder="1" applyAlignment="1">
      <alignment horizontal="center" vertical="center"/>
    </xf>
    <xf numFmtId="211" fontId="52" fillId="0" borderId="43" xfId="87" applyNumberFormat="1" applyFont="1" applyBorder="1" applyAlignment="1">
      <alignment horizontal="center" vertical="center"/>
    </xf>
    <xf numFmtId="41" fontId="52" fillId="0" borderId="43" xfId="87" applyNumberFormat="1" applyFont="1" applyBorder="1" applyAlignment="1">
      <alignment horizontal="center" vertical="center"/>
    </xf>
    <xf numFmtId="0" fontId="76" fillId="33" borderId="43" xfId="0" applyFont="1" applyFill="1" applyBorder="1">
      <alignment vertical="center"/>
    </xf>
    <xf numFmtId="0" fontId="92" fillId="28" borderId="60" xfId="0" applyNumberFormat="1" applyFont="1" applyFill="1" applyBorder="1" applyAlignment="1">
      <alignment horizontal="center" vertical="center"/>
    </xf>
    <xf numFmtId="0" fontId="81" fillId="0" borderId="60" xfId="0" applyNumberFormat="1" applyFont="1" applyFill="1" applyBorder="1" applyAlignment="1">
      <alignment horizontal="center" vertical="center"/>
    </xf>
    <xf numFmtId="0" fontId="94" fillId="0" borderId="60" xfId="0" applyNumberFormat="1" applyFont="1" applyFill="1" applyBorder="1" applyAlignment="1">
      <alignment horizontal="center" vertical="center"/>
    </xf>
    <xf numFmtId="192" fontId="81" fillId="0" borderId="60" xfId="0" applyNumberFormat="1" applyFont="1" applyFill="1" applyBorder="1" applyAlignment="1">
      <alignment horizontal="center" vertical="center"/>
    </xf>
    <xf numFmtId="0" fontId="52" fillId="0" borderId="0" xfId="0" applyFont="1" applyBorder="1" applyAlignment="1">
      <alignment vertical="center"/>
    </xf>
    <xf numFmtId="208" fontId="67" fillId="0" borderId="0" xfId="0" applyNumberFormat="1" applyFont="1" applyBorder="1" applyAlignment="1">
      <alignment vertical="center" shrinkToFit="1"/>
    </xf>
    <xf numFmtId="0" fontId="59" fillId="27" borderId="45" xfId="81" applyFont="1" applyFill="1" applyBorder="1" applyAlignment="1">
      <alignment horizontal="center" vertical="center"/>
    </xf>
    <xf numFmtId="0" fontId="81" fillId="0" borderId="60" xfId="78" applyNumberFormat="1" applyFont="1" applyFill="1" applyBorder="1" applyAlignment="1">
      <alignment horizontal="center" vertical="center"/>
    </xf>
    <xf numFmtId="0" fontId="5" fillId="28" borderId="55" xfId="0" applyNumberFormat="1" applyFont="1" applyFill="1" applyBorder="1" applyAlignment="1">
      <alignment horizontal="center" vertical="center"/>
    </xf>
    <xf numFmtId="49" fontId="82" fillId="28" borderId="60" xfId="0" applyNumberFormat="1" applyFont="1" applyFill="1" applyBorder="1" applyAlignment="1">
      <alignment horizontal="center" vertical="center"/>
    </xf>
    <xf numFmtId="0" fontId="81" fillId="32" borderId="60" xfId="0" applyNumberFormat="1" applyFont="1" applyFill="1" applyBorder="1" applyAlignment="1">
      <alignment horizontal="center" vertical="center"/>
    </xf>
    <xf numFmtId="0" fontId="81" fillId="29" borderId="60" xfId="0" applyNumberFormat="1" applyFont="1" applyFill="1" applyBorder="1" applyAlignment="1">
      <alignment horizontal="center" vertical="center"/>
    </xf>
    <xf numFmtId="0" fontId="81" fillId="34" borderId="60" xfId="0" applyNumberFormat="1" applyFont="1" applyFill="1" applyBorder="1" applyAlignment="1">
      <alignment horizontal="center" vertical="center"/>
    </xf>
    <xf numFmtId="0" fontId="81" fillId="32" borderId="60" xfId="0" applyNumberFormat="1" applyFont="1" applyFill="1" applyBorder="1" applyAlignment="1">
      <alignment horizontal="center" vertical="center" wrapText="1"/>
    </xf>
    <xf numFmtId="0" fontId="81" fillId="0" borderId="60" xfId="0" applyNumberFormat="1" applyFont="1" applyFill="1" applyBorder="1" applyAlignment="1">
      <alignment horizontal="center" vertical="center" wrapText="1"/>
    </xf>
    <xf numFmtId="0" fontId="81" fillId="0" borderId="60" xfId="0" applyNumberFormat="1" applyFont="1" applyBorder="1" applyAlignment="1">
      <alignment horizontal="center" vertical="center"/>
    </xf>
    <xf numFmtId="212" fontId="81" fillId="0" borderId="60" xfId="0" applyNumberFormat="1" applyFont="1" applyFill="1" applyBorder="1" applyAlignment="1">
      <alignment horizontal="center" vertical="center"/>
    </xf>
    <xf numFmtId="201" fontId="81" fillId="0" borderId="60" xfId="0" applyNumberFormat="1" applyFont="1" applyFill="1" applyBorder="1" applyAlignment="1">
      <alignment horizontal="center" vertical="center"/>
    </xf>
    <xf numFmtId="195" fontId="81" fillId="0" borderId="60" xfId="0" applyNumberFormat="1" applyFont="1" applyFill="1" applyBorder="1" applyAlignment="1">
      <alignment horizontal="center" vertical="center"/>
    </xf>
    <xf numFmtId="200" fontId="81" fillId="0" borderId="60" xfId="0" applyNumberFormat="1" applyFont="1" applyFill="1" applyBorder="1" applyAlignment="1">
      <alignment horizontal="center" vertical="center"/>
    </xf>
    <xf numFmtId="195" fontId="81" fillId="32" borderId="60" xfId="0" applyNumberFormat="1" applyFont="1" applyFill="1" applyBorder="1" applyAlignment="1">
      <alignment horizontal="center" vertical="center"/>
    </xf>
    <xf numFmtId="0" fontId="81" fillId="36" borderId="60" xfId="0" applyNumberFormat="1" applyFont="1" applyFill="1" applyBorder="1" applyAlignment="1">
      <alignment horizontal="center" vertical="center"/>
    </xf>
    <xf numFmtId="0" fontId="81" fillId="0" borderId="60" xfId="0" applyNumberFormat="1" applyFont="1" applyFill="1" applyBorder="1" applyAlignment="1">
      <alignment horizontal="left" vertical="center"/>
    </xf>
    <xf numFmtId="49" fontId="81" fillId="0" borderId="60" xfId="0" applyNumberFormat="1" applyFont="1" applyFill="1" applyBorder="1" applyAlignment="1">
      <alignment horizontal="left" vertical="center"/>
    </xf>
    <xf numFmtId="195" fontId="81" fillId="29" borderId="60" xfId="0" applyNumberFormat="1" applyFont="1" applyFill="1" applyBorder="1" applyAlignment="1">
      <alignment horizontal="center" vertical="center"/>
    </xf>
    <xf numFmtId="0" fontId="48" fillId="0" borderId="65" xfId="79" applyNumberFormat="1" applyFont="1" applyFill="1" applyBorder="1" applyAlignment="1">
      <alignment vertical="center"/>
    </xf>
    <xf numFmtId="41" fontId="52" fillId="0" borderId="52" xfId="87" applyFont="1" applyBorder="1" applyAlignment="1">
      <alignment horizontal="center" vertical="center" wrapText="1"/>
    </xf>
    <xf numFmtId="0" fontId="52" fillId="29" borderId="66" xfId="87" applyNumberFormat="1" applyFont="1" applyFill="1" applyBorder="1" applyAlignment="1">
      <alignment horizontal="center" vertical="center" wrapText="1"/>
    </xf>
    <xf numFmtId="41" fontId="52" fillId="0" borderId="66" xfId="87" applyFont="1" applyBorder="1" applyAlignment="1">
      <alignment horizontal="center" vertical="center" wrapText="1"/>
    </xf>
    <xf numFmtId="9" fontId="52" fillId="29" borderId="66" xfId="87" applyNumberFormat="1" applyFont="1" applyFill="1" applyBorder="1" applyAlignment="1">
      <alignment horizontal="center" vertical="center" wrapText="1"/>
    </xf>
    <xf numFmtId="9" fontId="52" fillId="0" borderId="66" xfId="87" applyNumberFormat="1" applyFont="1" applyBorder="1" applyAlignment="1">
      <alignment horizontal="center" vertical="center" wrapText="1"/>
    </xf>
    <xf numFmtId="0" fontId="48" fillId="0" borderId="0" xfId="79" applyNumberFormat="1" applyFont="1" applyFill="1" applyAlignment="1">
      <alignment horizontal="left" vertical="center" indent="2"/>
    </xf>
    <xf numFmtId="0" fontId="73" fillId="0" borderId="0" xfId="0" applyFont="1" applyBorder="1">
      <alignment vertical="center"/>
    </xf>
    <xf numFmtId="0" fontId="87" fillId="0" borderId="0" xfId="0" applyFont="1" applyBorder="1">
      <alignment vertical="center"/>
    </xf>
    <xf numFmtId="194" fontId="67" fillId="0" borderId="65" xfId="0" applyNumberFormat="1" applyFont="1" applyBorder="1" applyAlignment="1">
      <alignment vertical="center"/>
    </xf>
    <xf numFmtId="0" fontId="97" fillId="0" borderId="0" xfId="0" applyFont="1" applyBorder="1" applyAlignment="1">
      <alignment vertical="center"/>
    </xf>
    <xf numFmtId="49" fontId="81" fillId="0" borderId="60" xfId="78" applyNumberFormat="1" applyFont="1" applyFill="1" applyBorder="1" applyAlignment="1">
      <alignment horizontal="center" vertical="center"/>
    </xf>
    <xf numFmtId="0" fontId="78" fillId="0" borderId="61" xfId="0" applyNumberFormat="1" applyFont="1" applyBorder="1" applyAlignment="1">
      <alignment horizontal="center" vertical="center"/>
    </xf>
    <xf numFmtId="49" fontId="81" fillId="0" borderId="60" xfId="0" applyNumberFormat="1" applyFont="1" applyFill="1" applyBorder="1" applyAlignment="1">
      <alignment horizontal="center" vertical="center"/>
    </xf>
    <xf numFmtId="0" fontId="85" fillId="35" borderId="69" xfId="78" applyNumberFormat="1" applyFont="1" applyFill="1" applyBorder="1" applyAlignment="1">
      <alignment horizontal="center" vertical="center"/>
    </xf>
    <xf numFmtId="215" fontId="81" fillId="0" borderId="60" xfId="0" applyNumberFormat="1" applyFont="1" applyFill="1" applyBorder="1" applyAlignment="1">
      <alignment horizontal="center" vertical="center"/>
    </xf>
    <xf numFmtId="216" fontId="81" fillId="0" borderId="60" xfId="0" applyNumberFormat="1" applyFont="1" applyFill="1" applyBorder="1" applyAlignment="1">
      <alignment horizontal="center" vertical="center"/>
    </xf>
    <xf numFmtId="49" fontId="81" fillId="36" borderId="60" xfId="0" applyNumberFormat="1" applyFont="1" applyFill="1" applyBorder="1" applyAlignment="1">
      <alignment horizontal="center" vertical="center"/>
    </xf>
    <xf numFmtId="41" fontId="52" fillId="0" borderId="71" xfId="87" applyFont="1" applyBorder="1" applyAlignment="1">
      <alignment horizontal="center" vertical="center" wrapText="1"/>
    </xf>
    <xf numFmtId="49" fontId="82" fillId="28" borderId="60" xfId="0" applyNumberFormat="1" applyFont="1" applyFill="1" applyBorder="1" applyAlignment="1">
      <alignment horizontal="center" vertical="center" wrapText="1"/>
    </xf>
    <xf numFmtId="0" fontId="48" fillId="0" borderId="52" xfId="79" applyNumberFormat="1" applyFont="1" applyFill="1" applyBorder="1" applyAlignment="1">
      <alignment horizontal="center" vertical="center" wrapText="1"/>
    </xf>
    <xf numFmtId="0" fontId="48" fillId="0" borderId="43" xfId="79" applyNumberFormat="1" applyFont="1" applyFill="1" applyBorder="1" applyAlignment="1">
      <alignment horizontal="center" vertical="center"/>
    </xf>
    <xf numFmtId="0" fontId="48" fillId="0" borderId="52" xfId="79" applyNumberFormat="1" applyFont="1" applyFill="1" applyBorder="1" applyAlignment="1">
      <alignment horizontal="center" vertical="center" wrapText="1"/>
    </xf>
    <xf numFmtId="0" fontId="48" fillId="0" borderId="52" xfId="79" applyNumberFormat="1" applyFont="1" applyFill="1" applyBorder="1" applyAlignment="1">
      <alignment horizontal="center" vertical="center"/>
    </xf>
    <xf numFmtId="0" fontId="7" fillId="28" borderId="55" xfId="0" applyNumberFormat="1" applyFont="1" applyFill="1" applyBorder="1" applyAlignment="1">
      <alignment horizontal="center" vertical="center"/>
    </xf>
    <xf numFmtId="0" fontId="1" fillId="0" borderId="60" xfId="78" applyNumberFormat="1" applyFont="1" applyFill="1" applyBorder="1" applyAlignment="1">
      <alignment horizontal="center" vertical="center"/>
    </xf>
    <xf numFmtId="196" fontId="1" fillId="0" borderId="60" xfId="78" applyNumberFormat="1" applyFont="1" applyFill="1" applyBorder="1" applyAlignment="1">
      <alignment horizontal="center" vertical="center"/>
    </xf>
    <xf numFmtId="49" fontId="1" fillId="0" borderId="60" xfId="78" applyNumberFormat="1" applyFont="1" applyFill="1" applyBorder="1" applyAlignment="1">
      <alignment horizontal="center" vertical="center"/>
    </xf>
    <xf numFmtId="49" fontId="48" fillId="0" borderId="43" xfId="79" applyNumberFormat="1" applyFont="1" applyFill="1" applyBorder="1" applyAlignment="1">
      <alignment horizontal="center" vertical="center"/>
    </xf>
    <xf numFmtId="49" fontId="48" fillId="0" borderId="71" xfId="79" applyNumberFormat="1" applyFont="1" applyFill="1" applyBorder="1" applyAlignment="1">
      <alignment horizontal="center" vertical="center"/>
    </xf>
    <xf numFmtId="0" fontId="82" fillId="28" borderId="55" xfId="0" applyNumberFormat="1" applyFont="1" applyFill="1" applyBorder="1" applyAlignment="1">
      <alignment horizontal="center" vertical="center" wrapText="1"/>
    </xf>
    <xf numFmtId="188" fontId="81" fillId="0" borderId="60" xfId="0" applyNumberFormat="1" applyFont="1" applyFill="1" applyBorder="1" applyAlignment="1">
      <alignment horizontal="center" vertical="center"/>
    </xf>
    <xf numFmtId="0" fontId="82" fillId="28" borderId="69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/>
    </xf>
    <xf numFmtId="0" fontId="48" fillId="0" borderId="71" xfId="79" applyNumberFormat="1" applyFont="1" applyFill="1" applyBorder="1" applyAlignment="1">
      <alignment horizontal="center" vertical="center"/>
    </xf>
    <xf numFmtId="49" fontId="48" fillId="0" borderId="31" xfId="79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191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195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5" fillId="0" borderId="0" xfId="0" applyFont="1" applyBorder="1" applyAlignment="1">
      <alignment horizontal="right" vertical="center"/>
    </xf>
    <xf numFmtId="215" fontId="67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vertical="center"/>
    </xf>
    <xf numFmtId="2" fontId="52" fillId="0" borderId="0" xfId="0" applyNumberFormat="1" applyFont="1" applyBorder="1" applyAlignment="1">
      <alignment horizontal="center" vertical="center"/>
    </xf>
    <xf numFmtId="0" fontId="87" fillId="0" borderId="0" xfId="0" applyFont="1" applyBorder="1" applyAlignment="1">
      <alignment vertical="center"/>
    </xf>
    <xf numFmtId="213" fontId="67" fillId="0" borderId="0" xfId="0" applyNumberFormat="1" applyFont="1" applyBorder="1" applyAlignment="1">
      <alignment vertical="center" shrinkToFit="1"/>
    </xf>
    <xf numFmtId="49" fontId="67" fillId="0" borderId="0" xfId="0" applyNumberFormat="1" applyFont="1" applyBorder="1" applyAlignment="1">
      <alignment horizontal="center" vertical="center"/>
    </xf>
    <xf numFmtId="205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65" xfId="0" applyNumberFormat="1" applyFont="1" applyBorder="1" applyAlignment="1">
      <alignment vertical="center"/>
    </xf>
    <xf numFmtId="0" fontId="67" fillId="0" borderId="65" xfId="0" applyNumberFormat="1" applyFont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/>
    </xf>
    <xf numFmtId="189" fontId="82" fillId="28" borderId="60" xfId="0" applyNumberFormat="1" applyFont="1" applyFill="1" applyBorder="1" applyAlignment="1">
      <alignment horizontal="center" vertical="center" wrapText="1"/>
    </xf>
    <xf numFmtId="189" fontId="82" fillId="28" borderId="60" xfId="0" applyNumberFormat="1" applyFont="1" applyFill="1" applyBorder="1" applyAlignment="1">
      <alignment horizontal="center" vertical="center"/>
    </xf>
    <xf numFmtId="201" fontId="69" fillId="0" borderId="0" xfId="0" applyNumberFormat="1" applyFont="1" applyBorder="1" applyAlignment="1">
      <alignment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2" fontId="81" fillId="32" borderId="60" xfId="86" applyNumberFormat="1" applyFont="1" applyFill="1" applyBorder="1" applyAlignment="1">
      <alignment horizontal="center" vertical="center" wrapText="1"/>
    </xf>
    <xf numFmtId="195" fontId="81" fillId="31" borderId="60" xfId="0" applyNumberFormat="1" applyFont="1" applyFill="1" applyBorder="1" applyAlignment="1">
      <alignment horizontal="center" vertical="center"/>
    </xf>
    <xf numFmtId="188" fontId="81" fillId="0" borderId="60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0" fontId="48" fillId="0" borderId="73" xfId="79" applyNumberFormat="1" applyFont="1" applyFill="1" applyBorder="1" applyAlignment="1">
      <alignment vertical="center"/>
    </xf>
    <xf numFmtId="0" fontId="48" fillId="0" borderId="73" xfId="79" applyNumberFormat="1" applyFont="1" applyFill="1" applyBorder="1" applyAlignment="1">
      <alignment horizontal="left" vertical="center"/>
    </xf>
    <xf numFmtId="0" fontId="50" fillId="0" borderId="73" xfId="80" applyNumberFormat="1" applyFont="1" applyFill="1" applyBorder="1" applyAlignment="1">
      <alignment horizontal="right" vertical="center"/>
    </xf>
    <xf numFmtId="0" fontId="48" fillId="0" borderId="73" xfId="79" applyNumberFormat="1" applyFont="1" applyFill="1" applyBorder="1" applyAlignment="1">
      <alignment horizontal="right" vertical="center"/>
    </xf>
    <xf numFmtId="0" fontId="48" fillId="0" borderId="73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/>
    </xf>
    <xf numFmtId="218" fontId="99" fillId="37" borderId="73" xfId="113" applyNumberFormat="1" applyFont="1" applyFill="1" applyBorder="1" applyAlignment="1">
      <alignment horizontal="center" vertical="center" wrapText="1"/>
    </xf>
    <xf numFmtId="49" fontId="60" fillId="37" borderId="73" xfId="79" applyNumberFormat="1" applyFont="1" applyFill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 wrapText="1"/>
    </xf>
    <xf numFmtId="0" fontId="82" fillId="28" borderId="55" xfId="0" applyNumberFormat="1" applyFont="1" applyFill="1" applyBorder="1" applyAlignment="1">
      <alignment horizontal="center" vertical="center" wrapText="1"/>
    </xf>
    <xf numFmtId="188" fontId="81" fillId="0" borderId="60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0" fontId="82" fillId="28" borderId="69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195" fontId="81" fillId="0" borderId="0" xfId="0" applyNumberFormat="1" applyFont="1" applyFill="1" applyBorder="1" applyAlignment="1">
      <alignment horizontal="center" vertical="center"/>
    </xf>
    <xf numFmtId="0" fontId="81" fillId="38" borderId="60" xfId="0" applyNumberFormat="1" applyFont="1" applyFill="1" applyBorder="1" applyAlignment="1">
      <alignment horizontal="center" vertical="center"/>
    </xf>
    <xf numFmtId="0" fontId="98" fillId="28" borderId="60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8" fillId="0" borderId="52" xfId="79" applyNumberFormat="1" applyFont="1" applyFill="1" applyBorder="1" applyAlignment="1">
      <alignment horizontal="center" vertical="center" wrapText="1"/>
    </xf>
    <xf numFmtId="0" fontId="48" fillId="0" borderId="71" xfId="79" applyNumberFormat="1" applyFont="1" applyFill="1" applyBorder="1" applyAlignment="1">
      <alignment horizontal="center" vertical="center" wrapText="1"/>
    </xf>
    <xf numFmtId="0" fontId="47" fillId="0" borderId="0" xfId="79" applyNumberFormat="1" applyFont="1" applyAlignment="1">
      <alignment horizontal="center" wrapText="1"/>
    </xf>
    <xf numFmtId="49" fontId="75" fillId="0" borderId="0" xfId="82" applyNumberFormat="1" applyFont="1" applyFill="1" applyBorder="1" applyAlignment="1">
      <alignment horizontal="center" vertical="center" wrapText="1"/>
    </xf>
    <xf numFmtId="0" fontId="60" fillId="37" borderId="0" xfId="0" applyNumberFormat="1" applyFont="1" applyFill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73" xfId="79" applyNumberFormat="1" applyFont="1" applyFill="1" applyBorder="1" applyAlignment="1">
      <alignment horizontal="center" vertical="center"/>
    </xf>
    <xf numFmtId="218" fontId="60" fillId="37" borderId="0" xfId="0" applyNumberFormat="1" applyFont="1" applyFill="1" applyBorder="1" applyAlignment="1">
      <alignment horizontal="center" vertical="center" wrapText="1"/>
    </xf>
    <xf numFmtId="218" fontId="60" fillId="37" borderId="73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73" xfId="0" applyNumberFormat="1" applyFont="1" applyFill="1" applyBorder="1" applyAlignment="1">
      <alignment horizontal="center" vertical="center"/>
    </xf>
    <xf numFmtId="218" fontId="48" fillId="37" borderId="0" xfId="0" applyNumberFormat="1" applyFont="1" applyFill="1" applyAlignment="1">
      <alignment horizontal="center" vertical="center"/>
    </xf>
    <xf numFmtId="218" fontId="48" fillId="37" borderId="73" xfId="0" applyNumberFormat="1" applyFont="1" applyFill="1" applyBorder="1" applyAlignment="1">
      <alignment horizontal="center" vertical="center"/>
    </xf>
    <xf numFmtId="218" fontId="60" fillId="37" borderId="0" xfId="0" applyNumberFormat="1" applyFont="1" applyFill="1" applyAlignment="1">
      <alignment horizontal="center" vertical="center"/>
    </xf>
    <xf numFmtId="218" fontId="60" fillId="37" borderId="73" xfId="0" applyNumberFormat="1" applyFont="1" applyFill="1" applyBorder="1" applyAlignment="1">
      <alignment horizontal="center" vertical="center"/>
    </xf>
    <xf numFmtId="218" fontId="99" fillId="37" borderId="0" xfId="113" applyNumberFormat="1" applyFont="1" applyFill="1" applyBorder="1" applyAlignment="1">
      <alignment horizontal="center" vertical="center" wrapText="1"/>
    </xf>
    <xf numFmtId="218" fontId="99" fillId="37" borderId="73" xfId="113" applyNumberFormat="1" applyFont="1" applyFill="1" applyBorder="1" applyAlignment="1">
      <alignment horizontal="center" vertical="center" wrapText="1"/>
    </xf>
    <xf numFmtId="218" fontId="99" fillId="37" borderId="0" xfId="113" applyNumberFormat="1" applyFont="1" applyFill="1" applyBorder="1" applyAlignment="1">
      <alignment horizontal="center" vertical="center"/>
    </xf>
    <xf numFmtId="218" fontId="99" fillId="37" borderId="73" xfId="113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73" xfId="0" applyNumberFormat="1" applyFont="1" applyFill="1" applyBorder="1" applyAlignment="1">
      <alignment horizontal="center" vertical="center"/>
    </xf>
    <xf numFmtId="218" fontId="48" fillId="37" borderId="0" xfId="0" applyNumberFormat="1" applyFont="1" applyFill="1" applyBorder="1" applyAlignment="1">
      <alignment horizontal="center" vertical="center"/>
    </xf>
    <xf numFmtId="218" fontId="60" fillId="37" borderId="0" xfId="0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48" fillId="0" borderId="52" xfId="79" applyNumberFormat="1" applyFont="1" applyFill="1" applyBorder="1" applyAlignment="1">
      <alignment horizontal="center" vertical="center"/>
    </xf>
    <xf numFmtId="0" fontId="48" fillId="0" borderId="71" xfId="79" applyNumberFormat="1" applyFont="1" applyFill="1" applyBorder="1" applyAlignment="1">
      <alignment horizontal="center" vertical="center"/>
    </xf>
    <xf numFmtId="49" fontId="1" fillId="0" borderId="55" xfId="78" applyNumberFormat="1" applyFont="1" applyFill="1" applyBorder="1" applyAlignment="1">
      <alignment horizontal="center" vertical="center"/>
    </xf>
    <xf numFmtId="49" fontId="1" fillId="0" borderId="69" xfId="78" applyNumberFormat="1" applyFont="1" applyFill="1" applyBorder="1" applyAlignment="1">
      <alignment horizontal="center" vertical="center"/>
    </xf>
    <xf numFmtId="49" fontId="1" fillId="0" borderId="40" xfId="78" applyNumberFormat="1" applyFont="1" applyFill="1" applyBorder="1" applyAlignment="1">
      <alignment horizontal="center" vertical="center"/>
    </xf>
    <xf numFmtId="49" fontId="1" fillId="0" borderId="42" xfId="78" applyNumberFormat="1" applyFont="1" applyFill="1" applyBorder="1" applyAlignment="1">
      <alignment horizontal="center" vertical="center"/>
    </xf>
    <xf numFmtId="49" fontId="1" fillId="0" borderId="70" xfId="78" applyNumberFormat="1" applyFont="1" applyFill="1" applyBorder="1" applyAlignment="1">
      <alignment horizontal="center" vertical="center"/>
    </xf>
    <xf numFmtId="0" fontId="7" fillId="28" borderId="55" xfId="0" applyNumberFormat="1" applyFont="1" applyFill="1" applyBorder="1" applyAlignment="1">
      <alignment horizontal="center" vertical="center" wrapText="1"/>
    </xf>
    <xf numFmtId="0" fontId="7" fillId="28" borderId="69" xfId="0" applyNumberFormat="1" applyFont="1" applyFill="1" applyBorder="1" applyAlignment="1">
      <alignment horizontal="center" vertical="center" wrapText="1"/>
    </xf>
    <xf numFmtId="196" fontId="1" fillId="0" borderId="40" xfId="78" applyNumberFormat="1" applyFont="1" applyFill="1" applyBorder="1" applyAlignment="1">
      <alignment horizontal="center" vertical="center"/>
    </xf>
    <xf numFmtId="196" fontId="1" fillId="0" borderId="42" xfId="78" applyNumberFormat="1" applyFont="1" applyFill="1" applyBorder="1" applyAlignment="1">
      <alignment horizontal="center" vertical="center"/>
    </xf>
    <xf numFmtId="0" fontId="7" fillId="28" borderId="40" xfId="0" applyNumberFormat="1" applyFont="1" applyFill="1" applyBorder="1" applyAlignment="1">
      <alignment horizontal="center" vertical="center"/>
    </xf>
    <xf numFmtId="0" fontId="7" fillId="28" borderId="41" xfId="0" applyNumberFormat="1" applyFont="1" applyFill="1" applyBorder="1" applyAlignment="1">
      <alignment horizontal="center" vertical="center"/>
    </xf>
    <xf numFmtId="0" fontId="7" fillId="28" borderId="42" xfId="0" applyNumberFormat="1" applyFont="1" applyFill="1" applyBorder="1" applyAlignment="1">
      <alignment horizontal="center" vertical="center"/>
    </xf>
    <xf numFmtId="0" fontId="67" fillId="0" borderId="52" xfId="0" applyFont="1" applyBorder="1" applyAlignment="1">
      <alignment horizontal="center" vertical="center"/>
    </xf>
    <xf numFmtId="195" fontId="67" fillId="0" borderId="0" xfId="0" applyNumberFormat="1" applyFont="1" applyBorder="1" applyAlignment="1">
      <alignment vertical="center"/>
    </xf>
    <xf numFmtId="191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188" fontId="67" fillId="0" borderId="65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208" fontId="67" fillId="0" borderId="0" xfId="0" applyNumberFormat="1" applyFont="1" applyBorder="1" applyAlignment="1">
      <alignment horizontal="left" vertical="center" shrinkToFit="1"/>
    </xf>
    <xf numFmtId="188" fontId="67" fillId="0" borderId="65" xfId="0" applyNumberFormat="1" applyFont="1" applyBorder="1" applyAlignment="1">
      <alignment horizontal="center" vertical="center" shrinkToFit="1"/>
    </xf>
    <xf numFmtId="0" fontId="67" fillId="0" borderId="0" xfId="0" applyFont="1" applyBorder="1" applyAlignment="1">
      <alignment horizontal="left" vertical="center"/>
    </xf>
    <xf numFmtId="204" fontId="67" fillId="0" borderId="0" xfId="0" applyNumberFormat="1" applyFont="1" applyBorder="1" applyAlignment="1">
      <alignment horizontal="left" vertical="center"/>
    </xf>
    <xf numFmtId="0" fontId="67" fillId="0" borderId="39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65" xfId="0" applyNumberFormat="1" applyFont="1" applyBorder="1" applyAlignment="1">
      <alignment vertical="center"/>
    </xf>
    <xf numFmtId="193" fontId="67" fillId="0" borderId="65" xfId="0" applyNumberFormat="1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0" fontId="67" fillId="0" borderId="43" xfId="0" applyFont="1" applyBorder="1" applyAlignment="1">
      <alignment horizontal="center" vertical="center"/>
    </xf>
    <xf numFmtId="201" fontId="67" fillId="0" borderId="0" xfId="0" applyNumberFormat="1" applyFont="1" applyBorder="1" applyAlignment="1">
      <alignment horizontal="center" vertical="center"/>
    </xf>
    <xf numFmtId="0" fontId="69" fillId="0" borderId="13" xfId="0" applyFont="1" applyBorder="1" applyAlignment="1">
      <alignment horizontal="center" vertical="center"/>
    </xf>
    <xf numFmtId="191" fontId="67" fillId="0" borderId="53" xfId="0" applyNumberFormat="1" applyFont="1" applyBorder="1" applyAlignment="1">
      <alignment vertical="center"/>
    </xf>
    <xf numFmtId="191" fontId="67" fillId="0" borderId="51" xfId="0" applyNumberFormat="1" applyFont="1" applyBorder="1" applyAlignment="1">
      <alignment vertical="center"/>
    </xf>
    <xf numFmtId="0" fontId="67" fillId="0" borderId="50" xfId="0" applyFont="1" applyBorder="1" applyAlignment="1">
      <alignment horizontal="center" vertical="center"/>
    </xf>
    <xf numFmtId="0" fontId="67" fillId="0" borderId="53" xfId="0" applyFont="1" applyBorder="1" applyAlignment="1">
      <alignment horizontal="center" vertical="center"/>
    </xf>
    <xf numFmtId="0" fontId="67" fillId="0" borderId="51" xfId="0" applyFont="1" applyBorder="1" applyAlignment="1">
      <alignment horizontal="center" vertical="center"/>
    </xf>
    <xf numFmtId="195" fontId="67" fillId="0" borderId="50" xfId="0" applyNumberFormat="1" applyFont="1" applyBorder="1" applyAlignment="1">
      <alignment vertical="center"/>
    </xf>
    <xf numFmtId="195" fontId="67" fillId="0" borderId="53" xfId="0" applyNumberFormat="1" applyFont="1" applyBorder="1" applyAlignment="1">
      <alignment vertical="center"/>
    </xf>
    <xf numFmtId="202" fontId="65" fillId="0" borderId="65" xfId="0" applyNumberFormat="1" applyFont="1" applyBorder="1" applyAlignment="1">
      <alignment horizontal="center" vertical="center"/>
    </xf>
    <xf numFmtId="202" fontId="67" fillId="0" borderId="65" xfId="0" applyNumberFormat="1" applyFont="1" applyBorder="1" applyAlignment="1">
      <alignment horizontal="center" vertical="center"/>
    </xf>
    <xf numFmtId="201" fontId="69" fillId="0" borderId="0" xfId="0" applyNumberFormat="1" applyFont="1" applyBorder="1" applyAlignment="1">
      <alignment horizontal="center" vertical="center"/>
    </xf>
    <xf numFmtId="201" fontId="67" fillId="0" borderId="65" xfId="0" applyNumberFormat="1" applyFont="1" applyBorder="1" applyAlignment="1">
      <alignment vertical="center"/>
    </xf>
    <xf numFmtId="0" fontId="67" fillId="0" borderId="72" xfId="0" applyNumberFormat="1" applyFont="1" applyBorder="1" applyAlignment="1">
      <alignment horizontal="center" vertical="center"/>
    </xf>
    <xf numFmtId="210" fontId="67" fillId="0" borderId="0" xfId="0" applyNumberFormat="1" applyFont="1" applyBorder="1" applyAlignment="1">
      <alignment horizontal="center" vertical="center"/>
    </xf>
    <xf numFmtId="202" fontId="67" fillId="0" borderId="0" xfId="0" applyNumberFormat="1" applyFont="1" applyAlignment="1">
      <alignment horizontal="center" vertical="center"/>
    </xf>
    <xf numFmtId="209" fontId="67" fillId="0" borderId="0" xfId="0" applyNumberFormat="1" applyFont="1" applyBorder="1" applyAlignment="1">
      <alignment horizontal="center" vertical="center"/>
    </xf>
    <xf numFmtId="195" fontId="67" fillId="0" borderId="0" xfId="0" applyNumberFormat="1" applyFont="1" applyBorder="1" applyAlignment="1">
      <alignment horizontal="right" vertical="center"/>
    </xf>
    <xf numFmtId="0" fontId="67" fillId="0" borderId="0" xfId="0" applyNumberFormat="1" applyFont="1" applyBorder="1" applyAlignment="1">
      <alignment horizontal="center" vertical="center"/>
    </xf>
    <xf numFmtId="0" fontId="65" fillId="0" borderId="50" xfId="0" applyFont="1" applyBorder="1" applyAlignment="1">
      <alignment horizontal="center" vertical="center"/>
    </xf>
    <xf numFmtId="0" fontId="65" fillId="0" borderId="53" xfId="0" applyFont="1" applyBorder="1" applyAlignment="1">
      <alignment horizontal="center" vertical="center"/>
    </xf>
    <xf numFmtId="0" fontId="65" fillId="0" borderId="51" xfId="0" applyFont="1" applyBorder="1" applyAlignment="1">
      <alignment horizontal="center" vertical="center"/>
    </xf>
    <xf numFmtId="0" fontId="67" fillId="0" borderId="50" xfId="0" applyNumberFormat="1" applyFont="1" applyBorder="1" applyAlignment="1">
      <alignment horizontal="right" vertical="center"/>
    </xf>
    <xf numFmtId="0" fontId="67" fillId="0" borderId="53" xfId="0" applyNumberFormat="1" applyFont="1" applyBorder="1" applyAlignment="1">
      <alignment horizontal="right" vertical="center"/>
    </xf>
    <xf numFmtId="0" fontId="67" fillId="0" borderId="53" xfId="0" applyNumberFormat="1" applyFont="1" applyBorder="1" applyAlignment="1">
      <alignment vertical="center"/>
    </xf>
    <xf numFmtId="0" fontId="67" fillId="0" borderId="51" xfId="0" applyNumberFormat="1" applyFont="1" applyBorder="1" applyAlignment="1">
      <alignment vertical="center"/>
    </xf>
    <xf numFmtId="0" fontId="65" fillId="0" borderId="65" xfId="0" applyFont="1" applyBorder="1" applyAlignment="1">
      <alignment horizontal="center" vertical="center"/>
    </xf>
    <xf numFmtId="0" fontId="52" fillId="32" borderId="43" xfId="0" applyNumberFormat="1" applyFont="1" applyFill="1" applyBorder="1" applyAlignment="1">
      <alignment horizontal="center" vertical="center"/>
    </xf>
    <xf numFmtId="49" fontId="67" fillId="0" borderId="43" xfId="0" applyNumberFormat="1" applyFont="1" applyBorder="1" applyAlignment="1">
      <alignment horizontal="center" vertical="center" shrinkToFit="1"/>
    </xf>
    <xf numFmtId="0" fontId="67" fillId="0" borderId="43" xfId="0" applyNumberFormat="1" applyFont="1" applyBorder="1" applyAlignment="1">
      <alignment horizontal="center" vertical="center" shrinkToFit="1"/>
    </xf>
    <xf numFmtId="0" fontId="52" fillId="29" borderId="43" xfId="0" applyNumberFormat="1" applyFont="1" applyFill="1" applyBorder="1" applyAlignment="1">
      <alignment horizontal="center" vertical="center"/>
    </xf>
    <xf numFmtId="0" fontId="67" fillId="32" borderId="50" xfId="0" applyFont="1" applyFill="1" applyBorder="1" applyAlignment="1">
      <alignment horizontal="center" vertical="center" wrapText="1"/>
    </xf>
    <xf numFmtId="0" fontId="67" fillId="32" borderId="53" xfId="0" applyFont="1" applyFill="1" applyBorder="1" applyAlignment="1">
      <alignment horizontal="center" vertical="center" wrapText="1"/>
    </xf>
    <xf numFmtId="0" fontId="67" fillId="32" borderId="51" xfId="0" applyFont="1" applyFill="1" applyBorder="1" applyAlignment="1">
      <alignment horizontal="center" vertical="center" wrapText="1"/>
    </xf>
    <xf numFmtId="0" fontId="67" fillId="0" borderId="50" xfId="0" applyNumberFormat="1" applyFont="1" applyBorder="1" applyAlignment="1">
      <alignment horizontal="center" vertical="center"/>
    </xf>
    <xf numFmtId="0" fontId="67" fillId="0" borderId="53" xfId="0" applyNumberFormat="1" applyFont="1" applyBorder="1" applyAlignment="1">
      <alignment horizontal="center" vertical="center"/>
    </xf>
    <xf numFmtId="0" fontId="67" fillId="0" borderId="51" xfId="0" applyNumberFormat="1" applyFont="1" applyBorder="1" applyAlignment="1">
      <alignment horizontal="center" vertical="center"/>
    </xf>
    <xf numFmtId="49" fontId="67" fillId="0" borderId="50" xfId="0" applyNumberFormat="1" applyFont="1" applyBorder="1" applyAlignment="1">
      <alignment horizontal="center" vertical="center"/>
    </xf>
    <xf numFmtId="0" fontId="67" fillId="32" borderId="44" xfId="0" applyFont="1" applyFill="1" applyBorder="1" applyAlignment="1">
      <alignment horizontal="center" vertical="center" wrapText="1"/>
    </xf>
    <xf numFmtId="0" fontId="67" fillId="32" borderId="39" xfId="0" applyFont="1" applyFill="1" applyBorder="1" applyAlignment="1">
      <alignment horizontal="center" vertical="center" wrapText="1"/>
    </xf>
    <xf numFmtId="0" fontId="67" fillId="32" borderId="45" xfId="0" applyFont="1" applyFill="1" applyBorder="1" applyAlignment="1">
      <alignment horizontal="center" vertical="center" wrapText="1"/>
    </xf>
    <xf numFmtId="0" fontId="67" fillId="32" borderId="67" xfId="0" applyFont="1" applyFill="1" applyBorder="1" applyAlignment="1">
      <alignment horizontal="center" vertical="center" wrapText="1"/>
    </xf>
    <xf numFmtId="0" fontId="67" fillId="32" borderId="65" xfId="0" applyFont="1" applyFill="1" applyBorder="1" applyAlignment="1">
      <alignment horizontal="center" vertical="center" wrapText="1"/>
    </xf>
    <xf numFmtId="0" fontId="67" fillId="32" borderId="68" xfId="0" applyFont="1" applyFill="1" applyBorder="1" applyAlignment="1">
      <alignment horizontal="center" vertical="center" wrapText="1"/>
    </xf>
    <xf numFmtId="195" fontId="52" fillId="0" borderId="0" xfId="0" applyNumberFormat="1" applyFont="1" applyBorder="1" applyAlignment="1">
      <alignment horizontal="center" vertical="center"/>
    </xf>
    <xf numFmtId="0" fontId="65" fillId="0" borderId="0" xfId="0" applyFont="1" applyBorder="1" applyAlignment="1">
      <alignment horizontal="right" vertical="center"/>
    </xf>
    <xf numFmtId="195" fontId="67" fillId="0" borderId="65" xfId="0" applyNumberFormat="1" applyFont="1" applyBorder="1" applyAlignment="1">
      <alignment vertical="center"/>
    </xf>
    <xf numFmtId="0" fontId="52" fillId="32" borderId="43" xfId="0" applyNumberFormat="1" applyFont="1" applyFill="1" applyBorder="1" applyAlignment="1">
      <alignment horizontal="center" vertical="center" shrinkToFit="1"/>
    </xf>
    <xf numFmtId="49" fontId="67" fillId="0" borderId="44" xfId="0" applyNumberFormat="1" applyFont="1" applyBorder="1" applyAlignment="1">
      <alignment horizontal="center" vertical="center"/>
    </xf>
    <xf numFmtId="49" fontId="67" fillId="0" borderId="39" xfId="0" applyNumberFormat="1" applyFont="1" applyBorder="1" applyAlignment="1">
      <alignment horizontal="center" vertical="center"/>
    </xf>
    <xf numFmtId="49" fontId="67" fillId="0" borderId="45" xfId="0" applyNumberFormat="1" applyFont="1" applyBorder="1" applyAlignment="1">
      <alignment horizontal="center" vertical="center"/>
    </xf>
    <xf numFmtId="49" fontId="67" fillId="0" borderId="67" xfId="0" applyNumberFormat="1" applyFont="1" applyBorder="1" applyAlignment="1">
      <alignment horizontal="center" vertical="center"/>
    </xf>
    <xf numFmtId="49" fontId="67" fillId="0" borderId="65" xfId="0" applyNumberFormat="1" applyFont="1" applyBorder="1" applyAlignment="1">
      <alignment horizontal="center" vertical="center"/>
    </xf>
    <xf numFmtId="49" fontId="67" fillId="0" borderId="68" xfId="0" applyNumberFormat="1" applyFont="1" applyBorder="1" applyAlignment="1">
      <alignment horizontal="center" vertical="center"/>
    </xf>
    <xf numFmtId="0" fontId="67" fillId="0" borderId="44" xfId="0" applyFont="1" applyBorder="1" applyAlignment="1">
      <alignment horizontal="center" vertical="center"/>
    </xf>
    <xf numFmtId="0" fontId="67" fillId="0" borderId="45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67" xfId="0" applyFont="1" applyBorder="1" applyAlignment="1">
      <alignment horizontal="center" vertical="center"/>
    </xf>
    <xf numFmtId="0" fontId="67" fillId="0" borderId="68" xfId="0" applyFont="1" applyBorder="1" applyAlignment="1">
      <alignment horizontal="center" vertical="center"/>
    </xf>
    <xf numFmtId="0" fontId="67" fillId="0" borderId="39" xfId="0" applyFont="1" applyBorder="1" applyAlignment="1">
      <alignment horizontal="center" vertical="center"/>
    </xf>
    <xf numFmtId="0" fontId="65" fillId="0" borderId="67" xfId="0" applyFont="1" applyBorder="1" applyAlignment="1">
      <alignment horizontal="center" vertical="center"/>
    </xf>
    <xf numFmtId="0" fontId="65" fillId="0" borderId="68" xfId="0" applyFont="1" applyBorder="1" applyAlignment="1">
      <alignment horizontal="center" vertical="center"/>
    </xf>
    <xf numFmtId="0" fontId="69" fillId="0" borderId="67" xfId="0" applyFont="1" applyBorder="1" applyAlignment="1">
      <alignment horizontal="center" vertical="center"/>
    </xf>
    <xf numFmtId="0" fontId="69" fillId="0" borderId="65" xfId="0" applyFont="1" applyBorder="1" applyAlignment="1">
      <alignment horizontal="center" vertical="center"/>
    </xf>
    <xf numFmtId="0" fontId="69" fillId="0" borderId="68" xfId="0" applyFont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188" fontId="67" fillId="0" borderId="0" xfId="0" applyNumberFormat="1" applyFont="1" applyBorder="1" applyAlignment="1">
      <alignment vertical="center"/>
    </xf>
    <xf numFmtId="2" fontId="67" fillId="0" borderId="65" xfId="0" applyNumberFormat="1" applyFont="1" applyBorder="1" applyAlignment="1">
      <alignment vertical="center"/>
    </xf>
    <xf numFmtId="0" fontId="65" fillId="0" borderId="39" xfId="0" applyFont="1" applyBorder="1" applyAlignment="1">
      <alignment horizontal="center" vertical="center"/>
    </xf>
    <xf numFmtId="215" fontId="67" fillId="0" borderId="0" xfId="0" applyNumberFormat="1" applyFont="1" applyBorder="1" applyAlignment="1">
      <alignment vertical="center"/>
    </xf>
    <xf numFmtId="2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/>
    </xf>
    <xf numFmtId="0" fontId="67" fillId="0" borderId="44" xfId="0" applyNumberFormat="1" applyFont="1" applyBorder="1" applyAlignment="1">
      <alignment horizontal="center" vertical="center"/>
    </xf>
    <xf numFmtId="0" fontId="67" fillId="0" borderId="45" xfId="0" applyNumberFormat="1" applyFont="1" applyBorder="1" applyAlignment="1">
      <alignment horizontal="center" vertical="center"/>
    </xf>
    <xf numFmtId="0" fontId="67" fillId="0" borderId="67" xfId="0" applyNumberFormat="1" applyFont="1" applyBorder="1" applyAlignment="1">
      <alignment horizontal="center" vertical="center"/>
    </xf>
    <xf numFmtId="0" fontId="67" fillId="0" borderId="65" xfId="0" applyNumberFormat="1" applyFont="1" applyBorder="1" applyAlignment="1">
      <alignment horizontal="center" vertical="center"/>
    </xf>
    <xf numFmtId="0" fontId="67" fillId="0" borderId="68" xfId="0" applyNumberFormat="1" applyFont="1" applyBorder="1" applyAlignment="1">
      <alignment horizontal="center" vertical="center"/>
    </xf>
    <xf numFmtId="0" fontId="67" fillId="32" borderId="31" xfId="0" applyFont="1" applyFill="1" applyBorder="1" applyAlignment="1">
      <alignment horizontal="center" vertical="center" wrapText="1"/>
    </xf>
    <xf numFmtId="0" fontId="67" fillId="32" borderId="0" xfId="0" applyFont="1" applyFill="1" applyBorder="1" applyAlignment="1">
      <alignment horizontal="center" vertical="center" wrapText="1"/>
    </xf>
    <xf numFmtId="0" fontId="67" fillId="32" borderId="32" xfId="0" applyFont="1" applyFill="1" applyBorder="1" applyAlignment="1">
      <alignment horizontal="center" vertical="center" wrapText="1"/>
    </xf>
    <xf numFmtId="49" fontId="67" fillId="32" borderId="50" xfId="0" applyNumberFormat="1" applyFont="1" applyFill="1" applyBorder="1" applyAlignment="1">
      <alignment horizontal="center" vertical="center" wrapText="1"/>
    </xf>
    <xf numFmtId="0" fontId="67" fillId="32" borderId="50" xfId="0" applyNumberFormat="1" applyFont="1" applyFill="1" applyBorder="1" applyAlignment="1">
      <alignment horizontal="center" vertical="center" wrapText="1"/>
    </xf>
    <xf numFmtId="0" fontId="67" fillId="32" borderId="53" xfId="0" applyNumberFormat="1" applyFont="1" applyFill="1" applyBorder="1" applyAlignment="1">
      <alignment horizontal="center" vertical="center" wrapText="1"/>
    </xf>
    <xf numFmtId="0" fontId="67" fillId="32" borderId="51" xfId="0" applyNumberFormat="1" applyFont="1" applyFill="1" applyBorder="1" applyAlignment="1">
      <alignment horizontal="center" vertical="center" wrapText="1"/>
    </xf>
    <xf numFmtId="49" fontId="67" fillId="0" borderId="50" xfId="0" applyNumberFormat="1" applyFont="1" applyBorder="1" applyAlignment="1">
      <alignment horizontal="right" vertical="center"/>
    </xf>
    <xf numFmtId="201" fontId="69" fillId="0" borderId="0" xfId="0" applyNumberFormat="1" applyFont="1" applyBorder="1" applyAlignment="1">
      <alignment horizontal="right" vertical="center"/>
    </xf>
    <xf numFmtId="206" fontId="67" fillId="0" borderId="65" xfId="0" applyNumberFormat="1" applyFont="1" applyBorder="1" applyAlignment="1">
      <alignment horizontal="center" vertical="center"/>
    </xf>
    <xf numFmtId="210" fontId="67" fillId="0" borderId="0" xfId="0" applyNumberFormat="1" applyFont="1" applyBorder="1" applyAlignment="1">
      <alignment horizontal="left" vertical="center"/>
    </xf>
    <xf numFmtId="0" fontId="65" fillId="0" borderId="39" xfId="0" applyNumberFormat="1" applyFont="1" applyBorder="1" applyAlignment="1">
      <alignment horizontal="center" vertical="center"/>
    </xf>
    <xf numFmtId="210" fontId="67" fillId="0" borderId="0" xfId="0" applyNumberFormat="1" applyFont="1" applyBorder="1" applyAlignment="1">
      <alignment horizontal="center" vertical="center" shrinkToFit="1"/>
    </xf>
    <xf numFmtId="205" fontId="67" fillId="0" borderId="0" xfId="0" applyNumberFormat="1" applyFont="1" applyBorder="1" applyAlignment="1">
      <alignment horizontal="left" vertical="center"/>
    </xf>
    <xf numFmtId="214" fontId="67" fillId="0" borderId="65" xfId="0" applyNumberFormat="1" applyFont="1" applyBorder="1" applyAlignment="1">
      <alignment horizontal="center" vertical="center"/>
    </xf>
    <xf numFmtId="0" fontId="52" fillId="0" borderId="50" xfId="0" applyNumberFormat="1" applyFont="1" applyBorder="1" applyAlignment="1">
      <alignment horizontal="center" vertical="center"/>
    </xf>
    <xf numFmtId="0" fontId="52" fillId="0" borderId="51" xfId="0" applyNumberFormat="1" applyFont="1" applyBorder="1" applyAlignment="1">
      <alignment horizontal="center" vertical="center"/>
    </xf>
    <xf numFmtId="211" fontId="52" fillId="0" borderId="52" xfId="87" applyNumberFormat="1" applyFont="1" applyBorder="1" applyAlignment="1">
      <alignment horizontal="center" vertical="center"/>
    </xf>
    <xf numFmtId="211" fontId="52" fillId="0" borderId="66" xfId="87" applyNumberFormat="1" applyFont="1" applyBorder="1" applyAlignment="1">
      <alignment horizontal="center" vertical="center"/>
    </xf>
    <xf numFmtId="211" fontId="52" fillId="0" borderId="71" xfId="87" applyNumberFormat="1" applyFont="1" applyBorder="1" applyAlignment="1">
      <alignment horizontal="center" vertical="center"/>
    </xf>
    <xf numFmtId="192" fontId="81" fillId="0" borderId="40" xfId="0" applyNumberFormat="1" applyFont="1" applyFill="1" applyBorder="1" applyAlignment="1">
      <alignment horizontal="center" vertical="center"/>
    </xf>
    <xf numFmtId="192" fontId="81" fillId="0" borderId="41" xfId="0" applyNumberFormat="1" applyFont="1" applyFill="1" applyBorder="1" applyAlignment="1">
      <alignment horizontal="center" vertical="center"/>
    </xf>
    <xf numFmtId="192" fontId="81" fillId="0" borderId="42" xfId="0" applyNumberFormat="1" applyFont="1" applyFill="1" applyBorder="1" applyAlignment="1">
      <alignment horizontal="center" vertical="center"/>
    </xf>
    <xf numFmtId="0" fontId="82" fillId="28" borderId="55" xfId="0" applyNumberFormat="1" applyFont="1" applyFill="1" applyBorder="1" applyAlignment="1">
      <alignment horizontal="center" vertical="center" wrapText="1"/>
    </xf>
    <xf numFmtId="0" fontId="82" fillId="28" borderId="69" xfId="0" applyNumberFormat="1" applyFont="1" applyFill="1" applyBorder="1" applyAlignment="1">
      <alignment horizontal="center" vertical="center" wrapText="1"/>
    </xf>
    <xf numFmtId="188" fontId="81" fillId="0" borderId="60" xfId="0" applyNumberFormat="1" applyFont="1" applyFill="1" applyBorder="1" applyAlignment="1">
      <alignment horizontal="center" vertical="center"/>
    </xf>
    <xf numFmtId="217" fontId="81" fillId="32" borderId="55" xfId="86" applyNumberFormat="1" applyFont="1" applyFill="1" applyBorder="1" applyAlignment="1">
      <alignment horizontal="center" vertical="center" wrapText="1"/>
    </xf>
    <xf numFmtId="217" fontId="81" fillId="32" borderId="69" xfId="86" applyNumberFormat="1" applyFont="1" applyFill="1" applyBorder="1" applyAlignment="1">
      <alignment horizontal="center" vertical="center" wrapText="1"/>
    </xf>
    <xf numFmtId="0" fontId="82" fillId="28" borderId="40" xfId="0" applyNumberFormat="1" applyFont="1" applyFill="1" applyBorder="1" applyAlignment="1">
      <alignment horizontal="center" vertical="center" wrapText="1"/>
    </xf>
    <xf numFmtId="0" fontId="82" fillId="28" borderId="41" xfId="0" applyNumberFormat="1" applyFont="1" applyFill="1" applyBorder="1" applyAlignment="1">
      <alignment horizontal="center" vertical="center" wrapText="1"/>
    </xf>
    <xf numFmtId="0" fontId="82" fillId="28" borderId="42" xfId="0" applyNumberFormat="1" applyFont="1" applyFill="1" applyBorder="1" applyAlignment="1">
      <alignment horizontal="center" vertical="center" wrapText="1"/>
    </xf>
    <xf numFmtId="0" fontId="82" fillId="28" borderId="55" xfId="0" applyNumberFormat="1" applyFont="1" applyFill="1" applyBorder="1" applyAlignment="1">
      <alignment horizontal="center" vertical="center"/>
    </xf>
    <xf numFmtId="0" fontId="82" fillId="28" borderId="69" xfId="0" applyNumberFormat="1" applyFont="1" applyFill="1" applyBorder="1" applyAlignment="1">
      <alignment horizontal="center" vertical="center"/>
    </xf>
    <xf numFmtId="189" fontId="82" fillId="28" borderId="55" xfId="0" applyNumberFormat="1" applyFont="1" applyFill="1" applyBorder="1" applyAlignment="1">
      <alignment horizontal="center" vertical="center" wrapText="1"/>
    </xf>
    <xf numFmtId="189" fontId="82" fillId="28" borderId="69" xfId="0" applyNumberFormat="1" applyFont="1" applyFill="1" applyBorder="1" applyAlignment="1">
      <alignment horizontal="center" vertical="center" wrapText="1"/>
    </xf>
    <xf numFmtId="0" fontId="81" fillId="36" borderId="55" xfId="0" applyNumberFormat="1" applyFont="1" applyFill="1" applyBorder="1" applyAlignment="1">
      <alignment horizontal="center" vertical="center"/>
    </xf>
    <xf numFmtId="0" fontId="81" fillId="36" borderId="70" xfId="0" applyNumberFormat="1" applyFont="1" applyFill="1" applyBorder="1" applyAlignment="1">
      <alignment horizontal="center" vertical="center"/>
    </xf>
    <xf numFmtId="0" fontId="81" fillId="36" borderId="69" xfId="0" applyNumberFormat="1" applyFont="1" applyFill="1" applyBorder="1" applyAlignment="1">
      <alignment horizontal="center" vertical="center"/>
    </xf>
    <xf numFmtId="49" fontId="81" fillId="0" borderId="55" xfId="0" applyNumberFormat="1" applyFont="1" applyFill="1" applyBorder="1" applyAlignment="1">
      <alignment horizontal="center" vertical="center"/>
    </xf>
    <xf numFmtId="0" fontId="81" fillId="0" borderId="70" xfId="0" applyNumberFormat="1" applyFont="1" applyFill="1" applyBorder="1" applyAlignment="1">
      <alignment horizontal="center" vertical="center"/>
    </xf>
    <xf numFmtId="0" fontId="81" fillId="0" borderId="69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49" fontId="81" fillId="36" borderId="55" xfId="0" applyNumberFormat="1" applyFont="1" applyFill="1" applyBorder="1" applyAlignment="1">
      <alignment horizontal="center" vertical="center"/>
    </xf>
    <xf numFmtId="0" fontId="82" fillId="28" borderId="70" xfId="0" applyNumberFormat="1" applyFont="1" applyFill="1" applyBorder="1" applyAlignment="1">
      <alignment horizontal="center" vertical="center"/>
    </xf>
    <xf numFmtId="49" fontId="81" fillId="0" borderId="55" xfId="78" applyNumberFormat="1" applyFont="1" applyFill="1" applyBorder="1" applyAlignment="1">
      <alignment horizontal="center" vertical="center"/>
    </xf>
    <xf numFmtId="0" fontId="81" fillId="0" borderId="69" xfId="78" applyNumberFormat="1" applyFont="1" applyFill="1" applyBorder="1" applyAlignment="1">
      <alignment horizontal="center" vertical="center"/>
    </xf>
    <xf numFmtId="0" fontId="81" fillId="0" borderId="55" xfId="78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/>
    </xf>
    <xf numFmtId="0" fontId="81" fillId="0" borderId="55" xfId="0" applyNumberFormat="1" applyFont="1" applyFill="1" applyBorder="1" applyAlignment="1">
      <alignment horizontal="center" vertical="center"/>
    </xf>
    <xf numFmtId="0" fontId="98" fillId="28" borderId="60" xfId="0" applyNumberFormat="1" applyFont="1" applyFill="1" applyBorder="1" applyAlignment="1">
      <alignment horizontal="center" vertical="center" wrapText="1"/>
    </xf>
    <xf numFmtId="189" fontId="82" fillId="28" borderId="40" xfId="0" applyNumberFormat="1" applyFont="1" applyFill="1" applyBorder="1" applyAlignment="1">
      <alignment horizontal="center" vertical="center" wrapText="1"/>
    </xf>
    <xf numFmtId="189" fontId="82" fillId="28" borderId="42" xfId="0" applyNumberFormat="1" applyFont="1" applyFill="1" applyBorder="1" applyAlignment="1">
      <alignment horizontal="center" vertical="center" wrapText="1"/>
    </xf>
    <xf numFmtId="0" fontId="82" fillId="28" borderId="74" xfId="0" applyNumberFormat="1" applyFont="1" applyFill="1" applyBorder="1" applyAlignment="1">
      <alignment horizontal="center" vertical="center" wrapText="1"/>
    </xf>
    <xf numFmtId="0" fontId="82" fillId="28" borderId="40" xfId="0" applyNumberFormat="1" applyFont="1" applyFill="1" applyBorder="1" applyAlignment="1">
      <alignment horizontal="center" vertical="center"/>
    </xf>
    <xf numFmtId="0" fontId="82" fillId="28" borderId="42" xfId="0" applyNumberFormat="1" applyFont="1" applyFill="1" applyBorder="1" applyAlignment="1">
      <alignment horizontal="center" vertical="center"/>
    </xf>
    <xf numFmtId="0" fontId="81" fillId="0" borderId="70" xfId="78" applyNumberFormat="1" applyFont="1" applyFill="1" applyBorder="1" applyAlignment="1">
      <alignment horizontal="center" vertical="center"/>
    </xf>
    <xf numFmtId="0" fontId="67" fillId="32" borderId="75" xfId="0" applyFont="1" applyFill="1" applyBorder="1" applyAlignment="1">
      <alignment horizontal="center" vertical="center" wrapText="1"/>
    </xf>
    <xf numFmtId="0" fontId="67" fillId="32" borderId="72" xfId="0" applyFont="1" applyFill="1" applyBorder="1" applyAlignment="1">
      <alignment horizontal="center" vertical="center" wrapText="1"/>
    </xf>
    <xf numFmtId="0" fontId="67" fillId="32" borderId="76" xfId="0" applyFont="1" applyFill="1" applyBorder="1" applyAlignment="1">
      <alignment horizontal="center" vertical="center" wrapText="1"/>
    </xf>
    <xf numFmtId="49" fontId="67" fillId="0" borderId="77" xfId="0" applyNumberFormat="1" applyFont="1" applyBorder="1" applyAlignment="1">
      <alignment horizontal="center" vertical="center"/>
    </xf>
    <xf numFmtId="49" fontId="67" fillId="0" borderId="78" xfId="0" applyNumberFormat="1" applyFont="1" applyBorder="1" applyAlignment="1">
      <alignment horizontal="center" vertical="center"/>
    </xf>
    <xf numFmtId="49" fontId="67" fillId="0" borderId="79" xfId="0" applyNumberFormat="1" applyFont="1" applyBorder="1" applyAlignment="1">
      <alignment horizontal="center" vertical="center"/>
    </xf>
    <xf numFmtId="0" fontId="67" fillId="0" borderId="77" xfId="0" applyNumberFormat="1" applyFont="1" applyBorder="1" applyAlignment="1">
      <alignment horizontal="center" vertical="center"/>
    </xf>
    <xf numFmtId="0" fontId="67" fillId="0" borderId="78" xfId="0" applyNumberFormat="1" applyFont="1" applyBorder="1" applyAlignment="1">
      <alignment horizontal="center" vertical="center"/>
    </xf>
    <xf numFmtId="0" fontId="67" fillId="0" borderId="79" xfId="0" applyNumberFormat="1" applyFont="1" applyBorder="1" applyAlignment="1">
      <alignment horizontal="center" vertical="center"/>
    </xf>
    <xf numFmtId="49" fontId="67" fillId="0" borderId="75" xfId="0" applyNumberFormat="1" applyFont="1" applyBorder="1" applyAlignment="1">
      <alignment horizontal="center" vertical="center"/>
    </xf>
    <xf numFmtId="49" fontId="67" fillId="0" borderId="72" xfId="0" applyNumberFormat="1" applyFont="1" applyBorder="1" applyAlignment="1">
      <alignment horizontal="center" vertical="center"/>
    </xf>
    <xf numFmtId="49" fontId="67" fillId="0" borderId="76" xfId="0" applyNumberFormat="1" applyFont="1" applyBorder="1" applyAlignment="1">
      <alignment horizontal="center" vertical="center"/>
    </xf>
    <xf numFmtId="0" fontId="67" fillId="0" borderId="75" xfId="0" applyNumberFormat="1" applyFont="1" applyBorder="1" applyAlignment="1">
      <alignment horizontal="center" vertical="center"/>
    </xf>
    <xf numFmtId="0" fontId="67" fillId="0" borderId="76" xfId="0" applyNumberFormat="1" applyFont="1" applyBorder="1" applyAlignment="1">
      <alignment horizontal="center" vertical="center"/>
    </xf>
  </cellXfs>
  <cellStyles count="114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2 2" xfId="104"/>
    <cellStyle name="Input [yellow] 3" xfId="9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2 2" xfId="105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2 2" xfId="106"/>
    <cellStyle name="메모 3" xfId="99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2 2 2" xfId="112"/>
    <cellStyle name="쉼표 [0] 2 3" xfId="110"/>
    <cellStyle name="쉼표 [0] 3" xfId="95"/>
    <cellStyle name="쉼표 [0] 3 2" xfId="111"/>
    <cellStyle name="쉼표 [0] 4" xfId="103"/>
    <cellStyle name="스타일 1" xfId="56"/>
    <cellStyle name="연결된 셀" xfId="57" builtinId="24" customBuiltin="1"/>
    <cellStyle name="요약" xfId="58" builtinId="25" customBuiltin="1"/>
    <cellStyle name="요약 2" xfId="91"/>
    <cellStyle name="요약 2 2" xfId="107"/>
    <cellStyle name="요약 3" xfId="100"/>
    <cellStyle name="입력" xfId="59" builtinId="20" customBuiltin="1"/>
    <cellStyle name="입력 2" xfId="92"/>
    <cellStyle name="입력 2 2" xfId="108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2 2" xfId="109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1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14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476625" y="11844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476625" y="11844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19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267200" y="3081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267200" y="3081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14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257425" y="3081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257425" y="3081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9525</xdr:colOff>
      <xdr:row>19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257425" y="4033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257425" y="4033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18</xdr:row>
      <xdr:rowOff>9525</xdr:rowOff>
    </xdr:from>
    <xdr:to>
      <xdr:col>7</xdr:col>
      <xdr:colOff>267929</xdr:colOff>
      <xdr:row>18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15</xdr:row>
      <xdr:rowOff>9525</xdr:rowOff>
    </xdr:from>
    <xdr:to>
      <xdr:col>7</xdr:col>
      <xdr:colOff>267929</xdr:colOff>
      <xdr:row>15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562225" y="4038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562225" y="4038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65</xdr:row>
      <xdr:rowOff>57150</xdr:rowOff>
    </xdr:from>
    <xdr:ext cx="777777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4"/>
            <xdr:cNvSpPr txBox="1"/>
          </xdr:nvSpPr>
          <xdr:spPr>
            <a:xfrm>
              <a:off x="1228725" y="15697200"/>
              <a:ext cx="777777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8" name="TextBox 4"/>
            <xdr:cNvSpPr txBox="1"/>
          </xdr:nvSpPr>
          <xdr:spPr>
            <a:xfrm>
              <a:off x="1228725" y="15697200"/>
              <a:ext cx="777777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𝑐_(𝑙_𝑏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𝐿_𝑑)/(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𝑙_𝑏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9526</xdr:colOff>
      <xdr:row>26</xdr:row>
      <xdr:rowOff>61917</xdr:rowOff>
    </xdr:from>
    <xdr:ext cx="4659674" cy="5227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/>
            <xdr:cNvSpPr txBox="1"/>
          </xdr:nvSpPr>
          <xdr:spPr>
            <a:xfrm>
              <a:off x="314326" y="6415092"/>
              <a:ext cx="4659674" cy="522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59" name="TextBox 58"/>
            <xdr:cNvSpPr txBox="1"/>
          </xdr:nvSpPr>
          <xdr:spPr>
            <a:xfrm>
              <a:off x="314326" y="6415092"/>
              <a:ext cx="4659674" cy="522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𝐿_𝑑)/(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𝑐_(𝑙_𝑏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𝐿_𝑑)/(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𝑙_𝑏 )=1,  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𝑙〗_𝐸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𝐿_𝑑)/(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𝑙_𝐸 )=1,  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𝐿_𝑑)/(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)=1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2</xdr:col>
      <xdr:colOff>9525</xdr:colOff>
      <xdr:row>24</xdr:row>
      <xdr:rowOff>14286</xdr:rowOff>
    </xdr:from>
    <xdr:to>
      <xdr:col>51</xdr:col>
      <xdr:colOff>47625</xdr:colOff>
      <xdr:row>25</xdr:row>
      <xdr:rowOff>3320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2"/>
            <xdr:cNvSpPr txBox="1">
              <a:spLocks/>
            </xdr:cNvSpPr>
          </xdr:nvSpPr>
          <xdr:spPr>
            <a:xfrm>
              <a:off x="314325" y="5891211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0" name="TextBox 2"/>
            <xdr:cNvSpPr txBox="1">
              <a:spLocks/>
            </xdr:cNvSpPr>
          </xdr:nvSpPr>
          <xdr:spPr>
            <a:xfrm>
              <a:off x="314325" y="5891211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(𝐿_𝑑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(𝑙_𝑥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𝑙_𝑏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𝑙〗_𝐸)+𝑢^2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</xdr:col>
      <xdr:colOff>9525</xdr:colOff>
      <xdr:row>15</xdr:row>
      <xdr:rowOff>80961</xdr:rowOff>
    </xdr:from>
    <xdr:to>
      <xdr:col>39</xdr:col>
      <xdr:colOff>61387</xdr:colOff>
      <xdr:row>16</xdr:row>
      <xdr:rowOff>187290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/>
            <xdr:cNvSpPr txBox="1">
              <a:spLocks noChangeAspect="1"/>
            </xdr:cNvSpPr>
          </xdr:nvSpPr>
          <xdr:spPr>
            <a:xfrm>
              <a:off x="314325" y="381476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ko-KR" alt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64" name="TextBox 63"/>
            <xdr:cNvSpPr txBox="1">
              <a:spLocks noChangeAspect="1"/>
            </xdr:cNvSpPr>
          </xdr:nvSpPr>
          <xdr:spPr>
            <a:xfrm>
              <a:off x="314325" y="381476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𝐿_𝑑=𝑙_𝑥+𝑙_𝑏+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𝑙〗_𝐸+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𝑙_𝑟</a:t>
              </a:r>
              <a:endParaRPr lang="ko-KR" altLang="en-US" sz="2000"/>
            </a:p>
          </xdr:txBody>
        </xdr:sp>
      </mc:Fallback>
    </mc:AlternateContent>
    <xdr:clientData/>
  </xdr:twoCellAnchor>
  <xdr:oneCellAnchor>
    <xdr:from>
      <xdr:col>14</xdr:col>
      <xdr:colOff>38100</xdr:colOff>
      <xdr:row>46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5"/>
            <xdr:cNvSpPr txBox="1"/>
          </xdr:nvSpPr>
          <xdr:spPr>
            <a:xfrm>
              <a:off x="1866900" y="1113472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8" name="TextBox 5"/>
            <xdr:cNvSpPr txBox="1"/>
          </xdr:nvSpPr>
          <xdr:spPr>
            <a:xfrm>
              <a:off x="1866900" y="1113472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46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5"/>
            <xdr:cNvSpPr txBox="1"/>
          </xdr:nvSpPr>
          <xdr:spPr>
            <a:xfrm>
              <a:off x="2562225" y="1113472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9" name="TextBox 5"/>
            <xdr:cNvSpPr txBox="1"/>
          </xdr:nvSpPr>
          <xdr:spPr>
            <a:xfrm>
              <a:off x="2562225" y="1113472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49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5"/>
            <xdr:cNvSpPr txBox="1"/>
          </xdr:nvSpPr>
          <xdr:spPr>
            <a:xfrm>
              <a:off x="1819274" y="11849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0" name="TextBox 5"/>
            <xdr:cNvSpPr txBox="1"/>
          </xdr:nvSpPr>
          <xdr:spPr>
            <a:xfrm>
              <a:off x="1819274" y="11849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95249</xdr:colOff>
      <xdr:row>49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5"/>
            <xdr:cNvSpPr txBox="1"/>
          </xdr:nvSpPr>
          <xdr:spPr>
            <a:xfrm>
              <a:off x="2533649" y="11849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1" name="TextBox 5"/>
            <xdr:cNvSpPr txBox="1"/>
          </xdr:nvSpPr>
          <xdr:spPr>
            <a:xfrm>
              <a:off x="2533649" y="11849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51</xdr:row>
      <xdr:rowOff>57150</xdr:rowOff>
    </xdr:from>
    <xdr:ext cx="75366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4"/>
            <xdr:cNvSpPr txBox="1"/>
          </xdr:nvSpPr>
          <xdr:spPr>
            <a:xfrm>
              <a:off x="1228725" y="12363450"/>
              <a:ext cx="75366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2" name="TextBox 4"/>
            <xdr:cNvSpPr txBox="1"/>
          </xdr:nvSpPr>
          <xdr:spPr>
            <a:xfrm>
              <a:off x="1228725" y="12363450"/>
              <a:ext cx="75366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𝐿_𝑑)/(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92</xdr:row>
      <xdr:rowOff>57150</xdr:rowOff>
    </xdr:from>
    <xdr:ext cx="845552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/>
            <xdr:cNvSpPr txBox="1"/>
          </xdr:nvSpPr>
          <xdr:spPr>
            <a:xfrm>
              <a:off x="1228725" y="22126575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3" name="TextBox 72"/>
            <xdr:cNvSpPr txBox="1"/>
          </xdr:nvSpPr>
          <xdr:spPr>
            <a:xfrm>
              <a:off x="1228725" y="22126575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𝐿_𝑑)/(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79</xdr:row>
      <xdr:rowOff>57150</xdr:rowOff>
    </xdr:from>
    <xdr:ext cx="904875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/>
            <xdr:cNvSpPr txBox="1"/>
          </xdr:nvSpPr>
          <xdr:spPr>
            <a:xfrm>
              <a:off x="1228725" y="19269075"/>
              <a:ext cx="904875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74" name="TextBox 73"/>
            <xdr:cNvSpPr txBox="1"/>
          </xdr:nvSpPr>
          <xdr:spPr>
            <a:xfrm>
              <a:off x="1228725" y="19269075"/>
              <a:ext cx="904875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𝑙_𝐸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𝐿_𝑑)/(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𝑙_𝐸 )=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90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5"/>
            <xdr:cNvSpPr txBox="1"/>
          </xdr:nvSpPr>
          <xdr:spPr>
            <a:xfrm>
              <a:off x="2124074" y="2161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5" name="TextBox 5"/>
            <xdr:cNvSpPr txBox="1"/>
          </xdr:nvSpPr>
          <xdr:spPr>
            <a:xfrm>
              <a:off x="2124074" y="2161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66674</xdr:colOff>
      <xdr:row>90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5"/>
            <xdr:cNvSpPr txBox="1"/>
          </xdr:nvSpPr>
          <xdr:spPr>
            <a:xfrm>
              <a:off x="3114674" y="2161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6" name="TextBox 5"/>
            <xdr:cNvSpPr txBox="1"/>
          </xdr:nvSpPr>
          <xdr:spPr>
            <a:xfrm>
              <a:off x="3114674" y="2161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95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5"/>
            <xdr:cNvSpPr txBox="1"/>
          </xdr:nvSpPr>
          <xdr:spPr>
            <a:xfrm>
              <a:off x="1076325" y="2279332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7" name="TextBox 5"/>
            <xdr:cNvSpPr txBox="1"/>
          </xdr:nvSpPr>
          <xdr:spPr>
            <a:xfrm>
              <a:off x="1076325" y="2279332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𝑙_𝑟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19049</xdr:colOff>
      <xdr:row>77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5"/>
            <xdr:cNvSpPr txBox="1"/>
          </xdr:nvSpPr>
          <xdr:spPr>
            <a:xfrm>
              <a:off x="2152649" y="187642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8" name="TextBox 5"/>
            <xdr:cNvSpPr txBox="1"/>
          </xdr:nvSpPr>
          <xdr:spPr>
            <a:xfrm>
              <a:off x="2152649" y="187642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99</xdr:row>
      <xdr:rowOff>9525</xdr:rowOff>
    </xdr:from>
    <xdr:to>
      <xdr:col>43</xdr:col>
      <xdr:colOff>142875</xdr:colOff>
      <xdr:row>100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2"/>
            <xdr:cNvSpPr txBox="1">
              <a:spLocks/>
            </xdr:cNvSpPr>
          </xdr:nvSpPr>
          <xdr:spPr>
            <a:xfrm>
              <a:off x="161925" y="23745825"/>
              <a:ext cx="653415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9" name="TextBox 2"/>
            <xdr:cNvSpPr txBox="1">
              <a:spLocks/>
            </xdr:cNvSpPr>
          </xdr:nvSpPr>
          <xdr:spPr>
            <a:xfrm>
              <a:off x="161925" y="23745825"/>
              <a:ext cx="653415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(𝐿_𝑑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(𝑙_𝑥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𝑙_𝑏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𝑙〗_𝐸)+𝑢^2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𝑙_𝑟)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100</xdr:row>
      <xdr:rowOff>38101</xdr:rowOff>
    </xdr:from>
    <xdr:to>
      <xdr:col>10</xdr:col>
      <xdr:colOff>104775</xdr:colOff>
      <xdr:row>101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2"/>
            <xdr:cNvSpPr txBox="1">
              <a:spLocks/>
            </xdr:cNvSpPr>
          </xdr:nvSpPr>
          <xdr:spPr>
            <a:xfrm>
              <a:off x="752475" y="2401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0" name="TextBox 2"/>
            <xdr:cNvSpPr txBox="1">
              <a:spLocks/>
            </xdr:cNvSpPr>
          </xdr:nvSpPr>
          <xdr:spPr>
            <a:xfrm>
              <a:off x="752475" y="2401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142875</xdr:colOff>
      <xdr:row>100</xdr:row>
      <xdr:rowOff>38101</xdr:rowOff>
    </xdr:from>
    <xdr:to>
      <xdr:col>17</xdr:col>
      <xdr:colOff>104775</xdr:colOff>
      <xdr:row>101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2"/>
            <xdr:cNvSpPr txBox="1">
              <a:spLocks/>
            </xdr:cNvSpPr>
          </xdr:nvSpPr>
          <xdr:spPr>
            <a:xfrm>
              <a:off x="1819275" y="2401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1" name="TextBox 2"/>
            <xdr:cNvSpPr txBox="1">
              <a:spLocks/>
            </xdr:cNvSpPr>
          </xdr:nvSpPr>
          <xdr:spPr>
            <a:xfrm>
              <a:off x="1819275" y="2401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18</xdr:col>
      <xdr:colOff>142875</xdr:colOff>
      <xdr:row>100</xdr:row>
      <xdr:rowOff>38101</xdr:rowOff>
    </xdr:from>
    <xdr:to>
      <xdr:col>24</xdr:col>
      <xdr:colOff>104775</xdr:colOff>
      <xdr:row>101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2"/>
            <xdr:cNvSpPr txBox="1">
              <a:spLocks/>
            </xdr:cNvSpPr>
          </xdr:nvSpPr>
          <xdr:spPr>
            <a:xfrm>
              <a:off x="2886075" y="2401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2" name="TextBox 2"/>
            <xdr:cNvSpPr txBox="1">
              <a:spLocks/>
            </xdr:cNvSpPr>
          </xdr:nvSpPr>
          <xdr:spPr>
            <a:xfrm>
              <a:off x="2886075" y="2401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133350</xdr:colOff>
      <xdr:row>100</xdr:row>
      <xdr:rowOff>38101</xdr:rowOff>
    </xdr:from>
    <xdr:to>
      <xdr:col>31</xdr:col>
      <xdr:colOff>95250</xdr:colOff>
      <xdr:row>101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2"/>
            <xdr:cNvSpPr txBox="1">
              <a:spLocks/>
            </xdr:cNvSpPr>
          </xdr:nvSpPr>
          <xdr:spPr>
            <a:xfrm>
              <a:off x="3943350" y="2401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3" name="TextBox 2"/>
            <xdr:cNvSpPr txBox="1">
              <a:spLocks/>
            </xdr:cNvSpPr>
          </xdr:nvSpPr>
          <xdr:spPr>
            <a:xfrm>
              <a:off x="3943350" y="2401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101</xdr:row>
      <xdr:rowOff>38101</xdr:rowOff>
    </xdr:from>
    <xdr:to>
      <xdr:col>10</xdr:col>
      <xdr:colOff>104775</xdr:colOff>
      <xdr:row>102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2"/>
            <xdr:cNvSpPr txBox="1">
              <a:spLocks/>
            </xdr:cNvSpPr>
          </xdr:nvSpPr>
          <xdr:spPr>
            <a:xfrm>
              <a:off x="752475" y="2425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4" name="TextBox 2"/>
            <xdr:cNvSpPr txBox="1">
              <a:spLocks/>
            </xdr:cNvSpPr>
          </xdr:nvSpPr>
          <xdr:spPr>
            <a:xfrm>
              <a:off x="752475" y="2425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0</xdr:colOff>
      <xdr:row>107</xdr:row>
      <xdr:rowOff>19050</xdr:rowOff>
    </xdr:from>
    <xdr:to>
      <xdr:col>15</xdr:col>
      <xdr:colOff>123825</xdr:colOff>
      <xdr:row>107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2"/>
            <xdr:cNvSpPr txBox="1">
              <a:spLocks/>
            </xdr:cNvSpPr>
          </xdr:nvSpPr>
          <xdr:spPr>
            <a:xfrm>
              <a:off x="1676400" y="2566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5" name="TextBox 2"/>
            <xdr:cNvSpPr txBox="1">
              <a:spLocks/>
            </xdr:cNvSpPr>
          </xdr:nvSpPr>
          <xdr:spPr>
            <a:xfrm>
              <a:off x="1676400" y="2566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18</xdr:col>
      <xdr:colOff>38100</xdr:colOff>
      <xdr:row>106</xdr:row>
      <xdr:rowOff>28575</xdr:rowOff>
    </xdr:from>
    <xdr:to>
      <xdr:col>23</xdr:col>
      <xdr:colOff>9525</xdr:colOff>
      <xdr:row>106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2"/>
            <xdr:cNvSpPr txBox="1">
              <a:spLocks/>
            </xdr:cNvSpPr>
          </xdr:nvSpPr>
          <xdr:spPr>
            <a:xfrm>
              <a:off x="2781300" y="254317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6" name="TextBox 2"/>
            <xdr:cNvSpPr txBox="1">
              <a:spLocks/>
            </xdr:cNvSpPr>
          </xdr:nvSpPr>
          <xdr:spPr>
            <a:xfrm>
              <a:off x="2781300" y="254317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15</xdr:col>
      <xdr:colOff>85725</xdr:colOff>
      <xdr:row>107</xdr:row>
      <xdr:rowOff>19050</xdr:rowOff>
    </xdr:from>
    <xdr:to>
      <xdr:col>20</xdr:col>
      <xdr:colOff>57150</xdr:colOff>
      <xdr:row>107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2"/>
            <xdr:cNvSpPr txBox="1">
              <a:spLocks/>
            </xdr:cNvSpPr>
          </xdr:nvSpPr>
          <xdr:spPr>
            <a:xfrm>
              <a:off x="2371725" y="2566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7" name="TextBox 2"/>
            <xdr:cNvSpPr txBox="1">
              <a:spLocks/>
            </xdr:cNvSpPr>
          </xdr:nvSpPr>
          <xdr:spPr>
            <a:xfrm>
              <a:off x="2371725" y="2566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114300</xdr:colOff>
      <xdr:row>107</xdr:row>
      <xdr:rowOff>19050</xdr:rowOff>
    </xdr:from>
    <xdr:to>
      <xdr:col>25</xdr:col>
      <xdr:colOff>85725</xdr:colOff>
      <xdr:row>107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2"/>
            <xdr:cNvSpPr txBox="1">
              <a:spLocks/>
            </xdr:cNvSpPr>
          </xdr:nvSpPr>
          <xdr:spPr>
            <a:xfrm>
              <a:off x="3162300" y="2566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8" name="TextBox 2"/>
            <xdr:cNvSpPr txBox="1">
              <a:spLocks/>
            </xdr:cNvSpPr>
          </xdr:nvSpPr>
          <xdr:spPr>
            <a:xfrm>
              <a:off x="3162300" y="2566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95250</xdr:colOff>
      <xdr:row>107</xdr:row>
      <xdr:rowOff>19050</xdr:rowOff>
    </xdr:from>
    <xdr:to>
      <xdr:col>30</xdr:col>
      <xdr:colOff>66675</xdr:colOff>
      <xdr:row>107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2"/>
            <xdr:cNvSpPr txBox="1">
              <a:spLocks/>
            </xdr:cNvSpPr>
          </xdr:nvSpPr>
          <xdr:spPr>
            <a:xfrm>
              <a:off x="3905250" y="2566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9" name="TextBox 2"/>
            <xdr:cNvSpPr txBox="1">
              <a:spLocks/>
            </xdr:cNvSpPr>
          </xdr:nvSpPr>
          <xdr:spPr>
            <a:xfrm>
              <a:off x="3905250" y="2566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47625</xdr:colOff>
      <xdr:row>106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/>
            <xdr:cNvSpPr txBox="1"/>
          </xdr:nvSpPr>
          <xdr:spPr>
            <a:xfrm>
              <a:off x="200025" y="2545527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2" name="TextBox 91"/>
            <xdr:cNvSpPr txBox="1"/>
          </xdr:nvSpPr>
          <xdr:spPr>
            <a:xfrm>
              <a:off x="200025" y="2545527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104775</xdr:colOff>
      <xdr:row>58</xdr:row>
      <xdr:rowOff>228600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4"/>
            <xdr:cNvSpPr txBox="1"/>
          </xdr:nvSpPr>
          <xdr:spPr>
            <a:xfrm>
              <a:off x="3457575" y="1420177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3" name="TextBox 4"/>
            <xdr:cNvSpPr txBox="1"/>
          </xdr:nvSpPr>
          <xdr:spPr>
            <a:xfrm>
              <a:off x="3457575" y="1420177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〗^2+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61</xdr:row>
      <xdr:rowOff>28575</xdr:rowOff>
    </xdr:from>
    <xdr:ext cx="2764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4"/>
            <xdr:cNvSpPr txBox="1"/>
          </xdr:nvSpPr>
          <xdr:spPr>
            <a:xfrm>
              <a:off x="1552575" y="14716125"/>
              <a:ext cx="2764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4" name="TextBox 4"/>
            <xdr:cNvSpPr txBox="1"/>
          </xdr:nvSpPr>
          <xdr:spPr>
            <a:xfrm>
              <a:off x="1552575" y="14716125"/>
              <a:ext cx="2764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𝑈=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82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5"/>
            <xdr:cNvSpPr txBox="1"/>
          </xdr:nvSpPr>
          <xdr:spPr>
            <a:xfrm>
              <a:off x="1076325" y="1993582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5" name="TextBox 5"/>
            <xdr:cNvSpPr txBox="1"/>
          </xdr:nvSpPr>
          <xdr:spPr>
            <a:xfrm>
              <a:off x="1076325" y="1993582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𝑙_𝐸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203</xdr:row>
      <xdr:rowOff>57150</xdr:rowOff>
    </xdr:from>
    <xdr:ext cx="748988" cy="3505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4"/>
            <xdr:cNvSpPr txBox="1"/>
          </xdr:nvSpPr>
          <xdr:spPr>
            <a:xfrm>
              <a:off x="1228725" y="48320325"/>
              <a:ext cx="748988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6" name="TextBox 4"/>
            <xdr:cNvSpPr txBox="1"/>
          </xdr:nvSpPr>
          <xdr:spPr>
            <a:xfrm>
              <a:off x="1228725" y="48320325"/>
              <a:ext cx="748988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𝑐_(𝑙_𝑏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𝐿_𝑥)/(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𝑙_𝑏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9526</xdr:colOff>
      <xdr:row>152</xdr:row>
      <xdr:rowOff>61917</xdr:rowOff>
    </xdr:from>
    <xdr:ext cx="5902834" cy="5227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96"/>
            <xdr:cNvSpPr txBox="1"/>
          </xdr:nvSpPr>
          <xdr:spPr>
            <a:xfrm>
              <a:off x="314326" y="36180717"/>
              <a:ext cx="5902834" cy="522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97" name="TextBox 96"/>
            <xdr:cNvSpPr txBox="1"/>
          </xdr:nvSpPr>
          <xdr:spPr>
            <a:xfrm>
              <a:off x="314326" y="36180717"/>
              <a:ext cx="5902834" cy="522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𝐿_𝑥)/(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𝑐_(𝑙_𝑑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𝑙_𝑑 )=−1,  𝑐_(𝑙_𝑏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𝑙_𝑏 )=1,  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𝑙〗_𝐸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𝑙_𝐸 )=1,  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)=1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9525</xdr:colOff>
      <xdr:row>150</xdr:row>
      <xdr:rowOff>14286</xdr:rowOff>
    </xdr:from>
    <xdr:ext cx="3648075" cy="2238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2"/>
            <xdr:cNvSpPr txBox="1">
              <a:spLocks/>
            </xdr:cNvSpPr>
          </xdr:nvSpPr>
          <xdr:spPr>
            <a:xfrm>
              <a:off x="314325" y="35656836"/>
              <a:ext cx="3648075" cy="2238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8" name="TextBox 2"/>
            <xdr:cNvSpPr txBox="1">
              <a:spLocks/>
            </xdr:cNvSpPr>
          </xdr:nvSpPr>
          <xdr:spPr>
            <a:xfrm>
              <a:off x="314325" y="35656836"/>
              <a:ext cx="3648075" cy="2238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(𝐿_𝑥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(𝑙_𝑥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(𝑙_𝑑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𝑙_𝑏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𝑙〗_𝐸)+𝑢^2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9525</xdr:colOff>
      <xdr:row>140</xdr:row>
      <xdr:rowOff>80961</xdr:rowOff>
    </xdr:from>
    <xdr:ext cx="5690662" cy="344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98"/>
            <xdr:cNvSpPr txBox="1">
              <a:spLocks noChangeAspect="1"/>
            </xdr:cNvSpPr>
          </xdr:nvSpPr>
          <xdr:spPr>
            <a:xfrm>
              <a:off x="314325" y="3334226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ko-KR" alt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99" name="TextBox 98"/>
            <xdr:cNvSpPr txBox="1">
              <a:spLocks noChangeAspect="1"/>
            </xdr:cNvSpPr>
          </xdr:nvSpPr>
          <xdr:spPr>
            <a:xfrm>
              <a:off x="314325" y="3334226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𝐿_𝑥=𝑙_𝑥−𝑙_𝑑+𝑙_𝑏+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𝑙〗_𝐸+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𝑙_𝑟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12</xdr:col>
      <xdr:colOff>38100</xdr:colOff>
      <xdr:row>173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5"/>
            <xdr:cNvSpPr txBox="1"/>
          </xdr:nvSpPr>
          <xdr:spPr>
            <a:xfrm>
              <a:off x="1866900" y="4113847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0" name="TextBox 5"/>
            <xdr:cNvSpPr txBox="1"/>
          </xdr:nvSpPr>
          <xdr:spPr>
            <a:xfrm>
              <a:off x="1866900" y="4113847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123825</xdr:colOff>
      <xdr:row>173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5"/>
            <xdr:cNvSpPr txBox="1"/>
          </xdr:nvSpPr>
          <xdr:spPr>
            <a:xfrm>
              <a:off x="2562225" y="4113847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1" name="TextBox 5"/>
            <xdr:cNvSpPr txBox="1"/>
          </xdr:nvSpPr>
          <xdr:spPr>
            <a:xfrm>
              <a:off x="2562225" y="4113847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142874</xdr:colOff>
      <xdr:row>176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5"/>
            <xdr:cNvSpPr txBox="1"/>
          </xdr:nvSpPr>
          <xdr:spPr>
            <a:xfrm>
              <a:off x="1819274" y="418528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2" name="TextBox 5"/>
            <xdr:cNvSpPr txBox="1"/>
          </xdr:nvSpPr>
          <xdr:spPr>
            <a:xfrm>
              <a:off x="1819274" y="418528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95249</xdr:colOff>
      <xdr:row>176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5"/>
            <xdr:cNvSpPr txBox="1"/>
          </xdr:nvSpPr>
          <xdr:spPr>
            <a:xfrm>
              <a:off x="2533649" y="418528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3" name="TextBox 5"/>
            <xdr:cNvSpPr txBox="1"/>
          </xdr:nvSpPr>
          <xdr:spPr>
            <a:xfrm>
              <a:off x="2533649" y="418528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178</xdr:row>
      <xdr:rowOff>57150</xdr:rowOff>
    </xdr:from>
    <xdr:ext cx="74821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4"/>
            <xdr:cNvSpPr txBox="1"/>
          </xdr:nvSpPr>
          <xdr:spPr>
            <a:xfrm>
              <a:off x="1228725" y="42367200"/>
              <a:ext cx="74821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4" name="TextBox 4"/>
            <xdr:cNvSpPr txBox="1"/>
          </xdr:nvSpPr>
          <xdr:spPr>
            <a:xfrm>
              <a:off x="1228725" y="42367200"/>
              <a:ext cx="74821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𝐿_𝑥)/(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230</xdr:row>
      <xdr:rowOff>57150</xdr:rowOff>
    </xdr:from>
    <xdr:ext cx="845552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104"/>
            <xdr:cNvSpPr txBox="1"/>
          </xdr:nvSpPr>
          <xdr:spPr>
            <a:xfrm>
              <a:off x="1228725" y="54749700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5" name="TextBox 104"/>
            <xdr:cNvSpPr txBox="1"/>
          </xdr:nvSpPr>
          <xdr:spPr>
            <a:xfrm>
              <a:off x="1228725" y="54749700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218</xdr:row>
      <xdr:rowOff>57150</xdr:rowOff>
    </xdr:from>
    <xdr:ext cx="904875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105"/>
            <xdr:cNvSpPr txBox="1"/>
          </xdr:nvSpPr>
          <xdr:spPr>
            <a:xfrm>
              <a:off x="1228725" y="51892200"/>
              <a:ext cx="904875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106" name="TextBox 105"/>
            <xdr:cNvSpPr txBox="1"/>
          </xdr:nvSpPr>
          <xdr:spPr>
            <a:xfrm>
              <a:off x="1228725" y="51892200"/>
              <a:ext cx="904875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𝑙_𝐸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𝑙_𝐸 )=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228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5"/>
            <xdr:cNvSpPr txBox="1"/>
          </xdr:nvSpPr>
          <xdr:spPr>
            <a:xfrm>
              <a:off x="2124074" y="542353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7" name="TextBox 5"/>
            <xdr:cNvSpPr txBox="1"/>
          </xdr:nvSpPr>
          <xdr:spPr>
            <a:xfrm>
              <a:off x="2124074" y="542353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152399</xdr:colOff>
      <xdr:row>228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5"/>
            <xdr:cNvSpPr txBox="1"/>
          </xdr:nvSpPr>
          <xdr:spPr>
            <a:xfrm>
              <a:off x="2895599" y="542353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8" name="TextBox 5"/>
            <xdr:cNvSpPr txBox="1"/>
          </xdr:nvSpPr>
          <xdr:spPr>
            <a:xfrm>
              <a:off x="2895599" y="542353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233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5"/>
            <xdr:cNvSpPr txBox="1"/>
          </xdr:nvSpPr>
          <xdr:spPr>
            <a:xfrm>
              <a:off x="1076325" y="5541645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9" name="TextBox 5"/>
            <xdr:cNvSpPr txBox="1"/>
          </xdr:nvSpPr>
          <xdr:spPr>
            <a:xfrm>
              <a:off x="1076325" y="5541645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𝑙_𝑟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19049</xdr:colOff>
      <xdr:row>216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5"/>
            <xdr:cNvSpPr txBox="1"/>
          </xdr:nvSpPr>
          <xdr:spPr>
            <a:xfrm>
              <a:off x="2152649" y="513873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0" name="TextBox 5"/>
            <xdr:cNvSpPr txBox="1"/>
          </xdr:nvSpPr>
          <xdr:spPr>
            <a:xfrm>
              <a:off x="2152649" y="513873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237</xdr:row>
      <xdr:rowOff>28575</xdr:rowOff>
    </xdr:from>
    <xdr:ext cx="3457575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2"/>
            <xdr:cNvSpPr txBox="1">
              <a:spLocks/>
            </xdr:cNvSpPr>
          </xdr:nvSpPr>
          <xdr:spPr>
            <a:xfrm>
              <a:off x="190500" y="56388000"/>
              <a:ext cx="3457575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1" name="TextBox 2"/>
            <xdr:cNvSpPr txBox="1">
              <a:spLocks/>
            </xdr:cNvSpPr>
          </xdr:nvSpPr>
          <xdr:spPr>
            <a:xfrm>
              <a:off x="190500" y="56388000"/>
              <a:ext cx="3457575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(𝐿_𝑥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(𝑙_𝑑 )+𝑢^2 (𝑙_𝑏 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𝑙〗_𝐸)+𝑢^2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𝑙_𝑟)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238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2"/>
            <xdr:cNvSpPr txBox="1">
              <a:spLocks/>
            </xdr:cNvSpPr>
          </xdr:nvSpPr>
          <xdr:spPr>
            <a:xfrm>
              <a:off x="752475" y="56635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2" name="TextBox 2"/>
            <xdr:cNvSpPr txBox="1">
              <a:spLocks/>
            </xdr:cNvSpPr>
          </xdr:nvSpPr>
          <xdr:spPr>
            <a:xfrm>
              <a:off x="752475" y="56635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142875</xdr:colOff>
      <xdr:row>238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2"/>
            <xdr:cNvSpPr txBox="1">
              <a:spLocks/>
            </xdr:cNvSpPr>
          </xdr:nvSpPr>
          <xdr:spPr>
            <a:xfrm>
              <a:off x="1819275" y="56635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3" name="TextBox 2"/>
            <xdr:cNvSpPr txBox="1">
              <a:spLocks/>
            </xdr:cNvSpPr>
          </xdr:nvSpPr>
          <xdr:spPr>
            <a:xfrm>
              <a:off x="1819275" y="56635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142875</xdr:colOff>
      <xdr:row>238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2"/>
            <xdr:cNvSpPr txBox="1">
              <a:spLocks/>
            </xdr:cNvSpPr>
          </xdr:nvSpPr>
          <xdr:spPr>
            <a:xfrm>
              <a:off x="2886075" y="56635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4" name="TextBox 2"/>
            <xdr:cNvSpPr txBox="1">
              <a:spLocks/>
            </xdr:cNvSpPr>
          </xdr:nvSpPr>
          <xdr:spPr>
            <a:xfrm>
              <a:off x="2886075" y="56635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133350</xdr:colOff>
      <xdr:row>238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2"/>
            <xdr:cNvSpPr txBox="1">
              <a:spLocks/>
            </xdr:cNvSpPr>
          </xdr:nvSpPr>
          <xdr:spPr>
            <a:xfrm>
              <a:off x="3943350" y="56635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5" name="TextBox 2"/>
            <xdr:cNvSpPr txBox="1">
              <a:spLocks/>
            </xdr:cNvSpPr>
          </xdr:nvSpPr>
          <xdr:spPr>
            <a:xfrm>
              <a:off x="3943350" y="56635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239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2"/>
            <xdr:cNvSpPr txBox="1">
              <a:spLocks/>
            </xdr:cNvSpPr>
          </xdr:nvSpPr>
          <xdr:spPr>
            <a:xfrm>
              <a:off x="752475" y="56873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6" name="TextBox 2"/>
            <xdr:cNvSpPr txBox="1">
              <a:spLocks/>
            </xdr:cNvSpPr>
          </xdr:nvSpPr>
          <xdr:spPr>
            <a:xfrm>
              <a:off x="752475" y="56873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245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2"/>
            <xdr:cNvSpPr txBox="1">
              <a:spLocks/>
            </xdr:cNvSpPr>
          </xdr:nvSpPr>
          <xdr:spPr>
            <a:xfrm>
              <a:off x="1676400" y="58283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7" name="TextBox 2"/>
            <xdr:cNvSpPr txBox="1">
              <a:spLocks/>
            </xdr:cNvSpPr>
          </xdr:nvSpPr>
          <xdr:spPr>
            <a:xfrm>
              <a:off x="1676400" y="58283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95250</xdr:colOff>
      <xdr:row>244</xdr:row>
      <xdr:rowOff>28575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TextBox 2"/>
            <xdr:cNvSpPr txBox="1">
              <a:spLocks/>
            </xdr:cNvSpPr>
          </xdr:nvSpPr>
          <xdr:spPr>
            <a:xfrm>
              <a:off x="3143250" y="580548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8" name="TextBox 2"/>
            <xdr:cNvSpPr txBox="1">
              <a:spLocks/>
            </xdr:cNvSpPr>
          </xdr:nvSpPr>
          <xdr:spPr>
            <a:xfrm>
              <a:off x="3143250" y="580548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85725</xdr:colOff>
      <xdr:row>245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" name="TextBox 2"/>
            <xdr:cNvSpPr txBox="1">
              <a:spLocks/>
            </xdr:cNvSpPr>
          </xdr:nvSpPr>
          <xdr:spPr>
            <a:xfrm>
              <a:off x="2371725" y="58283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7" name="TextBox 2"/>
            <xdr:cNvSpPr txBox="1">
              <a:spLocks/>
            </xdr:cNvSpPr>
          </xdr:nvSpPr>
          <xdr:spPr>
            <a:xfrm>
              <a:off x="2371725" y="58283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114300</xdr:colOff>
      <xdr:row>245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2"/>
            <xdr:cNvSpPr txBox="1">
              <a:spLocks/>
            </xdr:cNvSpPr>
          </xdr:nvSpPr>
          <xdr:spPr>
            <a:xfrm>
              <a:off x="3162300" y="58283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8" name="TextBox 2"/>
            <xdr:cNvSpPr txBox="1">
              <a:spLocks/>
            </xdr:cNvSpPr>
          </xdr:nvSpPr>
          <xdr:spPr>
            <a:xfrm>
              <a:off x="3162300" y="58283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95250</xdr:colOff>
      <xdr:row>245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2"/>
            <xdr:cNvSpPr txBox="1">
              <a:spLocks/>
            </xdr:cNvSpPr>
          </xdr:nvSpPr>
          <xdr:spPr>
            <a:xfrm>
              <a:off x="3905250" y="58283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9" name="TextBox 2"/>
            <xdr:cNvSpPr txBox="1">
              <a:spLocks/>
            </xdr:cNvSpPr>
          </xdr:nvSpPr>
          <xdr:spPr>
            <a:xfrm>
              <a:off x="3905250" y="58283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244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169"/>
            <xdr:cNvSpPr txBox="1"/>
          </xdr:nvSpPr>
          <xdr:spPr>
            <a:xfrm>
              <a:off x="200025" y="5807840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0" name="TextBox 169"/>
            <xdr:cNvSpPr txBox="1"/>
          </xdr:nvSpPr>
          <xdr:spPr>
            <a:xfrm>
              <a:off x="200025" y="5807840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104775</xdr:colOff>
      <xdr:row>196</xdr:row>
      <xdr:rowOff>228600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TextBox 4"/>
            <xdr:cNvSpPr txBox="1"/>
          </xdr:nvSpPr>
          <xdr:spPr>
            <a:xfrm>
              <a:off x="3457575" y="46824900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1" name="TextBox 4"/>
            <xdr:cNvSpPr txBox="1"/>
          </xdr:nvSpPr>
          <xdr:spPr>
            <a:xfrm>
              <a:off x="3457575" y="46824900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〗^2+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199</xdr:row>
      <xdr:rowOff>28575</xdr:rowOff>
    </xdr:from>
    <xdr:ext cx="2764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TextBox 4"/>
            <xdr:cNvSpPr txBox="1"/>
          </xdr:nvSpPr>
          <xdr:spPr>
            <a:xfrm>
              <a:off x="1552575" y="47339250"/>
              <a:ext cx="2764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2" name="TextBox 4"/>
            <xdr:cNvSpPr txBox="1"/>
          </xdr:nvSpPr>
          <xdr:spPr>
            <a:xfrm>
              <a:off x="1552575" y="47339250"/>
              <a:ext cx="2764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𝑈=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221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TextBox 5"/>
            <xdr:cNvSpPr txBox="1"/>
          </xdr:nvSpPr>
          <xdr:spPr>
            <a:xfrm>
              <a:off x="1076325" y="5255895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3" name="TextBox 5"/>
            <xdr:cNvSpPr txBox="1"/>
          </xdr:nvSpPr>
          <xdr:spPr>
            <a:xfrm>
              <a:off x="1076325" y="5255895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𝑙_𝐸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189</xdr:row>
      <xdr:rowOff>57150</xdr:rowOff>
    </xdr:from>
    <xdr:ext cx="759182" cy="3505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TextBox 173"/>
            <xdr:cNvSpPr txBox="1"/>
          </xdr:nvSpPr>
          <xdr:spPr>
            <a:xfrm>
              <a:off x="1228725" y="44986575"/>
              <a:ext cx="759182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4" name="TextBox 173"/>
            <xdr:cNvSpPr txBox="1"/>
          </xdr:nvSpPr>
          <xdr:spPr>
            <a:xfrm>
              <a:off x="1228725" y="44986575"/>
              <a:ext cx="759182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𝑐_(𝑙_𝑑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𝐿_𝑋)/(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𝑙_𝑑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133350</xdr:colOff>
      <xdr:row>238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TextBox 2"/>
            <xdr:cNvSpPr txBox="1">
              <a:spLocks/>
            </xdr:cNvSpPr>
          </xdr:nvSpPr>
          <xdr:spPr>
            <a:xfrm>
              <a:off x="5010150" y="56635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5" name="TextBox 2"/>
            <xdr:cNvSpPr txBox="1">
              <a:spLocks/>
            </xdr:cNvSpPr>
          </xdr:nvSpPr>
          <xdr:spPr>
            <a:xfrm>
              <a:off x="5010150" y="56635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95250</xdr:colOff>
      <xdr:row>245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6" name="TextBox 2"/>
            <xdr:cNvSpPr txBox="1">
              <a:spLocks/>
            </xdr:cNvSpPr>
          </xdr:nvSpPr>
          <xdr:spPr>
            <a:xfrm>
              <a:off x="4667250" y="58283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6" name="TextBox 2"/>
            <xdr:cNvSpPr txBox="1">
              <a:spLocks/>
            </xdr:cNvSpPr>
          </xdr:nvSpPr>
          <xdr:spPr>
            <a:xfrm>
              <a:off x="4667250" y="58283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21" t="s">
        <v>0</v>
      </c>
      <c r="B1" s="322"/>
      <c r="C1" s="322"/>
      <c r="D1" s="322"/>
      <c r="E1" s="322"/>
      <c r="F1" s="322"/>
      <c r="G1" s="322"/>
      <c r="H1" s="323"/>
      <c r="I1" s="324"/>
      <c r="J1" s="325"/>
    </row>
    <row r="2" spans="1:13" ht="12.95" customHeight="1">
      <c r="A2" s="301" t="s">
        <v>1</v>
      </c>
      <c r="B2" s="301"/>
      <c r="C2" s="301"/>
      <c r="D2" s="301"/>
      <c r="E2" s="301"/>
      <c r="F2" s="301"/>
      <c r="G2" s="301"/>
      <c r="H2" s="301"/>
      <c r="I2" s="301"/>
      <c r="J2" s="301"/>
    </row>
    <row r="3" spans="1:13" ht="12.95" customHeight="1">
      <c r="A3" s="302" t="s">
        <v>2</v>
      </c>
      <c r="B3" s="303"/>
      <c r="C3" s="326"/>
      <c r="D3" s="326"/>
      <c r="E3" s="326"/>
      <c r="F3" s="303" t="s">
        <v>3</v>
      </c>
      <c r="G3" s="303"/>
      <c r="H3" s="317"/>
      <c r="I3" s="316"/>
      <c r="J3" s="316"/>
    </row>
    <row r="4" spans="1:13" ht="12.95" customHeight="1">
      <c r="A4" s="303" t="s">
        <v>4</v>
      </c>
      <c r="B4" s="303"/>
      <c r="C4" s="327"/>
      <c r="D4" s="303"/>
      <c r="E4" s="303"/>
      <c r="F4" s="303" t="s">
        <v>5</v>
      </c>
      <c r="G4" s="303"/>
      <c r="H4" s="303"/>
      <c r="I4" s="316"/>
      <c r="J4" s="316"/>
    </row>
    <row r="5" spans="1:13" ht="12.95" customHeight="1">
      <c r="A5" s="303" t="s">
        <v>6</v>
      </c>
      <c r="B5" s="303"/>
      <c r="C5" s="303"/>
      <c r="D5" s="316"/>
      <c r="E5" s="316"/>
      <c r="F5" s="302" t="s">
        <v>7</v>
      </c>
      <c r="G5" s="303"/>
      <c r="H5" s="304"/>
      <c r="I5" s="305"/>
      <c r="J5" s="305"/>
    </row>
    <row r="6" spans="1:13" ht="12.95" customHeight="1">
      <c r="A6" s="303" t="s">
        <v>8</v>
      </c>
      <c r="B6" s="303"/>
      <c r="C6" s="303"/>
      <c r="D6" s="316"/>
      <c r="E6" s="316"/>
      <c r="F6" s="302" t="s">
        <v>9</v>
      </c>
      <c r="G6" s="303"/>
      <c r="H6" s="304"/>
      <c r="I6" s="305"/>
      <c r="J6" s="305"/>
    </row>
    <row r="7" spans="1:13" ht="12.95" customHeight="1">
      <c r="A7" s="303" t="s">
        <v>10</v>
      </c>
      <c r="B7" s="303"/>
      <c r="C7" s="319"/>
      <c r="D7" s="316"/>
      <c r="E7" s="316"/>
      <c r="F7" s="302" t="s">
        <v>11</v>
      </c>
      <c r="G7" s="303"/>
      <c r="H7" s="303"/>
      <c r="I7" s="316"/>
      <c r="J7" s="316"/>
    </row>
    <row r="8" spans="1:13" ht="12.95" customHeight="1">
      <c r="A8" s="303" t="s">
        <v>12</v>
      </c>
      <c r="B8" s="303"/>
      <c r="C8" s="317"/>
      <c r="D8" s="318"/>
      <c r="E8" s="318"/>
      <c r="F8" s="302" t="s">
        <v>13</v>
      </c>
      <c r="G8" s="303"/>
      <c r="H8" s="303"/>
      <c r="I8" s="316"/>
      <c r="J8" s="316"/>
    </row>
    <row r="9" spans="1:13" ht="12.95" customHeight="1">
      <c r="A9" s="302" t="s">
        <v>35</v>
      </c>
      <c r="B9" s="303"/>
      <c r="C9" s="304"/>
      <c r="D9" s="305"/>
      <c r="E9" s="305"/>
      <c r="F9" s="320" t="s">
        <v>14</v>
      </c>
      <c r="G9" s="320"/>
      <c r="H9" s="304"/>
      <c r="I9" s="305"/>
      <c r="J9" s="305"/>
    </row>
    <row r="10" spans="1:13" ht="23.25" customHeight="1">
      <c r="A10" s="303" t="s">
        <v>15</v>
      </c>
      <c r="B10" s="303"/>
      <c r="C10" s="304"/>
      <c r="D10" s="305"/>
      <c r="E10" s="305"/>
      <c r="F10" s="303" t="s">
        <v>16</v>
      </c>
      <c r="G10" s="303"/>
      <c r="H10" s="34"/>
      <c r="I10" s="308" t="s">
        <v>17</v>
      </c>
      <c r="J10" s="309"/>
      <c r="K10" s="4"/>
    </row>
    <row r="11" spans="1:13" ht="12.95" customHeight="1">
      <c r="A11" s="301" t="s">
        <v>18</v>
      </c>
      <c r="B11" s="301"/>
      <c r="C11" s="301"/>
      <c r="D11" s="301"/>
      <c r="E11" s="301"/>
      <c r="F11" s="301"/>
      <c r="G11" s="301"/>
      <c r="H11" s="301"/>
      <c r="I11" s="301"/>
      <c r="J11" s="301"/>
      <c r="K11" s="5"/>
    </row>
    <row r="12" spans="1:13" ht="17.25" customHeight="1">
      <c r="A12" s="3" t="s">
        <v>19</v>
      </c>
      <c r="B12" s="86"/>
      <c r="C12" s="6" t="s">
        <v>20</v>
      </c>
      <c r="D12" s="87"/>
      <c r="E12" s="6" t="s">
        <v>21</v>
      </c>
      <c r="F12" s="88"/>
      <c r="G12" s="310" t="s">
        <v>22</v>
      </c>
      <c r="H12" s="306"/>
      <c r="I12" s="312" t="s">
        <v>23</v>
      </c>
      <c r="J12" s="313"/>
      <c r="K12" s="4"/>
      <c r="L12" s="7"/>
      <c r="M12" s="7"/>
    </row>
    <row r="13" spans="1:13" ht="17.25" customHeight="1">
      <c r="A13" s="8" t="s">
        <v>24</v>
      </c>
      <c r="B13" s="86"/>
      <c r="C13" s="8" t="s">
        <v>25</v>
      </c>
      <c r="D13" s="87"/>
      <c r="E13" s="6" t="s">
        <v>26</v>
      </c>
      <c r="F13" s="88"/>
      <c r="G13" s="311"/>
      <c r="H13" s="307"/>
      <c r="I13" s="314"/>
      <c r="J13" s="315"/>
      <c r="K13" s="5"/>
    </row>
    <row r="14" spans="1:13" ht="12.95" customHeight="1">
      <c r="A14" s="301" t="s">
        <v>27</v>
      </c>
      <c r="B14" s="301"/>
      <c r="C14" s="301"/>
      <c r="D14" s="301"/>
      <c r="E14" s="301"/>
      <c r="F14" s="301"/>
      <c r="G14" s="301"/>
      <c r="H14" s="301"/>
      <c r="I14" s="301"/>
      <c r="J14" s="301"/>
      <c r="K14" s="5"/>
    </row>
    <row r="15" spans="1:13" ht="39" customHeight="1">
      <c r="A15" s="298"/>
      <c r="B15" s="299"/>
      <c r="C15" s="299"/>
      <c r="D15" s="299"/>
      <c r="E15" s="299"/>
      <c r="F15" s="299"/>
      <c r="G15" s="299"/>
      <c r="H15" s="299"/>
      <c r="I15" s="299"/>
      <c r="J15" s="300"/>
    </row>
    <row r="16" spans="1:13" ht="12.95" customHeight="1">
      <c r="A16" s="301" t="s">
        <v>28</v>
      </c>
      <c r="B16" s="301"/>
      <c r="C16" s="301"/>
      <c r="D16" s="301"/>
      <c r="E16" s="301"/>
      <c r="F16" s="301"/>
      <c r="G16" s="301"/>
      <c r="H16" s="301"/>
      <c r="I16" s="301"/>
      <c r="J16" s="301"/>
    </row>
    <row r="17" spans="1:12" ht="12.95" customHeight="1">
      <c r="A17" s="3" t="s">
        <v>29</v>
      </c>
      <c r="B17" s="302" t="s">
        <v>30</v>
      </c>
      <c r="C17" s="303"/>
      <c r="D17" s="303"/>
      <c r="E17" s="303"/>
      <c r="F17" s="302" t="s">
        <v>31</v>
      </c>
      <c r="G17" s="303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296"/>
      <c r="C18" s="297"/>
      <c r="D18" s="297"/>
      <c r="E18" s="297"/>
      <c r="F18" s="296"/>
      <c r="G18" s="297"/>
      <c r="H18" s="40"/>
      <c r="I18" s="18"/>
      <c r="J18" s="85"/>
      <c r="L18" s="5"/>
    </row>
    <row r="19" spans="1:12" ht="12.95" customHeight="1">
      <c r="A19" s="35"/>
      <c r="B19" s="296"/>
      <c r="C19" s="297"/>
      <c r="D19" s="297"/>
      <c r="E19" s="297"/>
      <c r="F19" s="296"/>
      <c r="G19" s="297"/>
      <c r="H19" s="21"/>
      <c r="I19" s="21"/>
      <c r="J19" s="85"/>
      <c r="L19" s="5"/>
    </row>
    <row r="20" spans="1:12" ht="12.95" customHeight="1">
      <c r="A20" s="35"/>
      <c r="B20" s="296"/>
      <c r="C20" s="297"/>
      <c r="D20" s="297"/>
      <c r="E20" s="297"/>
      <c r="F20" s="296"/>
      <c r="G20" s="297"/>
      <c r="H20" s="32"/>
      <c r="I20" s="32"/>
      <c r="J20" s="85"/>
      <c r="L20" s="5"/>
    </row>
    <row r="21" spans="1:12" ht="12.95" customHeight="1">
      <c r="A21" s="35"/>
      <c r="B21" s="296"/>
      <c r="C21" s="297"/>
      <c r="D21" s="297"/>
      <c r="E21" s="297"/>
      <c r="F21" s="296"/>
      <c r="G21" s="297"/>
      <c r="H21" s="32"/>
      <c r="I21" s="9"/>
      <c r="J21" s="85"/>
      <c r="L21" s="5"/>
    </row>
    <row r="22" spans="1:12" ht="12.95" customHeight="1">
      <c r="A22" s="35"/>
      <c r="B22" s="296"/>
      <c r="C22" s="297"/>
      <c r="D22" s="297"/>
      <c r="E22" s="297"/>
      <c r="F22" s="296"/>
      <c r="G22" s="297"/>
      <c r="H22" s="20"/>
      <c r="I22" s="11"/>
      <c r="J22" s="85"/>
      <c r="L22" s="5"/>
    </row>
    <row r="23" spans="1:12" ht="12.95" customHeight="1">
      <c r="A23" s="35"/>
      <c r="B23" s="296"/>
      <c r="C23" s="297"/>
      <c r="D23" s="297"/>
      <c r="E23" s="297"/>
      <c r="F23" s="296"/>
      <c r="G23" s="297"/>
      <c r="H23" s="11"/>
      <c r="I23" s="9"/>
      <c r="J23" s="85"/>
      <c r="L23" s="5"/>
    </row>
    <row r="24" spans="1:12" ht="12.95" customHeight="1">
      <c r="A24" s="35"/>
      <c r="B24" s="296"/>
      <c r="C24" s="297"/>
      <c r="D24" s="297"/>
      <c r="E24" s="297"/>
      <c r="F24" s="296"/>
      <c r="G24" s="297"/>
      <c r="H24" s="16"/>
      <c r="I24" s="9"/>
      <c r="J24" s="85"/>
      <c r="L24" s="5"/>
    </row>
    <row r="25" spans="1:12" ht="12.95" customHeight="1">
      <c r="A25" s="35"/>
      <c r="B25" s="296"/>
      <c r="C25" s="297"/>
      <c r="D25" s="297"/>
      <c r="E25" s="297"/>
      <c r="F25" s="296"/>
      <c r="G25" s="297"/>
      <c r="H25" s="16"/>
      <c r="I25" s="9"/>
      <c r="J25" s="85"/>
      <c r="L25" s="5"/>
    </row>
    <row r="26" spans="1:12" ht="12.95" customHeight="1">
      <c r="A26" s="35"/>
      <c r="B26" s="296"/>
      <c r="C26" s="297"/>
      <c r="D26" s="297"/>
      <c r="E26" s="297"/>
      <c r="F26" s="296"/>
      <c r="G26" s="297"/>
      <c r="H26" s="16"/>
      <c r="I26" s="9"/>
      <c r="J26" s="85"/>
      <c r="L26" s="5"/>
    </row>
    <row r="27" spans="1:12" ht="12.95" customHeight="1">
      <c r="A27" s="35"/>
      <c r="B27" s="296"/>
      <c r="C27" s="297"/>
      <c r="D27" s="297"/>
      <c r="E27" s="297"/>
      <c r="F27" s="296"/>
      <c r="G27" s="297"/>
      <c r="H27" s="9"/>
      <c r="I27" s="9"/>
      <c r="J27" s="85"/>
    </row>
    <row r="28" spans="1:12" ht="12.95" customHeight="1">
      <c r="A28" s="35"/>
      <c r="B28" s="296"/>
      <c r="C28" s="297"/>
      <c r="D28" s="297"/>
      <c r="E28" s="297"/>
      <c r="F28" s="296"/>
      <c r="G28" s="297"/>
      <c r="H28" s="9"/>
      <c r="I28" s="9"/>
      <c r="J28" s="85"/>
    </row>
    <row r="29" spans="1:12" ht="12.95" customHeight="1">
      <c r="A29" s="35"/>
      <c r="B29" s="296"/>
      <c r="C29" s="297"/>
      <c r="D29" s="297"/>
      <c r="E29" s="297"/>
      <c r="F29" s="296"/>
      <c r="G29" s="297"/>
      <c r="H29" s="9"/>
      <c r="I29" s="9"/>
      <c r="J29" s="85"/>
    </row>
    <row r="30" spans="1:12" ht="12.95" customHeight="1">
      <c r="A30" s="35"/>
      <c r="B30" s="296"/>
      <c r="C30" s="297"/>
      <c r="D30" s="297"/>
      <c r="E30" s="297"/>
      <c r="F30" s="296"/>
      <c r="G30" s="297"/>
      <c r="H30" s="9"/>
      <c r="I30" s="9"/>
      <c r="J30" s="85"/>
    </row>
    <row r="31" spans="1:12" ht="12.95" customHeight="1">
      <c r="A31" s="35"/>
      <c r="B31" s="296"/>
      <c r="C31" s="297"/>
      <c r="D31" s="297"/>
      <c r="E31" s="297"/>
      <c r="F31" s="296"/>
      <c r="G31" s="297"/>
      <c r="H31" s="9"/>
      <c r="I31" s="9"/>
      <c r="J31" s="85"/>
    </row>
    <row r="32" spans="1:12" ht="12.95" customHeight="1">
      <c r="A32" s="35"/>
      <c r="B32" s="296"/>
      <c r="C32" s="297"/>
      <c r="D32" s="297"/>
      <c r="E32" s="297"/>
      <c r="F32" s="296"/>
      <c r="G32" s="297"/>
      <c r="H32" s="9"/>
      <c r="I32" s="9"/>
      <c r="J32" s="85"/>
    </row>
    <row r="33" spans="1:10" ht="12.95" customHeight="1">
      <c r="A33" s="35"/>
      <c r="B33" s="296"/>
      <c r="C33" s="297"/>
      <c r="D33" s="297"/>
      <c r="E33" s="297"/>
      <c r="F33" s="296"/>
      <c r="G33" s="297"/>
      <c r="H33" s="9"/>
      <c r="I33" s="9"/>
      <c r="J33" s="85"/>
    </row>
    <row r="34" spans="1:10" ht="12.95" customHeight="1">
      <c r="A34" s="35"/>
      <c r="B34" s="296"/>
      <c r="C34" s="297"/>
      <c r="D34" s="297"/>
      <c r="E34" s="297"/>
      <c r="F34" s="296"/>
      <c r="G34" s="297"/>
      <c r="H34" s="9"/>
      <c r="I34" s="9"/>
      <c r="J34" s="85"/>
    </row>
    <row r="35" spans="1:10" ht="12.95" customHeight="1">
      <c r="A35" s="35"/>
      <c r="B35" s="296"/>
      <c r="C35" s="297"/>
      <c r="D35" s="297"/>
      <c r="E35" s="297"/>
      <c r="F35" s="296"/>
      <c r="G35" s="297"/>
      <c r="H35" s="9"/>
      <c r="I35" s="9"/>
      <c r="J35" s="85"/>
    </row>
    <row r="36" spans="1:10" ht="12.95" customHeight="1">
      <c r="A36" s="35"/>
      <c r="B36" s="296"/>
      <c r="C36" s="297"/>
      <c r="D36" s="297"/>
      <c r="E36" s="297"/>
      <c r="F36" s="296"/>
      <c r="G36" s="297"/>
      <c r="H36" s="9"/>
      <c r="I36" s="9"/>
      <c r="J36" s="85"/>
    </row>
    <row r="37" spans="1:10" ht="12.95" customHeight="1">
      <c r="A37" s="35"/>
      <c r="B37" s="296"/>
      <c r="C37" s="297"/>
      <c r="D37" s="297"/>
      <c r="E37" s="297"/>
      <c r="F37" s="296"/>
      <c r="G37" s="297"/>
      <c r="H37" s="9"/>
      <c r="I37" s="9"/>
      <c r="J37" s="85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282" t="s">
        <v>37</v>
      </c>
      <c r="B39" s="282"/>
      <c r="C39" s="282"/>
      <c r="D39" s="282"/>
      <c r="E39" s="282"/>
      <c r="F39" s="283" t="s">
        <v>38</v>
      </c>
      <c r="G39" s="286"/>
      <c r="H39" s="287"/>
      <c r="I39" s="287"/>
      <c r="J39" s="288"/>
    </row>
    <row r="40" spans="1:10" ht="12.95" customHeight="1">
      <c r="A40" s="282" t="s">
        <v>39</v>
      </c>
      <c r="B40" s="282"/>
      <c r="C40" s="282"/>
      <c r="D40" s="282"/>
      <c r="E40" s="282"/>
      <c r="F40" s="284"/>
      <c r="G40" s="289"/>
      <c r="H40" s="290"/>
      <c r="I40" s="290"/>
      <c r="J40" s="291"/>
    </row>
    <row r="41" spans="1:10" ht="12.95" customHeight="1">
      <c r="A41" s="282" t="s">
        <v>40</v>
      </c>
      <c r="B41" s="282"/>
      <c r="C41" s="282"/>
      <c r="D41" s="282"/>
      <c r="E41" s="282"/>
      <c r="F41" s="284"/>
      <c r="G41" s="289"/>
      <c r="H41" s="290"/>
      <c r="I41" s="290"/>
      <c r="J41" s="291"/>
    </row>
    <row r="42" spans="1:10" ht="12.95" customHeight="1">
      <c r="A42" s="282" t="s">
        <v>41</v>
      </c>
      <c r="B42" s="282"/>
      <c r="C42" s="295" t="s">
        <v>42</v>
      </c>
      <c r="D42" s="295"/>
      <c r="E42" s="295"/>
      <c r="F42" s="285"/>
      <c r="G42" s="292"/>
      <c r="H42" s="293"/>
      <c r="I42" s="293"/>
      <c r="J42" s="294"/>
    </row>
    <row r="43" spans="1:10" ht="12.95" customHeight="1">
      <c r="A43" s="281" t="s">
        <v>52</v>
      </c>
      <c r="B43" s="281"/>
      <c r="C43" s="281">
        <f>Calcu!Q3</f>
        <v>0</v>
      </c>
      <c r="D43" s="281"/>
      <c r="E43" s="281"/>
    </row>
    <row r="46" spans="1:10" ht="12.95" customHeight="1">
      <c r="B46" s="1" t="s">
        <v>121</v>
      </c>
    </row>
    <row r="47" spans="1:10" ht="12.95" customHeight="1">
      <c r="B47" s="1" t="s">
        <v>122</v>
      </c>
    </row>
    <row r="48" spans="1:10" ht="12.95" customHeight="1">
      <c r="A48" s="1">
        <f ca="1">Calcu!R77</f>
        <v>40100</v>
      </c>
      <c r="B48" s="1" t="s">
        <v>488</v>
      </c>
    </row>
    <row r="49" spans="1:2" ht="12.95" customHeight="1">
      <c r="A49" s="108"/>
    </row>
    <row r="50" spans="1:2" ht="12.95" customHeight="1">
      <c r="A50" s="1" t="str">
        <f ca="1">Calcu!O3</f>
        <v>PASS</v>
      </c>
      <c r="B50" s="1" t="s">
        <v>489</v>
      </c>
    </row>
    <row r="52" spans="1:2" ht="12.95" customHeight="1">
      <c r="B52" s="1" t="s">
        <v>565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4" bestFit="1" customWidth="1"/>
    <col min="2" max="2" width="6.6640625" style="94" bestFit="1" customWidth="1"/>
    <col min="3" max="3" width="8.88671875" style="94"/>
    <col min="4" max="4" width="6.6640625" style="94" bestFit="1" customWidth="1"/>
    <col min="5" max="13" width="1.77734375" style="94" customWidth="1"/>
    <col min="14" max="15" width="6" style="94" bestFit="1" customWidth="1"/>
    <col min="16" max="16" width="7.5546875" style="94" bestFit="1" customWidth="1"/>
    <col min="17" max="17" width="4" style="94" bestFit="1" customWidth="1"/>
    <col min="18" max="18" width="5.33203125" style="94" bestFit="1" customWidth="1"/>
    <col min="19" max="19" width="4" style="94" bestFit="1" customWidth="1"/>
    <col min="20" max="21" width="6.5546875" style="94" bestFit="1" customWidth="1"/>
    <col min="22" max="22" width="8.44140625" style="94" bestFit="1" customWidth="1"/>
    <col min="23" max="23" width="6.6640625" style="94" bestFit="1" customWidth="1"/>
    <col min="24" max="24" width="5.33203125" style="94" bestFit="1" customWidth="1"/>
    <col min="25" max="25" width="8.33203125" style="94" bestFit="1" customWidth="1"/>
    <col min="26" max="27" width="4" style="94" bestFit="1" customWidth="1"/>
    <col min="28" max="34" width="1.77734375" style="94" customWidth="1"/>
    <col min="35" max="35" width="7.5546875" style="94" bestFit="1" customWidth="1"/>
    <col min="36" max="16384" width="8.88671875" style="94"/>
  </cols>
  <sheetData>
    <row r="1" spans="1:36">
      <c r="A1" s="114" t="s">
        <v>98</v>
      </c>
      <c r="B1" s="114" t="s">
        <v>65</v>
      </c>
      <c r="C1" s="114" t="s">
        <v>66</v>
      </c>
      <c r="D1" s="114" t="s">
        <v>99</v>
      </c>
      <c r="E1" s="114"/>
      <c r="F1" s="114"/>
      <c r="G1" s="114"/>
      <c r="H1" s="114"/>
      <c r="I1" s="114"/>
      <c r="J1" s="114"/>
      <c r="K1" s="114"/>
      <c r="L1" s="114"/>
      <c r="M1" s="114"/>
      <c r="N1" s="114" t="s">
        <v>100</v>
      </c>
      <c r="O1" s="114" t="s">
        <v>101</v>
      </c>
      <c r="P1" s="114" t="s">
        <v>67</v>
      </c>
      <c r="Q1" s="114" t="s">
        <v>102</v>
      </c>
      <c r="R1" s="114" t="s">
        <v>69</v>
      </c>
      <c r="S1" s="114" t="s">
        <v>68</v>
      </c>
      <c r="T1" s="114" t="s">
        <v>70</v>
      </c>
      <c r="U1" s="114" t="s">
        <v>103</v>
      </c>
      <c r="V1" s="114" t="s">
        <v>71</v>
      </c>
      <c r="W1" s="114" t="s">
        <v>72</v>
      </c>
      <c r="X1" s="114" t="s">
        <v>104</v>
      </c>
      <c r="Y1" s="114" t="s">
        <v>105</v>
      </c>
      <c r="Z1" s="114" t="s">
        <v>106</v>
      </c>
      <c r="AA1" s="114" t="s">
        <v>107</v>
      </c>
      <c r="AB1" s="114"/>
      <c r="AC1" s="114"/>
      <c r="AD1" s="114"/>
      <c r="AE1" s="114"/>
      <c r="AF1" s="114"/>
      <c r="AG1" s="114"/>
      <c r="AH1" s="114"/>
      <c r="AI1" s="114" t="s">
        <v>108</v>
      </c>
      <c r="AJ1" s="163" t="s">
        <v>120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2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21" s="12" customFormat="1" ht="33" customHeight="1">
      <c r="A1" s="15" t="s">
        <v>93</v>
      </c>
    </row>
    <row r="2" spans="1:21" s="12" customFormat="1" ht="17.100000000000001" customHeight="1">
      <c r="A2" s="17" t="s">
        <v>43</v>
      </c>
      <c r="B2" s="17"/>
      <c r="C2" s="17"/>
      <c r="D2" s="17"/>
      <c r="E2" s="17"/>
      <c r="G2" s="95" t="s">
        <v>62</v>
      </c>
      <c r="J2" s="95" t="s">
        <v>74</v>
      </c>
      <c r="N2" s="17" t="s">
        <v>44</v>
      </c>
      <c r="Q2" s="17" t="s">
        <v>45</v>
      </c>
    </row>
    <row r="3" spans="1:21" s="12" customFormat="1" ht="13.5">
      <c r="A3" s="14" t="s">
        <v>152</v>
      </c>
      <c r="B3" s="14" t="s">
        <v>153</v>
      </c>
      <c r="C3" s="14" t="s">
        <v>154</v>
      </c>
      <c r="D3" s="14" t="s">
        <v>155</v>
      </c>
      <c r="E3" s="14" t="s">
        <v>156</v>
      </c>
      <c r="F3" s="14" t="s">
        <v>60</v>
      </c>
      <c r="G3" s="14" t="s">
        <v>55</v>
      </c>
      <c r="H3" s="14" t="s">
        <v>56</v>
      </c>
      <c r="I3" s="14" t="s">
        <v>51</v>
      </c>
      <c r="J3" s="13" t="s">
        <v>46</v>
      </c>
      <c r="K3" s="14" t="s">
        <v>61</v>
      </c>
      <c r="L3" s="14" t="s">
        <v>75</v>
      </c>
      <c r="M3" s="14" t="s">
        <v>47</v>
      </c>
      <c r="N3" s="14" t="s">
        <v>48</v>
      </c>
      <c r="O3" s="41" t="s">
        <v>49</v>
      </c>
      <c r="P3" s="41" t="s">
        <v>50</v>
      </c>
      <c r="Q3" s="41" t="s">
        <v>63</v>
      </c>
      <c r="R3" s="41" t="s">
        <v>64</v>
      </c>
      <c r="S3" s="110" t="s">
        <v>94</v>
      </c>
      <c r="T3" s="110" t="s">
        <v>95</v>
      </c>
      <c r="U3" s="41" t="s">
        <v>96</v>
      </c>
    </row>
    <row r="4" spans="1:21" s="12" customFormat="1" ht="17.100000000000001" customHeight="1">
      <c r="A4" s="109"/>
      <c r="B4" s="109"/>
      <c r="C4" s="109"/>
      <c r="D4" s="109"/>
      <c r="E4" s="109"/>
      <c r="F4" s="23"/>
      <c r="G4" s="23"/>
      <c r="H4" s="54"/>
      <c r="I4" s="42"/>
      <c r="J4" s="23"/>
      <c r="K4" s="23"/>
      <c r="L4" s="96"/>
      <c r="M4" s="42"/>
      <c r="N4" s="23"/>
      <c r="O4" s="23"/>
      <c r="P4" s="23"/>
      <c r="Q4" s="23"/>
      <c r="R4" s="23"/>
      <c r="S4" s="111"/>
      <c r="T4" s="111"/>
      <c r="U4" s="23"/>
    </row>
    <row r="5" spans="1:21" s="12" customFormat="1" ht="17.100000000000001" customHeight="1">
      <c r="A5" s="109"/>
      <c r="B5" s="109"/>
      <c r="C5" s="109"/>
      <c r="D5" s="109"/>
      <c r="E5" s="109"/>
      <c r="F5" s="23"/>
      <c r="G5" s="23"/>
      <c r="H5" s="54"/>
      <c r="I5" s="42"/>
      <c r="J5" s="23"/>
      <c r="K5" s="23"/>
      <c r="L5" s="96"/>
      <c r="M5" s="42"/>
      <c r="N5" s="23"/>
      <c r="O5" s="24"/>
      <c r="P5" s="24"/>
      <c r="Q5" s="24"/>
      <c r="R5" s="24"/>
      <c r="S5" s="112"/>
      <c r="T5" s="112"/>
      <c r="U5" s="24"/>
    </row>
    <row r="6" spans="1:21" s="12" customFormat="1" ht="17.100000000000001" customHeight="1">
      <c r="A6" s="109"/>
      <c r="B6" s="109"/>
      <c r="C6" s="109"/>
      <c r="D6" s="109"/>
      <c r="E6" s="109"/>
      <c r="F6" s="23"/>
      <c r="G6" s="23"/>
      <c r="H6" s="54"/>
      <c r="I6" s="42"/>
      <c r="J6" s="23"/>
      <c r="K6" s="23"/>
      <c r="L6" s="96"/>
      <c r="M6" s="42"/>
      <c r="N6" s="23"/>
      <c r="O6" s="24"/>
      <c r="P6" s="24"/>
      <c r="Q6" s="24"/>
      <c r="R6" s="24"/>
      <c r="S6" s="112"/>
      <c r="T6" s="112"/>
      <c r="U6" s="24"/>
    </row>
    <row r="7" spans="1:21" s="12" customFormat="1" ht="17.100000000000001" customHeight="1">
      <c r="A7" s="109"/>
      <c r="B7" s="109"/>
      <c r="C7" s="109"/>
      <c r="D7" s="109"/>
      <c r="E7" s="109"/>
      <c r="F7" s="23"/>
      <c r="G7" s="23"/>
      <c r="H7" s="54"/>
      <c r="I7" s="42"/>
      <c r="J7" s="23"/>
      <c r="K7" s="23"/>
      <c r="L7" s="96"/>
      <c r="M7" s="42"/>
      <c r="N7" s="23"/>
      <c r="O7" s="24"/>
      <c r="P7" s="24"/>
      <c r="Q7" s="24"/>
      <c r="R7" s="24"/>
      <c r="S7" s="112"/>
      <c r="T7" s="112"/>
      <c r="U7" s="24"/>
    </row>
    <row r="8" spans="1:21" s="12" customFormat="1" ht="17.100000000000001" customHeight="1">
      <c r="A8" s="109"/>
      <c r="B8" s="109"/>
      <c r="C8" s="109"/>
      <c r="D8" s="109"/>
      <c r="E8" s="109"/>
      <c r="F8" s="23"/>
      <c r="G8" s="23"/>
      <c r="H8" s="54"/>
      <c r="I8" s="42"/>
      <c r="J8" s="23"/>
      <c r="K8" s="23"/>
      <c r="L8" s="96"/>
      <c r="M8" s="42"/>
      <c r="N8" s="23"/>
      <c r="O8" s="24"/>
      <c r="P8" s="24"/>
      <c r="Q8" s="24"/>
      <c r="R8" s="24"/>
      <c r="S8" s="112"/>
      <c r="T8" s="112"/>
      <c r="U8" s="24"/>
    </row>
    <row r="9" spans="1:21" s="12" customFormat="1" ht="17.100000000000001" customHeight="1">
      <c r="A9" s="109"/>
      <c r="B9" s="109"/>
      <c r="C9" s="109"/>
      <c r="D9" s="109"/>
      <c r="E9" s="109"/>
      <c r="F9" s="23"/>
      <c r="G9" s="23"/>
      <c r="H9" s="54"/>
      <c r="I9" s="42"/>
      <c r="J9" s="23"/>
      <c r="K9" s="23"/>
      <c r="L9" s="96"/>
      <c r="M9" s="42"/>
      <c r="N9" s="23"/>
      <c r="O9" s="24"/>
      <c r="P9" s="24"/>
      <c r="Q9" s="24"/>
      <c r="R9" s="24"/>
      <c r="S9" s="112"/>
      <c r="T9" s="112"/>
      <c r="U9" s="24"/>
    </row>
    <row r="10" spans="1:21" s="12" customFormat="1" ht="17.100000000000001" customHeight="1"/>
    <row r="11" spans="1:21" s="12" customFormat="1" ht="17.100000000000001" customHeight="1">
      <c r="A11" s="14" t="s">
        <v>166</v>
      </c>
      <c r="B11" s="14" t="s">
        <v>167</v>
      </c>
      <c r="C11" s="14" t="s">
        <v>165</v>
      </c>
      <c r="D11" s="14" t="s">
        <v>168</v>
      </c>
    </row>
    <row r="12" spans="1:21" s="12" customFormat="1" ht="17.100000000000001" customHeight="1">
      <c r="A12" s="109"/>
      <c r="B12" s="109"/>
      <c r="C12" s="109"/>
      <c r="D12" s="109"/>
    </row>
    <row r="13" spans="1:21" s="12" customFormat="1" ht="17.100000000000001" customHeight="1"/>
    <row r="14" spans="1:21" s="12" customFormat="1" ht="17.100000000000001" customHeight="1">
      <c r="A14" s="17" t="s">
        <v>97</v>
      </c>
    </row>
    <row r="15" spans="1:21" s="19" customFormat="1" ht="18" customHeight="1">
      <c r="A15" s="170" t="s">
        <v>157</v>
      </c>
      <c r="B15" s="170" t="s">
        <v>155</v>
      </c>
      <c r="C15" s="170" t="s">
        <v>158</v>
      </c>
      <c r="D15" s="170" t="s">
        <v>159</v>
      </c>
      <c r="E15" s="170" t="s">
        <v>160</v>
      </c>
      <c r="F15" s="170" t="s">
        <v>123</v>
      </c>
      <c r="G15" s="170" t="s">
        <v>124</v>
      </c>
      <c r="H15" s="170" t="s">
        <v>125</v>
      </c>
      <c r="I15" s="170" t="s">
        <v>126</v>
      </c>
      <c r="J15" s="170" t="s">
        <v>169</v>
      </c>
      <c r="K15" s="12"/>
      <c r="L15" s="12"/>
      <c r="M15" s="12"/>
      <c r="N15" s="12"/>
      <c r="O15" s="12"/>
      <c r="P15" s="12"/>
      <c r="Q15" s="12"/>
      <c r="R15" s="12"/>
      <c r="S15" s="12"/>
    </row>
    <row r="16" spans="1:21" ht="17.100000000000001" customHeight="1">
      <c r="A16" s="113"/>
      <c r="B16" s="113"/>
      <c r="C16" s="113"/>
      <c r="D16" s="113"/>
      <c r="E16" s="113"/>
      <c r="F16" s="113"/>
      <c r="G16" s="113"/>
      <c r="H16" s="113"/>
      <c r="I16" s="201"/>
      <c r="J16" s="201"/>
      <c r="K16" s="12"/>
      <c r="L16" s="12"/>
      <c r="M16" s="12"/>
      <c r="N16" s="12"/>
      <c r="O16" s="12"/>
      <c r="P16" s="12"/>
      <c r="Q16" s="12"/>
      <c r="R16" s="12"/>
      <c r="S16" s="12"/>
    </row>
    <row r="17" spans="1:36" ht="17.100000000000001" customHeight="1">
      <c r="A17" s="113"/>
      <c r="B17" s="113"/>
      <c r="C17" s="113"/>
      <c r="D17" s="113"/>
      <c r="E17" s="113"/>
      <c r="F17" s="113"/>
      <c r="G17" s="113"/>
      <c r="H17" s="113"/>
      <c r="I17" s="201"/>
      <c r="J17" s="201"/>
      <c r="K17" s="12"/>
      <c r="L17" s="12"/>
      <c r="M17" s="12"/>
      <c r="N17" s="12"/>
      <c r="O17" s="12"/>
      <c r="P17" s="12"/>
      <c r="Q17" s="12"/>
      <c r="R17" s="12"/>
      <c r="S17" s="12"/>
    </row>
    <row r="18" spans="1:36" ht="17.100000000000001" customHeight="1">
      <c r="A18" s="113"/>
      <c r="B18" s="113"/>
      <c r="C18" s="113"/>
      <c r="D18" s="113"/>
      <c r="E18" s="113"/>
      <c r="F18" s="113"/>
      <c r="G18" s="113"/>
      <c r="H18" s="113"/>
      <c r="I18" s="201"/>
      <c r="J18" s="201"/>
      <c r="K18" s="12"/>
      <c r="L18" s="12"/>
      <c r="M18" s="12"/>
      <c r="N18" s="12"/>
      <c r="O18" s="12"/>
      <c r="P18" s="12"/>
      <c r="Q18" s="12"/>
      <c r="R18" s="12"/>
      <c r="S18" s="12"/>
    </row>
    <row r="19" spans="1:36" ht="17.100000000000001" customHeight="1">
      <c r="A19" s="113"/>
      <c r="B19" s="113"/>
      <c r="C19" s="113"/>
      <c r="D19" s="113"/>
      <c r="E19" s="113"/>
      <c r="F19" s="113"/>
      <c r="G19" s="113"/>
      <c r="H19" s="113"/>
      <c r="I19" s="201"/>
      <c r="J19" s="201"/>
      <c r="K19" s="12"/>
      <c r="L19" s="12"/>
      <c r="M19" s="12"/>
      <c r="N19" s="12"/>
      <c r="O19" s="12"/>
      <c r="P19" s="12"/>
      <c r="Q19" s="12"/>
      <c r="R19" s="12"/>
      <c r="S19" s="12"/>
    </row>
    <row r="20" spans="1:36" ht="17.100000000000001" customHeight="1">
      <c r="A20" s="113"/>
      <c r="B20" s="113"/>
      <c r="C20" s="113"/>
      <c r="D20" s="113"/>
      <c r="E20" s="113"/>
      <c r="F20" s="113"/>
      <c r="G20" s="113"/>
      <c r="H20" s="113"/>
      <c r="I20" s="201"/>
      <c r="J20" s="201"/>
      <c r="K20" s="12"/>
      <c r="L20" s="12"/>
      <c r="M20" s="12"/>
      <c r="N20" s="12"/>
      <c r="O20" s="12"/>
      <c r="P20" s="12"/>
      <c r="Q20" s="12"/>
      <c r="R20" s="12"/>
      <c r="S20" s="12"/>
    </row>
    <row r="21" spans="1:36" ht="17.100000000000001" customHeight="1">
      <c r="A21" s="113"/>
      <c r="B21" s="113"/>
      <c r="C21" s="113"/>
      <c r="D21" s="113"/>
      <c r="E21" s="113"/>
      <c r="F21" s="113"/>
      <c r="G21" s="113"/>
      <c r="H21" s="113"/>
      <c r="I21" s="201"/>
      <c r="J21" s="201"/>
      <c r="K21" s="12"/>
      <c r="L21" s="12"/>
      <c r="M21" s="12"/>
      <c r="N21" s="12"/>
      <c r="O21" s="12"/>
      <c r="P21" s="12"/>
      <c r="Q21" s="12"/>
      <c r="R21" s="12"/>
      <c r="S21" s="12"/>
    </row>
    <row r="22" spans="1:36" ht="17.100000000000001" customHeight="1">
      <c r="AE22" s="12"/>
      <c r="AF22" s="12"/>
      <c r="AG22" s="12"/>
      <c r="AH22" s="12"/>
      <c r="AI22" s="12"/>
      <c r="AJ22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1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2.77734375" style="37" customWidth="1"/>
    <col min="5" max="8" width="15.109375" style="37" customWidth="1"/>
    <col min="9" max="12" width="2.77734375" style="37" customWidth="1"/>
    <col min="13" max="16384" width="10.77734375" style="37"/>
  </cols>
  <sheetData>
    <row r="1" spans="1:12" s="47" customFormat="1" ht="33" customHeight="1">
      <c r="A1" s="330" t="s">
        <v>34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</row>
    <row r="2" spans="1:12" s="47" customFormat="1" ht="33" customHeight="1">
      <c r="A2" s="330"/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</row>
    <row r="3" spans="1:12" s="47" customFormat="1" ht="12.75" customHeight="1">
      <c r="A3" s="48" t="s">
        <v>83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89" t="str">
        <f>" 교   정   번   호(Calibration No) : "&amp;기본정보!H3</f>
        <v xml:space="preserve"> 교   정   번   호(Calibration No) : </v>
      </c>
      <c r="B4" s="89"/>
      <c r="C4" s="89"/>
      <c r="D4" s="89"/>
      <c r="E4" s="89"/>
      <c r="F4" s="90"/>
      <c r="G4" s="90"/>
      <c r="H4" s="90"/>
      <c r="I4" s="90"/>
      <c r="J4" s="99"/>
      <c r="K4" s="91"/>
      <c r="L4" s="98"/>
    </row>
    <row r="5" spans="1:12" s="36" customFormat="1" ht="15" customHeight="1"/>
    <row r="6" spans="1:12" ht="15" customHeight="1">
      <c r="E6" s="53" t="str">
        <f>"○ 품명 : "&amp;기본정보!C$5</f>
        <v xml:space="preserve">○ 품명 : </v>
      </c>
    </row>
    <row r="7" spans="1:12" ht="15" customHeight="1">
      <c r="E7" s="53" t="str">
        <f>"○ 제작회사 : "&amp;기본정보!C$6</f>
        <v xml:space="preserve">○ 제작회사 : </v>
      </c>
    </row>
    <row r="8" spans="1:12" ht="15" customHeight="1">
      <c r="E8" s="53" t="str">
        <f>"○ 형식 : "&amp;기본정보!C$7</f>
        <v xml:space="preserve">○ 형식 : </v>
      </c>
    </row>
    <row r="9" spans="1:12" ht="15" customHeight="1">
      <c r="E9" s="53" t="str">
        <f>"○ 기기번호 : "&amp;기본정보!C$8</f>
        <v xml:space="preserve">○ 기기번호 : </v>
      </c>
    </row>
    <row r="11" spans="1:12" ht="15" customHeight="1">
      <c r="E11" s="38" t="s">
        <v>84</v>
      </c>
    </row>
    <row r="12" spans="1:12" ht="15" customHeight="1">
      <c r="A12" s="44"/>
      <c r="B12" s="44"/>
      <c r="C12" s="44"/>
      <c r="D12" s="44"/>
      <c r="E12" s="328" t="s">
        <v>171</v>
      </c>
      <c r="F12" s="209" t="s">
        <v>175</v>
      </c>
      <c r="G12" s="209" t="s">
        <v>172</v>
      </c>
      <c r="H12" s="211" t="s">
        <v>177</v>
      </c>
    </row>
    <row r="13" spans="1:12" ht="15" customHeight="1">
      <c r="A13" s="44"/>
      <c r="B13" s="43"/>
      <c r="C13" s="43"/>
      <c r="D13" s="43"/>
      <c r="E13" s="329"/>
      <c r="F13" s="224" t="str">
        <f>"("&amp;Calcu!F3&amp;")"</f>
        <v>(0)</v>
      </c>
      <c r="G13" s="218" t="str">
        <f>F13</f>
        <v>(0)</v>
      </c>
      <c r="H13" s="218" t="str">
        <f>G13</f>
        <v>(0)</v>
      </c>
    </row>
    <row r="14" spans="1:12" ht="15" customHeight="1">
      <c r="A14" s="44"/>
      <c r="B14" s="43"/>
      <c r="C14" s="43"/>
      <c r="D14" s="43"/>
      <c r="E14" s="217" t="s">
        <v>173</v>
      </c>
      <c r="F14" s="210" t="e">
        <f ca="1">Calcu!Y9</f>
        <v>#DIV/0!</v>
      </c>
      <c r="G14" s="210" t="e">
        <f ca="1">Calcu!Z9</f>
        <v>#DIV/0!</v>
      </c>
      <c r="H14" s="210" t="e">
        <f ca="1">Calcu!S23</f>
        <v>#DIV/0!</v>
      </c>
    </row>
    <row r="15" spans="1:12" ht="15" customHeight="1">
      <c r="A15" s="44"/>
      <c r="B15" s="43"/>
      <c r="C15" s="43"/>
      <c r="D15" s="43"/>
      <c r="E15" s="52" t="e">
        <f>IF(Calcu!E33="사다리꼴","※ 신뢰수준 95 %,","※ 신뢰수준 약 95 %,")</f>
        <v>#DIV/0!</v>
      </c>
      <c r="F15" s="195" t="e">
        <f ca="1">Calcu!E34&amp;IF(Calcu!E33="사다리꼴",", 사다리꼴 확률분포","")</f>
        <v>#DIV/0!</v>
      </c>
    </row>
    <row r="16" spans="1:12" ht="15" customHeight="1">
      <c r="A16" s="44"/>
      <c r="B16" s="43"/>
      <c r="C16" s="43"/>
      <c r="D16" s="43"/>
      <c r="E16" s="43"/>
      <c r="F16" s="43"/>
      <c r="G16" s="43"/>
      <c r="H16" s="43"/>
    </row>
    <row r="17" spans="1:9" ht="15" customHeight="1">
      <c r="A17" s="44"/>
      <c r="B17" s="43"/>
      <c r="C17" s="43"/>
      <c r="D17" s="43"/>
      <c r="E17" s="328" t="s">
        <v>171</v>
      </c>
      <c r="F17" s="209" t="s">
        <v>176</v>
      </c>
      <c r="G17" s="209" t="s">
        <v>172</v>
      </c>
      <c r="H17" s="211" t="s">
        <v>177</v>
      </c>
    </row>
    <row r="18" spans="1:9" ht="15" customHeight="1">
      <c r="A18" s="44"/>
      <c r="B18" s="43"/>
      <c r="C18" s="43"/>
      <c r="D18" s="43"/>
      <c r="E18" s="329"/>
      <c r="F18" s="218" t="str">
        <f>F13</f>
        <v>(0)</v>
      </c>
      <c r="G18" s="218" t="str">
        <f>F18</f>
        <v>(0)</v>
      </c>
      <c r="H18" s="218" t="str">
        <f>G18</f>
        <v>(0)</v>
      </c>
    </row>
    <row r="19" spans="1:9" ht="15" customHeight="1">
      <c r="A19" s="44"/>
      <c r="B19" s="43"/>
      <c r="C19" s="43"/>
      <c r="D19" s="43"/>
      <c r="E19" s="217" t="s">
        <v>174</v>
      </c>
      <c r="F19" s="210" t="e">
        <f ca="1">Calcu!Y42</f>
        <v>#DIV/0!</v>
      </c>
      <c r="G19" s="210" t="e">
        <f ca="1">Calcu!Z42</f>
        <v>#DIV/0!</v>
      </c>
      <c r="H19" s="210" t="e">
        <f ca="1">Calcu!S59</f>
        <v>#DIV/0!</v>
      </c>
    </row>
    <row r="20" spans="1:9" ht="15" customHeight="1">
      <c r="A20" s="44"/>
      <c r="E20" s="52" t="e">
        <f ca="1">IF(Calcu!E69="사다리꼴","※ 신뢰수준 95 %,","※ 신뢰수준 약 95 %,")</f>
        <v>#DIV/0!</v>
      </c>
      <c r="F20" s="195" t="e">
        <f ca="1">Calcu!E70&amp;IF(Calcu!E69="사다리꼴",", 사다리꼴 확률분포","")</f>
        <v>#DIV/0!</v>
      </c>
    </row>
    <row r="21" spans="1:9" ht="15" customHeight="1">
      <c r="E21" s="73"/>
      <c r="F21" s="73"/>
      <c r="G21" s="73"/>
      <c r="H21" s="73"/>
      <c r="I21" s="74"/>
    </row>
  </sheetData>
  <mergeCells count="3">
    <mergeCell ref="E17:E18"/>
    <mergeCell ref="A1:L2"/>
    <mergeCell ref="E12:E13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58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2.77734375" style="37" customWidth="1"/>
    <col min="5" max="5" width="11.77734375" style="37" customWidth="1"/>
    <col min="6" max="7" width="15.77734375" style="37" customWidth="1"/>
    <col min="8" max="8" width="17.33203125" style="37" bestFit="1" customWidth="1"/>
    <col min="9" max="12" width="2.77734375" style="37" customWidth="1"/>
    <col min="13" max="13" width="4.33203125" style="37" customWidth="1"/>
    <col min="14" max="16384" width="10.77734375" style="37"/>
  </cols>
  <sheetData>
    <row r="1" spans="1:13" s="79" customFormat="1" ht="33" customHeight="1">
      <c r="A1" s="331" t="s">
        <v>58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</row>
    <row r="2" spans="1:13" s="79" customFormat="1" ht="33" customHeight="1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</row>
    <row r="3" spans="1:13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</row>
    <row r="4" spans="1:13" s="49" customFormat="1" ht="13.5" customHeight="1">
      <c r="A4" s="78" t="str">
        <f>" 교   정   번   호(Calibration No) : "&amp;기본정보!H3</f>
        <v xml:space="preserve"> 교   정   번   호(Calibration No) : </v>
      </c>
      <c r="B4" s="78"/>
      <c r="C4" s="89"/>
      <c r="D4" s="189"/>
      <c r="E4" s="89"/>
      <c r="F4" s="77"/>
      <c r="G4" s="77"/>
      <c r="H4" s="77"/>
      <c r="I4" s="76"/>
      <c r="J4" s="91"/>
      <c r="K4" s="91"/>
      <c r="L4" s="75"/>
    </row>
    <row r="5" spans="1:13" s="36" customFormat="1" ht="15" customHeight="1"/>
    <row r="6" spans="1:13" ht="15" customHeight="1">
      <c r="E6" s="53" t="str">
        <f>"○ Description : "&amp;기본정보!C$5</f>
        <v xml:space="preserve">○ Description : </v>
      </c>
    </row>
    <row r="7" spans="1:13" ht="15" customHeight="1">
      <c r="E7" s="53" t="str">
        <f>"○ Manufacturer  : "&amp;기본정보!C$6</f>
        <v xml:space="preserve">○ Manufacturer  : </v>
      </c>
    </row>
    <row r="8" spans="1:13" ht="15" customHeight="1">
      <c r="E8" s="53" t="str">
        <f>"○ Model Name : "&amp;기본정보!C$7</f>
        <v xml:space="preserve">○ Model Name : </v>
      </c>
    </row>
    <row r="9" spans="1:13" ht="15" customHeight="1">
      <c r="E9" s="53" t="str">
        <f>"○ Serial Number : "&amp;기본정보!C$8</f>
        <v xml:space="preserve">○ Serial Number : </v>
      </c>
    </row>
    <row r="11" spans="1:13" ht="15" customHeight="1">
      <c r="E11" s="38" t="s">
        <v>82</v>
      </c>
    </row>
    <row r="12" spans="1:13" ht="15" customHeight="1">
      <c r="A12" s="44"/>
      <c r="B12" s="44"/>
      <c r="C12" s="44"/>
      <c r="D12" s="44"/>
      <c r="E12" s="328" t="s">
        <v>181</v>
      </c>
      <c r="F12" s="211" t="s">
        <v>178</v>
      </c>
      <c r="G12" s="211" t="s">
        <v>179</v>
      </c>
      <c r="H12" s="211" t="s">
        <v>180</v>
      </c>
      <c r="M12" s="44"/>
    </row>
    <row r="13" spans="1:13" ht="15" customHeight="1">
      <c r="A13" s="44"/>
      <c r="B13" s="43"/>
      <c r="C13" s="43"/>
      <c r="D13" s="43"/>
      <c r="E13" s="329"/>
      <c r="F13" s="224" t="str">
        <f>"("&amp;Calcu!F3&amp;")"</f>
        <v>(0)</v>
      </c>
      <c r="G13" s="218" t="str">
        <f>F13</f>
        <v>(0)</v>
      </c>
      <c r="H13" s="218" t="str">
        <f>G13</f>
        <v>(0)</v>
      </c>
      <c r="M13" s="44"/>
    </row>
    <row r="14" spans="1:13" ht="15" customHeight="1">
      <c r="A14" s="44"/>
      <c r="B14" s="43"/>
      <c r="C14" s="43"/>
      <c r="D14" s="43"/>
      <c r="E14" s="217" t="s">
        <v>182</v>
      </c>
      <c r="F14" s="210" t="e">
        <f ca="1">Calcu!Y9</f>
        <v>#DIV/0!</v>
      </c>
      <c r="G14" s="210" t="e">
        <f ca="1">Calcu!Z9</f>
        <v>#DIV/0!</v>
      </c>
      <c r="H14" s="210" t="e">
        <f ca="1">Calcu!T23</f>
        <v>#DIV/0!</v>
      </c>
      <c r="M14" s="44"/>
    </row>
    <row r="15" spans="1:13" ht="15" customHeight="1">
      <c r="A15" s="44"/>
      <c r="B15" s="43"/>
      <c r="C15" s="43"/>
      <c r="D15" s="43"/>
      <c r="F15" s="52" t="e">
        <f>IF(Calcu!E33="사다리꼴","※ Confidence level 95 %,","※ Confidence level about 95 %,")</f>
        <v>#DIV/0!</v>
      </c>
      <c r="G15" s="195" t="e">
        <f ca="1">Calcu!E34&amp;IF(Calcu!E33="사다리꼴",", ※ Trapezoid probability distribution.","")</f>
        <v>#DIV/0!</v>
      </c>
      <c r="M15" s="44"/>
    </row>
    <row r="16" spans="1:13" ht="15" customHeight="1">
      <c r="A16" s="44"/>
      <c r="B16" s="43"/>
      <c r="C16" s="43"/>
      <c r="D16" s="43"/>
      <c r="E16" s="43"/>
      <c r="F16" s="43"/>
      <c r="G16" s="43"/>
      <c r="H16" s="43"/>
      <c r="M16" s="44"/>
    </row>
    <row r="17" spans="1:13" ht="15" customHeight="1">
      <c r="A17" s="44"/>
      <c r="B17" s="43"/>
      <c r="C17" s="43"/>
      <c r="D17" s="43"/>
      <c r="E17" s="328" t="s">
        <v>181</v>
      </c>
      <c r="F17" s="211" t="s">
        <v>178</v>
      </c>
      <c r="G17" s="211" t="s">
        <v>179</v>
      </c>
      <c r="H17" s="211" t="s">
        <v>180</v>
      </c>
      <c r="M17" s="44"/>
    </row>
    <row r="18" spans="1:13" ht="15" customHeight="1">
      <c r="A18" s="44"/>
      <c r="B18" s="43"/>
      <c r="C18" s="43"/>
      <c r="D18" s="43"/>
      <c r="E18" s="329"/>
      <c r="F18" s="218" t="str">
        <f>F13</f>
        <v>(0)</v>
      </c>
      <c r="G18" s="218" t="str">
        <f>F18</f>
        <v>(0)</v>
      </c>
      <c r="H18" s="218" t="str">
        <f>G18</f>
        <v>(0)</v>
      </c>
      <c r="M18" s="44"/>
    </row>
    <row r="19" spans="1:13" ht="15" customHeight="1">
      <c r="A19" s="44"/>
      <c r="B19" s="43"/>
      <c r="C19" s="43"/>
      <c r="D19" s="43"/>
      <c r="E19" s="217" t="s">
        <v>183</v>
      </c>
      <c r="F19" s="210" t="e">
        <f ca="1">Calcu!Y42</f>
        <v>#DIV/0!</v>
      </c>
      <c r="G19" s="210" t="e">
        <f ca="1">Calcu!Z42</f>
        <v>#DIV/0!</v>
      </c>
      <c r="H19" s="210" t="e">
        <f ca="1">Calcu!T59</f>
        <v>#DIV/0!</v>
      </c>
      <c r="M19" s="44"/>
    </row>
    <row r="20" spans="1:13" ht="15" customHeight="1">
      <c r="A20" s="44"/>
      <c r="F20" s="52" t="e">
        <f ca="1">IF(Calcu!E69="사다리꼴","※ Confidence level 95 %,","※ Confidence level about 95 %,")</f>
        <v>#DIV/0!</v>
      </c>
      <c r="G20" s="195" t="e">
        <f ca="1">Calcu!E70&amp;IF(Calcu!E69="사다리꼴",", ※ Trapezoid probability distribution.","")</f>
        <v>#DIV/0!</v>
      </c>
      <c r="M20" s="44"/>
    </row>
    <row r="21" spans="1:13" ht="15" customHeight="1">
      <c r="E21" s="73"/>
      <c r="F21" s="73"/>
      <c r="G21" s="73"/>
      <c r="H21" s="73"/>
      <c r="I21" s="74"/>
      <c r="M21" s="44"/>
    </row>
    <row r="22" spans="1:13" ht="15" customHeight="1">
      <c r="M22" s="44"/>
    </row>
    <row r="23" spans="1:13" ht="15" customHeight="1">
      <c r="M23" s="44"/>
    </row>
    <row r="24" spans="1:13" ht="15" customHeight="1">
      <c r="M24" s="44"/>
    </row>
    <row r="25" spans="1:13" ht="15" customHeight="1">
      <c r="M25" s="44"/>
    </row>
    <row r="26" spans="1:13" ht="15" customHeight="1">
      <c r="M26" s="44"/>
    </row>
    <row r="27" spans="1:13" ht="15" customHeight="1">
      <c r="M27" s="44"/>
    </row>
    <row r="28" spans="1:13" ht="15" customHeight="1">
      <c r="M28" s="44"/>
    </row>
    <row r="29" spans="1:13" ht="15" customHeight="1">
      <c r="M29" s="44"/>
    </row>
    <row r="30" spans="1:13" ht="15" customHeight="1">
      <c r="M30" s="44"/>
    </row>
    <row r="31" spans="1:13" ht="15" customHeight="1">
      <c r="M31" s="44"/>
    </row>
    <row r="32" spans="1:13" ht="15" customHeight="1">
      <c r="M32" s="44"/>
    </row>
    <row r="33" spans="13:13" ht="15" customHeight="1">
      <c r="M33" s="44"/>
    </row>
    <row r="34" spans="13:13" ht="15" customHeight="1">
      <c r="M34" s="44"/>
    </row>
    <row r="35" spans="13:13" ht="15" customHeight="1">
      <c r="M35" s="44"/>
    </row>
    <row r="36" spans="13:13" ht="15" customHeight="1">
      <c r="M36" s="44"/>
    </row>
    <row r="37" spans="13:13" ht="15" customHeight="1">
      <c r="M37" s="44"/>
    </row>
    <row r="38" spans="13:13" ht="15" customHeight="1">
      <c r="M38" s="44"/>
    </row>
    <row r="39" spans="13:13" ht="15" customHeight="1">
      <c r="M39" s="44"/>
    </row>
    <row r="40" spans="13:13" ht="15" customHeight="1">
      <c r="M40" s="44"/>
    </row>
    <row r="41" spans="13:13" ht="15" customHeight="1">
      <c r="M41" s="44"/>
    </row>
    <row r="42" spans="13:13" ht="15" customHeight="1">
      <c r="M42" s="44"/>
    </row>
    <row r="43" spans="13:13" ht="15" customHeight="1">
      <c r="M43" s="44"/>
    </row>
    <row r="44" spans="13:13" ht="15" customHeight="1">
      <c r="M44" s="44"/>
    </row>
    <row r="45" spans="13:13" ht="15" customHeight="1">
      <c r="M45" s="44"/>
    </row>
    <row r="46" spans="13:13" ht="15" customHeight="1">
      <c r="M46" s="44"/>
    </row>
    <row r="47" spans="13:13" ht="15" customHeight="1">
      <c r="M47" s="44"/>
    </row>
    <row r="48" spans="13:13" ht="15" customHeight="1">
      <c r="M48" s="44"/>
    </row>
    <row r="49" spans="13:13" ht="15" customHeight="1">
      <c r="M49" s="44"/>
    </row>
    <row r="50" spans="13:13" ht="15" customHeight="1">
      <c r="M50" s="44"/>
    </row>
    <row r="51" spans="13:13" ht="15" customHeight="1">
      <c r="M51" s="44"/>
    </row>
    <row r="52" spans="13:13" ht="15" customHeight="1">
      <c r="M52" s="44"/>
    </row>
    <row r="53" spans="13:13" ht="15" customHeight="1">
      <c r="M53" s="44"/>
    </row>
    <row r="54" spans="13:13" ht="15" customHeight="1">
      <c r="M54" s="44"/>
    </row>
    <row r="55" spans="13:13" ht="15" customHeight="1">
      <c r="M55" s="44"/>
    </row>
    <row r="56" spans="13:13" ht="15" customHeight="1">
      <c r="M56" s="44"/>
    </row>
    <row r="57" spans="13:13" ht="15" customHeight="1">
      <c r="M57" s="44"/>
    </row>
    <row r="58" spans="13:13" ht="15" customHeight="1">
      <c r="M58" s="44"/>
    </row>
  </sheetData>
  <mergeCells count="3">
    <mergeCell ref="E17:E18"/>
    <mergeCell ref="A1:L2"/>
    <mergeCell ref="E12:E13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4" width="1.77734375" style="37" hidden="1" customWidth="1"/>
    <col min="5" max="5" width="11.44140625" style="37" bestFit="1" customWidth="1"/>
    <col min="6" max="6" width="9.2187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6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30" t="s">
        <v>547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</row>
    <row r="2" spans="1:17" s="47" customFormat="1" ht="33" customHeight="1">
      <c r="A2" s="330"/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</row>
    <row r="3" spans="1:17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259" t="str">
        <f>" 교   정   번   호(Calibration No) : "&amp;기본정보!H3</f>
        <v xml:space="preserve"> 교   정   번   호(Calibration No) : </v>
      </c>
      <c r="B4" s="259"/>
      <c r="C4" s="259"/>
      <c r="D4" s="259"/>
      <c r="E4" s="259"/>
      <c r="F4" s="260"/>
      <c r="G4" s="260"/>
      <c r="H4" s="260"/>
      <c r="I4" s="260"/>
      <c r="J4" s="260"/>
      <c r="K4" s="261"/>
      <c r="L4" s="262"/>
      <c r="M4" s="263"/>
      <c r="N4" s="263"/>
      <c r="O4" s="263"/>
      <c r="P4" s="263"/>
      <c r="Q4" s="263"/>
    </row>
    <row r="5" spans="1:17" s="36" customFormat="1" ht="15" customHeight="1"/>
    <row r="6" spans="1:17" ht="15" customHeight="1">
      <c r="E6" s="53" t="str">
        <f>"○ 품명 : "&amp;기본정보!C$5</f>
        <v xml:space="preserve">○ 품명 : </v>
      </c>
      <c r="G6" s="53"/>
    </row>
    <row r="7" spans="1:17" ht="15" customHeight="1">
      <c r="E7" s="53" t="str">
        <f>"○ 제작회사 : "&amp;기본정보!C$6</f>
        <v xml:space="preserve">○ 제작회사 : </v>
      </c>
      <c r="G7" s="53"/>
    </row>
    <row r="8" spans="1:17" ht="15" customHeight="1">
      <c r="E8" s="53" t="str">
        <f>"○ 형식 : "&amp;기본정보!C$7</f>
        <v xml:space="preserve">○ 형식 : </v>
      </c>
      <c r="G8" s="53"/>
    </row>
    <row r="9" spans="1:17" ht="15" customHeight="1">
      <c r="E9" s="53" t="str">
        <f>"○ 기기번호 : "&amp;기본정보!C$8</f>
        <v xml:space="preserve">○ 기기번호 : </v>
      </c>
      <c r="G9" s="53"/>
    </row>
    <row r="11" spans="1:17" ht="15" customHeight="1">
      <c r="E11" s="38" t="s">
        <v>84</v>
      </c>
      <c r="G11" s="38"/>
    </row>
    <row r="12" spans="1:17" ht="15" customHeight="1">
      <c r="A12" s="44"/>
      <c r="B12" s="44"/>
      <c r="C12" s="44"/>
      <c r="D12" s="44"/>
      <c r="E12" s="44"/>
    </row>
    <row r="13" spans="1:17" s="264" customFormat="1" ht="15" customHeight="1">
      <c r="B13" s="337"/>
      <c r="C13" s="339"/>
      <c r="D13" s="339"/>
      <c r="E13" s="341" t="s">
        <v>557</v>
      </c>
      <c r="F13" s="343" t="s">
        <v>548</v>
      </c>
      <c r="G13" s="345" t="s">
        <v>549</v>
      </c>
      <c r="H13" s="347" t="s">
        <v>550</v>
      </c>
      <c r="I13" s="349"/>
      <c r="J13" s="350" t="s">
        <v>551</v>
      </c>
      <c r="K13" s="350"/>
      <c r="L13" s="350"/>
      <c r="M13" s="332" t="s">
        <v>552</v>
      </c>
      <c r="N13" s="332"/>
      <c r="O13" s="332"/>
      <c r="P13" s="333"/>
      <c r="Q13" s="335" t="s">
        <v>553</v>
      </c>
    </row>
    <row r="14" spans="1:17" s="265" customFormat="1" ht="15" customHeight="1">
      <c r="B14" s="338"/>
      <c r="C14" s="340"/>
      <c r="D14" s="340"/>
      <c r="E14" s="342"/>
      <c r="F14" s="344"/>
      <c r="G14" s="346"/>
      <c r="H14" s="348"/>
      <c r="I14" s="340"/>
      <c r="J14" s="267" t="s">
        <v>560</v>
      </c>
      <c r="K14" s="268" t="s">
        <v>561</v>
      </c>
      <c r="L14" s="268" t="s">
        <v>562</v>
      </c>
      <c r="M14" s="267" t="s">
        <v>563</v>
      </c>
      <c r="N14" s="268" t="s">
        <v>561</v>
      </c>
      <c r="O14" s="268" t="s">
        <v>564</v>
      </c>
      <c r="P14" s="334"/>
      <c r="Q14" s="336"/>
    </row>
    <row r="15" spans="1:17" ht="15" customHeight="1">
      <c r="A15" s="44"/>
      <c r="B15" s="43"/>
      <c r="C15" s="43"/>
      <c r="D15" s="43"/>
      <c r="E15" s="37" t="s">
        <v>558</v>
      </c>
      <c r="F15" s="50" t="e">
        <f ca="1">Calcu!Y9</f>
        <v>#DIV/0!</v>
      </c>
      <c r="G15" s="50">
        <f>Calcu!Y8</f>
        <v>0</v>
      </c>
      <c r="H15" s="50" t="e">
        <f ca="1">Calcu!AB9</f>
        <v>#DIV/0!</v>
      </c>
      <c r="J15" s="37" t="e">
        <f ca="1">Calcu!Z9</f>
        <v>#DIV/0!</v>
      </c>
      <c r="K15" s="37" t="e">
        <f ca="1">Calcu!AA9</f>
        <v>#DIV/0!</v>
      </c>
      <c r="L15" s="37" t="e">
        <f ca="1">LEFT(Calcu!AC9)</f>
        <v>#DIV/0!</v>
      </c>
      <c r="M15" s="37" t="s">
        <v>554</v>
      </c>
      <c r="N15" s="37" t="s">
        <v>555</v>
      </c>
      <c r="O15" s="37" t="s">
        <v>555</v>
      </c>
      <c r="Q15" s="37" t="e">
        <f ca="1">Calcu!AD9</f>
        <v>#DIV/0!</v>
      </c>
    </row>
    <row r="16" spans="1:17" ht="15" customHeight="1">
      <c r="A16" s="44"/>
      <c r="B16" s="43"/>
      <c r="C16" s="43"/>
      <c r="D16" s="43"/>
      <c r="G16" s="52" t="e">
        <f>IF(Calcu!E33="사다리꼴","※ 신뢰수준 95 %,","※ 신뢰수준 약 95 %,")</f>
        <v>#DIV/0!</v>
      </c>
      <c r="H16" s="195" t="e">
        <f ca="1">Calcu!E34&amp;IF(Calcu!E33="사다리꼴",", 사다리꼴 확률분포","")</f>
        <v>#DIV/0!</v>
      </c>
    </row>
    <row r="17" spans="1:17" ht="15" customHeight="1">
      <c r="A17" s="44"/>
      <c r="B17" s="43"/>
      <c r="C17" s="43"/>
      <c r="D17" s="43"/>
      <c r="F17" s="50"/>
      <c r="G17" s="50"/>
      <c r="H17" s="50"/>
    </row>
    <row r="18" spans="1:17" ht="15" customHeight="1">
      <c r="A18" s="44"/>
      <c r="B18" s="43"/>
      <c r="C18" s="43"/>
      <c r="D18" s="43"/>
      <c r="E18" s="37" t="s">
        <v>559</v>
      </c>
      <c r="F18" s="50" t="e">
        <f ca="1">Calcu!Y42</f>
        <v>#DIV/0!</v>
      </c>
      <c r="G18" s="50">
        <f>Calcu!Y41</f>
        <v>0</v>
      </c>
      <c r="H18" s="50" t="e">
        <f ca="1">Calcu!AB42</f>
        <v>#DIV/0!</v>
      </c>
      <c r="J18" s="37" t="e">
        <f ca="1">Calcu!Z42</f>
        <v>#DIV/0!</v>
      </c>
      <c r="K18" s="37" t="e">
        <f ca="1">Calcu!AA42</f>
        <v>#DIV/0!</v>
      </c>
      <c r="L18" s="37" t="e">
        <f ca="1">LEFT(Calcu!AC42)</f>
        <v>#DIV/0!</v>
      </c>
      <c r="M18" s="37" t="s">
        <v>555</v>
      </c>
      <c r="N18" s="37" t="s">
        <v>556</v>
      </c>
      <c r="O18" s="37" t="s">
        <v>556</v>
      </c>
      <c r="Q18" s="37" t="e">
        <f ca="1">Calcu!AD42</f>
        <v>#DIV/0!</v>
      </c>
    </row>
    <row r="19" spans="1:17" ht="15" customHeight="1">
      <c r="A19" s="44"/>
      <c r="G19" s="52" t="e">
        <f ca="1">IF(Calcu!E69="사다리꼴","※ 신뢰수준 95 %,","※ 신뢰수준 약 95 %,")</f>
        <v>#DIV/0!</v>
      </c>
      <c r="H19" s="195" t="e">
        <f ca="1">Calcu!E70&amp;IF(Calcu!E69="사다리꼴",", 사다리꼴 확률분포","")</f>
        <v>#DIV/0!</v>
      </c>
      <c r="K19" s="266"/>
      <c r="Q19" s="52"/>
    </row>
    <row r="20" spans="1:17" ht="15" customHeight="1"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4"/>
    </row>
  </sheetData>
  <mergeCells count="13">
    <mergeCell ref="M13:O13"/>
    <mergeCell ref="P13:P14"/>
    <mergeCell ref="Q13:Q14"/>
    <mergeCell ref="A1:Q2"/>
    <mergeCell ref="B13:B14"/>
    <mergeCell ref="C13:C14"/>
    <mergeCell ref="D13:D14"/>
    <mergeCell ref="E13:E14"/>
    <mergeCell ref="F13:F14"/>
    <mergeCell ref="G13:G14"/>
    <mergeCell ref="H13:H14"/>
    <mergeCell ref="I13:I14"/>
    <mergeCell ref="J13:L13"/>
  </mergeCells>
  <phoneticPr fontId="4" type="noConversion"/>
  <printOptions horizontalCentered="1"/>
  <pageMargins left="0" right="0" top="0.35433070866141736" bottom="0.59055118110236227" header="0" footer="0"/>
  <pageSetup paperSize="9" scale="91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3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2.77734375" style="37" customWidth="1"/>
    <col min="5" max="9" width="11.77734375" style="37" customWidth="1"/>
    <col min="10" max="11" width="3.77734375" style="37" customWidth="1"/>
    <col min="12" max="12" width="3.77734375" style="92" customWidth="1"/>
    <col min="13" max="13" width="6.77734375" style="103" customWidth="1"/>
    <col min="14" max="16384" width="10.77734375" style="92"/>
  </cols>
  <sheetData>
    <row r="1" spans="1:13" s="79" customFormat="1" ht="33" customHeight="1">
      <c r="A1" s="351" t="s">
        <v>73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81"/>
    </row>
    <row r="2" spans="1:13" s="79" customFormat="1" ht="33" customHeight="1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81"/>
    </row>
    <row r="3" spans="1:13" s="79" customFormat="1" ht="12.75" customHeight="1">
      <c r="A3" s="48"/>
      <c r="B3" s="48"/>
      <c r="C3" s="48"/>
      <c r="D3" s="22"/>
      <c r="E3" s="22"/>
      <c r="F3" s="22"/>
      <c r="G3" s="22"/>
      <c r="H3" s="22"/>
      <c r="I3" s="22"/>
      <c r="J3" s="22"/>
      <c r="K3" s="22"/>
      <c r="L3" s="80"/>
      <c r="M3" s="102"/>
    </row>
    <row r="4" spans="1:13" s="81" customFormat="1" ht="13.5" customHeight="1">
      <c r="A4" s="89"/>
      <c r="B4" s="89"/>
      <c r="C4" s="89"/>
      <c r="D4" s="90"/>
      <c r="E4" s="90"/>
      <c r="F4" s="98"/>
      <c r="G4" s="90"/>
      <c r="H4" s="90"/>
      <c r="I4" s="99"/>
      <c r="J4" s="91"/>
      <c r="K4" s="98"/>
      <c r="L4" s="89"/>
      <c r="M4" s="36"/>
    </row>
    <row r="5" spans="1:13" s="82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4" customFormat="1" ht="15" customHeight="1">
      <c r="A6" s="43"/>
      <c r="D6" s="43"/>
      <c r="E6" s="38" t="s">
        <v>115</v>
      </c>
      <c r="F6" s="37"/>
      <c r="G6" s="51"/>
      <c r="H6" s="51"/>
      <c r="I6" s="51"/>
      <c r="J6" s="50"/>
      <c r="K6" s="37"/>
      <c r="L6" s="93"/>
    </row>
    <row r="7" spans="1:13" s="37" customFormat="1" ht="15" customHeight="1">
      <c r="A7" s="44"/>
      <c r="B7" s="44"/>
      <c r="C7" s="44"/>
      <c r="D7" s="44"/>
      <c r="E7" s="328" t="s">
        <v>152</v>
      </c>
      <c r="F7" s="211" t="s">
        <v>175</v>
      </c>
      <c r="G7" s="131" t="s">
        <v>91</v>
      </c>
      <c r="H7" s="212" t="s">
        <v>90</v>
      </c>
      <c r="I7" s="352" t="s">
        <v>92</v>
      </c>
    </row>
    <row r="8" spans="1:13" s="37" customFormat="1" ht="15" customHeight="1">
      <c r="A8" s="44"/>
      <c r="B8" s="43"/>
      <c r="C8" s="43"/>
      <c r="D8" s="43"/>
      <c r="E8" s="329"/>
      <c r="F8" s="224" t="str">
        <f>"("&amp;Calcu!F3&amp;")"</f>
        <v>(0)</v>
      </c>
      <c r="G8" s="218" t="str">
        <f>F8</f>
        <v>(0)</v>
      </c>
      <c r="H8" s="225" t="str">
        <f>G8</f>
        <v>(0)</v>
      </c>
      <c r="I8" s="353"/>
    </row>
    <row r="9" spans="1:13" s="37" customFormat="1" ht="15" customHeight="1">
      <c r="A9" s="44"/>
      <c r="B9" s="43"/>
      <c r="C9" s="43"/>
      <c r="D9" s="43"/>
      <c r="E9" s="217" t="s">
        <v>173</v>
      </c>
      <c r="F9" s="210" t="e">
        <f ca="1">Calcu!Y9</f>
        <v>#DIV/0!</v>
      </c>
      <c r="G9" s="210" t="e">
        <f ca="1">Calcu!Z9</f>
        <v>#DIV/0!</v>
      </c>
      <c r="H9" s="210" t="e">
        <f ca="1">Calcu!AB9</f>
        <v>#DIV/0!</v>
      </c>
      <c r="I9" s="210" t="e">
        <f ca="1">Calcu!AC9</f>
        <v>#DIV/0!</v>
      </c>
    </row>
    <row r="10" spans="1:13" s="37" customFormat="1" ht="15" customHeight="1">
      <c r="A10" s="44"/>
      <c r="B10" s="43"/>
      <c r="C10" s="43"/>
      <c r="D10" s="43"/>
      <c r="E10" s="217" t="s">
        <v>174</v>
      </c>
      <c r="F10" s="210" t="e">
        <f ca="1">Calcu!Y42</f>
        <v>#DIV/0!</v>
      </c>
      <c r="G10" s="210" t="e">
        <f ca="1">Calcu!Z42</f>
        <v>#DIV/0!</v>
      </c>
      <c r="H10" s="210" t="e">
        <f ca="1">Calcu!AB42</f>
        <v>#DIV/0!</v>
      </c>
      <c r="I10" s="210" t="e">
        <f ca="1">Calcu!AC42</f>
        <v>#DIV/0!</v>
      </c>
    </row>
    <row r="11" spans="1:13" ht="15" customHeight="1">
      <c r="B11" s="92"/>
      <c r="C11" s="92"/>
      <c r="E11" s="73"/>
      <c r="F11" s="104"/>
      <c r="G11" s="104"/>
      <c r="H11" s="104"/>
      <c r="I11" s="104"/>
      <c r="J11" s="73"/>
      <c r="K11" s="103"/>
      <c r="M11" s="92"/>
    </row>
    <row r="12" spans="1:13" ht="15" customHeight="1">
      <c r="J12" s="92"/>
      <c r="K12" s="103"/>
      <c r="M12" s="92"/>
    </row>
    <row r="13" spans="1:13" ht="15" customHeight="1">
      <c r="J13" s="92"/>
      <c r="K13" s="103"/>
      <c r="M13" s="92"/>
    </row>
  </sheetData>
  <mergeCells count="3">
    <mergeCell ref="A1:L2"/>
    <mergeCell ref="E7:E8"/>
    <mergeCell ref="I7:I8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2" customWidth="1"/>
    <col min="13" max="16384" width="10.77734375" style="84"/>
  </cols>
  <sheetData>
    <row r="1" spans="1:12" s="79" customFormat="1" ht="33" customHeight="1">
      <c r="A1" s="351" t="s">
        <v>59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</row>
    <row r="2" spans="1:12" s="79" customFormat="1" ht="33" customHeight="1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</row>
    <row r="3" spans="1:12" s="79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80"/>
    </row>
    <row r="4" spans="1:12" s="81" customFormat="1" ht="13.5" customHeight="1">
      <c r="A4" s="89"/>
      <c r="B4" s="89"/>
      <c r="C4" s="90"/>
      <c r="D4" s="90"/>
      <c r="E4" s="98"/>
      <c r="F4" s="90"/>
      <c r="G4" s="90"/>
      <c r="H4" s="99"/>
      <c r="I4" s="91"/>
      <c r="J4" s="98"/>
      <c r="K4" s="98"/>
      <c r="L4" s="89"/>
    </row>
    <row r="5" spans="1:12" s="83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2"/>
    </row>
    <row r="6" spans="1:12" s="37" customFormat="1" ht="15" customHeight="1">
      <c r="C6" s="53" t="str">
        <f>"○ 품명 : "&amp;기본정보!C$5</f>
        <v xml:space="preserve">○ 품명 : </v>
      </c>
      <c r="L6" s="92"/>
    </row>
    <row r="7" spans="1:12" s="37" customFormat="1" ht="15" customHeight="1">
      <c r="C7" s="53" t="str">
        <f>"○ 제작회사 : "&amp;기본정보!C$6</f>
        <v xml:space="preserve">○ 제작회사 : </v>
      </c>
      <c r="L7" s="92"/>
    </row>
    <row r="8" spans="1:12" s="37" customFormat="1" ht="15" customHeight="1">
      <c r="C8" s="53" t="str">
        <f>"○ 형식 : "&amp;기본정보!C$7</f>
        <v xml:space="preserve">○ 형식 : </v>
      </c>
      <c r="L8" s="92"/>
    </row>
    <row r="9" spans="1:12" s="37" customFormat="1" ht="15" customHeight="1">
      <c r="C9" s="53" t="str">
        <f>"○ 기기번호 : "&amp;기본정보!C$8</f>
        <v xml:space="preserve">○ 기기번호 : </v>
      </c>
      <c r="L9" s="92"/>
    </row>
    <row r="10" spans="1:12" s="37" customFormat="1" ht="15" customHeight="1">
      <c r="L10" s="92"/>
    </row>
    <row r="11" spans="1:12" ht="15" customHeight="1">
      <c r="B11" s="73"/>
      <c r="C11" s="104"/>
      <c r="D11" s="104"/>
      <c r="E11" s="104"/>
      <c r="F11" s="104"/>
      <c r="G11" s="104"/>
      <c r="H11" s="105"/>
      <c r="I11" s="105"/>
      <c r="J11" s="104"/>
      <c r="K11" s="73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20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9" width="8.77734375" style="27" customWidth="1"/>
    <col min="10" max="10" width="8.77734375" style="45" customWidth="1"/>
    <col min="11" max="11" width="3.77734375" style="45" customWidth="1"/>
    <col min="12" max="12" width="10.44140625" style="45" customWidth="1"/>
    <col min="13" max="16" width="8.88671875" style="45" customWidth="1"/>
    <col min="17" max="19" width="8.88671875" style="45"/>
    <col min="20" max="16384" width="8.88671875" style="29"/>
  </cols>
  <sheetData>
    <row r="1" spans="1:30" s="66" customFormat="1" ht="25.5">
      <c r="A1" s="62" t="s">
        <v>170</v>
      </c>
      <c r="B1" s="31"/>
      <c r="C1" s="31"/>
      <c r="D1" s="31"/>
      <c r="E1" s="63"/>
      <c r="F1" s="27"/>
      <c r="G1" s="27"/>
      <c r="H1" s="27"/>
      <c r="I1" s="27"/>
      <c r="J1" s="27"/>
      <c r="K1" s="64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6"/>
      <c r="B3" s="213" t="s">
        <v>2</v>
      </c>
      <c r="C3" s="214">
        <f>기본정보!C3</f>
        <v>0</v>
      </c>
      <c r="D3" s="213" t="s">
        <v>85</v>
      </c>
      <c r="E3" s="356">
        <f>기본정보!H3</f>
        <v>0</v>
      </c>
      <c r="F3" s="357"/>
      <c r="G3" s="213" t="s">
        <v>89</v>
      </c>
      <c r="H3" s="215">
        <f>기본정보!H8</f>
        <v>0</v>
      </c>
      <c r="I3" s="25"/>
    </row>
    <row r="4" spans="1:30" s="28" customFormat="1" ht="15" customHeight="1">
      <c r="A4" s="46"/>
      <c r="B4" s="213" t="s">
        <v>32</v>
      </c>
      <c r="C4" s="216">
        <f>기본정보!C8</f>
        <v>0</v>
      </c>
      <c r="D4" s="213" t="s">
        <v>86</v>
      </c>
      <c r="E4" s="361">
        <f>기본정보!H4</f>
        <v>0</v>
      </c>
      <c r="F4" s="362"/>
      <c r="G4" s="213" t="s">
        <v>14</v>
      </c>
      <c r="H4" s="215">
        <f>기본정보!H9</f>
        <v>0</v>
      </c>
      <c r="I4" s="25"/>
    </row>
    <row r="5" spans="1:30" s="28" customFormat="1" ht="15" customHeight="1">
      <c r="A5" s="46"/>
      <c r="D5" s="25"/>
      <c r="E5" s="25"/>
      <c r="F5" s="25"/>
      <c r="G5" s="25"/>
      <c r="H5" s="25"/>
      <c r="I5" s="25"/>
    </row>
    <row r="6" spans="1:30" s="28" customFormat="1" ht="15" customHeight="1">
      <c r="A6" s="46"/>
      <c r="B6" s="46" t="s">
        <v>87</v>
      </c>
      <c r="D6" s="25"/>
      <c r="E6" s="25"/>
      <c r="F6" s="25"/>
      <c r="G6" s="25"/>
      <c r="H6" s="25"/>
      <c r="I6" s="25"/>
    </row>
    <row r="7" spans="1:30" s="28" customFormat="1" ht="15" customHeight="1">
      <c r="A7" s="46"/>
      <c r="B7" s="213" t="s">
        <v>166</v>
      </c>
      <c r="C7" s="213" t="s">
        <v>167</v>
      </c>
      <c r="D7" s="213" t="s">
        <v>106</v>
      </c>
      <c r="E7" s="213" t="s">
        <v>168</v>
      </c>
      <c r="F7" s="25"/>
      <c r="G7" s="25"/>
      <c r="H7" s="25"/>
      <c r="I7" s="25"/>
    </row>
    <row r="8" spans="1:30" s="28" customFormat="1" ht="15" customHeight="1">
      <c r="A8" s="46"/>
      <c r="B8" s="216">
        <f>Length_9!A12</f>
        <v>0</v>
      </c>
      <c r="C8" s="216">
        <f>Length_9!B12</f>
        <v>0</v>
      </c>
      <c r="D8" s="216">
        <f>Length_9!C12</f>
        <v>0</v>
      </c>
      <c r="E8" s="216">
        <f>Length_9!D12</f>
        <v>0</v>
      </c>
      <c r="F8" s="25"/>
      <c r="G8" s="25"/>
      <c r="H8" s="25"/>
      <c r="I8" s="25"/>
    </row>
    <row r="9" spans="1:30" s="28" customFormat="1" ht="15" customHeight="1">
      <c r="A9" s="46"/>
      <c r="B9" s="25"/>
      <c r="C9" s="25"/>
      <c r="D9" s="25"/>
      <c r="E9" s="25"/>
      <c r="F9" s="25"/>
      <c r="G9" s="25"/>
      <c r="H9" s="25"/>
      <c r="I9" s="25"/>
    </row>
    <row r="10" spans="1:30" s="28" customFormat="1" ht="15" customHeight="1">
      <c r="A10" s="46"/>
      <c r="B10" s="100" t="s">
        <v>88</v>
      </c>
      <c r="C10" s="25"/>
      <c r="D10" s="25"/>
      <c r="E10" s="25"/>
      <c r="F10" s="25"/>
      <c r="G10" s="25"/>
      <c r="H10" s="25"/>
      <c r="I10" s="25"/>
    </row>
    <row r="11" spans="1:30" ht="13.5" customHeight="1">
      <c r="A11" s="29"/>
      <c r="B11" s="101" t="s">
        <v>112</v>
      </c>
      <c r="F11" s="25"/>
      <c r="G11" s="25"/>
      <c r="H11" s="25"/>
      <c r="I11" s="25"/>
      <c r="J11" s="28"/>
      <c r="K11" s="28"/>
      <c r="L11" s="28"/>
      <c r="M11" s="28"/>
    </row>
    <row r="12" spans="1:30" ht="13.5" customHeight="1">
      <c r="B12" s="359" t="s">
        <v>152</v>
      </c>
      <c r="C12" s="359" t="s">
        <v>153</v>
      </c>
      <c r="D12" s="359" t="s">
        <v>153</v>
      </c>
      <c r="E12" s="359" t="s">
        <v>119</v>
      </c>
      <c r="F12" s="363" t="str">
        <f>Calcu!H6</f>
        <v>측정 투영기 지시값</v>
      </c>
      <c r="G12" s="364"/>
      <c r="H12" s="364"/>
      <c r="I12" s="364"/>
      <c r="J12" s="365"/>
      <c r="K12" s="25"/>
      <c r="L12" s="25"/>
      <c r="M12" s="28"/>
      <c r="N12" s="28"/>
      <c r="O12" s="28"/>
      <c r="P12" s="28"/>
      <c r="T12" s="45"/>
      <c r="U12" s="45"/>
      <c r="V12" s="45"/>
    </row>
    <row r="13" spans="1:30" ht="13.5" customHeight="1">
      <c r="B13" s="360"/>
      <c r="C13" s="360"/>
      <c r="D13" s="360"/>
      <c r="E13" s="360"/>
      <c r="F13" s="213" t="s">
        <v>127</v>
      </c>
      <c r="G13" s="213" t="s">
        <v>76</v>
      </c>
      <c r="H13" s="213" t="s">
        <v>77</v>
      </c>
      <c r="I13" s="213" t="s">
        <v>113</v>
      </c>
      <c r="J13" s="213" t="s">
        <v>114</v>
      </c>
      <c r="K13" s="25"/>
      <c r="L13" s="25"/>
      <c r="M13" s="28"/>
      <c r="N13" s="28"/>
      <c r="O13" s="28"/>
      <c r="P13" s="28"/>
      <c r="T13" s="45"/>
      <c r="U13" s="45"/>
      <c r="V13" s="45"/>
    </row>
    <row r="14" spans="1:30" ht="13.5" customHeight="1">
      <c r="B14" s="213"/>
      <c r="C14" s="213"/>
      <c r="D14" s="213"/>
      <c r="E14" s="213">
        <f>Calcu!G9</f>
        <v>0</v>
      </c>
      <c r="F14" s="213">
        <f t="shared" ref="F14:J14" si="0">E14</f>
        <v>0</v>
      </c>
      <c r="G14" s="213">
        <f t="shared" si="0"/>
        <v>0</v>
      </c>
      <c r="H14" s="213">
        <f t="shared" si="0"/>
        <v>0</v>
      </c>
      <c r="I14" s="213">
        <f t="shared" si="0"/>
        <v>0</v>
      </c>
      <c r="J14" s="213">
        <f t="shared" si="0"/>
        <v>0</v>
      </c>
      <c r="K14" s="25"/>
      <c r="L14" s="25"/>
      <c r="M14" s="28"/>
      <c r="N14" s="28"/>
      <c r="O14" s="28"/>
      <c r="P14" s="28"/>
      <c r="T14" s="45"/>
      <c r="U14" s="45"/>
      <c r="V14" s="45"/>
    </row>
    <row r="15" spans="1:30" ht="13.5" customHeight="1">
      <c r="B15" s="354">
        <f>Calcu!B9</f>
        <v>0</v>
      </c>
      <c r="C15" s="356">
        <f>Calcu!C9</f>
        <v>0</v>
      </c>
      <c r="D15" s="357"/>
      <c r="E15" s="216">
        <f>Calcu!F9</f>
        <v>0</v>
      </c>
      <c r="F15" s="214" t="str">
        <f ca="1">TEXT(Calcu!H9,Calcu!$Q$23)</f>
        <v>0</v>
      </c>
      <c r="G15" s="214" t="str">
        <f ca="1">TEXT(Calcu!I9,Calcu!$Q$23)</f>
        <v>0</v>
      </c>
      <c r="H15" s="214" t="str">
        <f ca="1">TEXT(Calcu!J9,Calcu!$Q$23)</f>
        <v>0</v>
      </c>
      <c r="I15" s="214" t="str">
        <f ca="1">TEXT(Calcu!K9,Calcu!$Q$23)</f>
        <v>0</v>
      </c>
      <c r="J15" s="214" t="str">
        <f ca="1">TEXT(Calcu!L9,Calcu!$Q$23)</f>
        <v>0</v>
      </c>
      <c r="K15" s="25"/>
      <c r="L15" s="25"/>
      <c r="M15" s="28"/>
      <c r="N15" s="28"/>
      <c r="O15" s="28"/>
      <c r="P15" s="28"/>
      <c r="T15" s="45"/>
      <c r="U15" s="45"/>
      <c r="V15" s="45"/>
    </row>
    <row r="16" spans="1:30" ht="13.5" customHeight="1">
      <c r="B16" s="355"/>
      <c r="C16" s="356">
        <f>Calcu!C10</f>
        <v>0</v>
      </c>
      <c r="D16" s="357"/>
      <c r="E16" s="216">
        <f>Calcu!F10</f>
        <v>0</v>
      </c>
      <c r="F16" s="214" t="str">
        <f ca="1">TEXT(Calcu!H10,Calcu!$Q$23)</f>
        <v>0</v>
      </c>
      <c r="G16" s="214" t="str">
        <f ca="1">TEXT(Calcu!I10,Calcu!$Q$23)</f>
        <v>0</v>
      </c>
      <c r="H16" s="214" t="str">
        <f ca="1">TEXT(Calcu!J10,Calcu!$Q$23)</f>
        <v>0</v>
      </c>
      <c r="I16" s="214" t="str">
        <f ca="1">TEXT(Calcu!K10,Calcu!$Q$23)</f>
        <v>0</v>
      </c>
      <c r="J16" s="214" t="str">
        <f ca="1">TEXT(Calcu!L10,Calcu!$Q$23)</f>
        <v>0</v>
      </c>
      <c r="K16" s="25"/>
      <c r="L16" s="25"/>
      <c r="M16" s="28"/>
      <c r="N16" s="28"/>
      <c r="O16" s="28"/>
      <c r="P16" s="28"/>
      <c r="T16" s="45"/>
      <c r="U16" s="45"/>
      <c r="V16" s="45"/>
    </row>
    <row r="17" spans="2:22" ht="13.5" customHeight="1">
      <c r="B17" s="354">
        <f>Calcu!B42</f>
        <v>0</v>
      </c>
      <c r="C17" s="354">
        <f>Calcu!C42</f>
        <v>0</v>
      </c>
      <c r="D17" s="216">
        <f>Calcu!D42</f>
        <v>0</v>
      </c>
      <c r="E17" s="216">
        <f>Calcu!F42</f>
        <v>0</v>
      </c>
      <c r="F17" s="214" t="str">
        <f ca="1">TEXT(Calcu!H42,Calcu!$Q$59)</f>
        <v>0</v>
      </c>
      <c r="G17" s="214" t="str">
        <f ca="1">TEXT(Calcu!I42,Calcu!$Q$59)</f>
        <v>0</v>
      </c>
      <c r="H17" s="214" t="str">
        <f ca="1">TEXT(Calcu!J42,Calcu!$Q$59)</f>
        <v>0</v>
      </c>
      <c r="I17" s="214" t="str">
        <f ca="1">TEXT(Calcu!K42,Calcu!$Q$59)</f>
        <v>0</v>
      </c>
      <c r="J17" s="214" t="str">
        <f ca="1">TEXT(Calcu!L42,Calcu!$Q$59)</f>
        <v>0</v>
      </c>
      <c r="K17" s="25"/>
      <c r="L17" s="25"/>
      <c r="M17" s="28"/>
      <c r="N17" s="28"/>
      <c r="O17" s="28"/>
      <c r="P17" s="28"/>
      <c r="T17" s="45"/>
      <c r="U17" s="45"/>
      <c r="V17" s="45"/>
    </row>
    <row r="18" spans="2:22" ht="13.5" customHeight="1">
      <c r="B18" s="358"/>
      <c r="C18" s="355"/>
      <c r="D18" s="216">
        <f>Calcu!D43</f>
        <v>0</v>
      </c>
      <c r="E18" s="216">
        <f>Calcu!F43</f>
        <v>0</v>
      </c>
      <c r="F18" s="214" t="str">
        <f ca="1">TEXT(Calcu!H43,Calcu!$Q$59)</f>
        <v>0</v>
      </c>
      <c r="G18" s="214" t="str">
        <f ca="1">TEXT(Calcu!I43,Calcu!$Q$59)</f>
        <v>0</v>
      </c>
      <c r="H18" s="214" t="str">
        <f ca="1">TEXT(Calcu!J43,Calcu!$Q$59)</f>
        <v>0</v>
      </c>
      <c r="I18" s="214" t="str">
        <f ca="1">TEXT(Calcu!K43,Calcu!$Q$59)</f>
        <v>0</v>
      </c>
      <c r="J18" s="214" t="str">
        <f ca="1">TEXT(Calcu!L43,Calcu!$Q$59)</f>
        <v>0</v>
      </c>
      <c r="K18" s="25"/>
      <c r="L18" s="25"/>
      <c r="M18" s="28"/>
      <c r="N18" s="28"/>
      <c r="O18" s="28"/>
      <c r="P18" s="28"/>
      <c r="T18" s="45"/>
      <c r="U18" s="45"/>
      <c r="V18" s="45"/>
    </row>
    <row r="19" spans="2:22" ht="13.5" customHeight="1">
      <c r="B19" s="358"/>
      <c r="C19" s="354">
        <f>Calcu!C44</f>
        <v>0</v>
      </c>
      <c r="D19" s="216">
        <f>Calcu!D44</f>
        <v>0</v>
      </c>
      <c r="E19" s="216">
        <f>Calcu!F44</f>
        <v>0</v>
      </c>
      <c r="F19" s="214" t="str">
        <f ca="1">TEXT(Calcu!H44,Calcu!$Q$59)</f>
        <v>0</v>
      </c>
      <c r="G19" s="214" t="str">
        <f ca="1">TEXT(Calcu!I44,Calcu!$Q$59)</f>
        <v>0</v>
      </c>
      <c r="H19" s="214" t="str">
        <f ca="1">TEXT(Calcu!J44,Calcu!$Q$59)</f>
        <v>0</v>
      </c>
      <c r="I19" s="214" t="str">
        <f ca="1">TEXT(Calcu!K44,Calcu!$Q$59)</f>
        <v>0</v>
      </c>
      <c r="J19" s="214" t="str">
        <f ca="1">TEXT(Calcu!L44,Calcu!$Q$59)</f>
        <v>0</v>
      </c>
      <c r="K19" s="25"/>
      <c r="L19" s="25"/>
      <c r="M19" s="28"/>
      <c r="N19" s="28"/>
      <c r="O19" s="28"/>
      <c r="P19" s="28"/>
      <c r="T19" s="45"/>
      <c r="U19" s="45"/>
      <c r="V19" s="45"/>
    </row>
    <row r="20" spans="2:22" ht="13.5" customHeight="1">
      <c r="B20" s="355"/>
      <c r="C20" s="355"/>
      <c r="D20" s="216">
        <f>Calcu!D45</f>
        <v>0</v>
      </c>
      <c r="E20" s="216">
        <f>Calcu!F45</f>
        <v>0</v>
      </c>
      <c r="F20" s="214" t="str">
        <f ca="1">TEXT(Calcu!H45,Calcu!$Q$59)</f>
        <v>0</v>
      </c>
      <c r="G20" s="214" t="str">
        <f ca="1">TEXT(Calcu!I45,Calcu!$Q$59)</f>
        <v>0</v>
      </c>
      <c r="H20" s="214" t="str">
        <f ca="1">TEXT(Calcu!J45,Calcu!$Q$59)</f>
        <v>0</v>
      </c>
      <c r="I20" s="214" t="str">
        <f ca="1">TEXT(Calcu!K45,Calcu!$Q$59)</f>
        <v>0</v>
      </c>
      <c r="J20" s="214" t="str">
        <f ca="1">TEXT(Calcu!L45,Calcu!$Q$59)</f>
        <v>0</v>
      </c>
      <c r="K20" s="25"/>
      <c r="L20" s="25"/>
      <c r="M20" s="28"/>
      <c r="N20" s="28"/>
      <c r="O20" s="28"/>
      <c r="P20" s="28"/>
      <c r="T20" s="45"/>
      <c r="U20" s="45"/>
      <c r="V20" s="45"/>
    </row>
  </sheetData>
  <sortState ref="T5:U14">
    <sortCondition descending="1" ref="T5"/>
  </sortState>
  <mergeCells count="13">
    <mergeCell ref="B12:B13"/>
    <mergeCell ref="E4:F4"/>
    <mergeCell ref="E3:F3"/>
    <mergeCell ref="C12:C13"/>
    <mergeCell ref="D12:D13"/>
    <mergeCell ref="E12:E13"/>
    <mergeCell ref="F12:J12"/>
    <mergeCell ref="B15:B16"/>
    <mergeCell ref="C15:D15"/>
    <mergeCell ref="C16:D16"/>
    <mergeCell ref="B17:B20"/>
    <mergeCell ref="C17:C18"/>
    <mergeCell ref="C19:C20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Q260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5"/>
    <col min="12" max="12" width="1.77734375" style="55" customWidth="1"/>
    <col min="13" max="26" width="1.77734375" style="55"/>
    <col min="27" max="27" width="1.77734375" style="55" customWidth="1"/>
    <col min="28" max="28" width="1.77734375" style="55"/>
    <col min="29" max="29" width="1.77734375" style="55" customWidth="1"/>
    <col min="30" max="16384" width="1.77734375" style="55"/>
  </cols>
  <sheetData>
    <row r="1" spans="1:51" s="68" customFormat="1" ht="31.5">
      <c r="A1" s="67" t="s">
        <v>78</v>
      </c>
    </row>
    <row r="2" spans="1:51" s="68" customFormat="1" ht="18.75" customHeight="1"/>
    <row r="3" spans="1:51" s="68" customFormat="1" ht="18.75" customHeight="1">
      <c r="A3" s="69" t="s">
        <v>293</v>
      </c>
    </row>
    <row r="4" spans="1:51" s="68" customFormat="1" ht="18.75" customHeight="1">
      <c r="B4" s="429" t="s">
        <v>294</v>
      </c>
      <c r="C4" s="429"/>
      <c r="D4" s="429"/>
      <c r="E4" s="429"/>
      <c r="F4" s="429"/>
      <c r="G4" s="429"/>
      <c r="H4" s="409" t="s">
        <v>295</v>
      </c>
      <c r="I4" s="409"/>
      <c r="J4" s="409"/>
      <c r="K4" s="409"/>
      <c r="L4" s="409"/>
      <c r="M4" s="409"/>
      <c r="N4" s="429" t="s">
        <v>296</v>
      </c>
      <c r="O4" s="429"/>
      <c r="P4" s="429"/>
      <c r="Q4" s="429"/>
      <c r="R4" s="429"/>
      <c r="S4" s="429"/>
      <c r="T4" s="429" t="s">
        <v>297</v>
      </c>
      <c r="U4" s="429"/>
      <c r="V4" s="429"/>
      <c r="W4" s="429"/>
      <c r="X4" s="429"/>
      <c r="Y4" s="429"/>
    </row>
    <row r="5" spans="1:51" s="68" customFormat="1" ht="18.75" customHeight="1">
      <c r="B5" s="410">
        <f>Calcu!F3</f>
        <v>0</v>
      </c>
      <c r="C5" s="411"/>
      <c r="D5" s="411"/>
      <c r="E5" s="411"/>
      <c r="F5" s="411"/>
      <c r="G5" s="411"/>
      <c r="H5" s="412">
        <f>Calcu!H3</f>
        <v>1</v>
      </c>
      <c r="I5" s="412"/>
      <c r="J5" s="412"/>
      <c r="K5" s="412"/>
      <c r="L5" s="412"/>
      <c r="M5" s="412"/>
      <c r="N5" s="411" t="s">
        <v>298</v>
      </c>
      <c r="O5" s="411"/>
      <c r="P5" s="411"/>
      <c r="Q5" s="411"/>
      <c r="R5" s="411"/>
      <c r="S5" s="411"/>
      <c r="T5" s="411" t="s">
        <v>299</v>
      </c>
      <c r="U5" s="411"/>
      <c r="V5" s="411"/>
      <c r="W5" s="411"/>
      <c r="X5" s="411"/>
      <c r="Y5" s="411"/>
    </row>
    <row r="6" spans="1:51" s="68" customFormat="1" ht="18.75" customHeight="1"/>
    <row r="7" spans="1:51" s="68" customFormat="1" ht="18.75" customHeight="1">
      <c r="A7" s="57" t="s">
        <v>300</v>
      </c>
    </row>
    <row r="8" spans="1:51" ht="18.75" customHeight="1">
      <c r="A8" s="57" t="s">
        <v>301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6"/>
      <c r="AL8" s="226"/>
      <c r="AM8" s="226"/>
      <c r="AN8" s="226"/>
      <c r="AO8" s="226"/>
      <c r="AP8" s="226"/>
      <c r="AQ8" s="226"/>
      <c r="AR8" s="226"/>
    </row>
    <row r="9" spans="1:51" ht="18.75" customHeight="1">
      <c r="A9" s="57"/>
      <c r="B9" s="420" t="s">
        <v>302</v>
      </c>
      <c r="C9" s="421"/>
      <c r="D9" s="421"/>
      <c r="E9" s="421"/>
      <c r="F9" s="422"/>
      <c r="G9" s="420" t="s">
        <v>303</v>
      </c>
      <c r="H9" s="421"/>
      <c r="I9" s="421"/>
      <c r="J9" s="421"/>
      <c r="K9" s="422"/>
      <c r="L9" s="420" t="s">
        <v>304</v>
      </c>
      <c r="M9" s="421"/>
      <c r="N9" s="421"/>
      <c r="O9" s="421"/>
      <c r="P9" s="422"/>
      <c r="Q9" s="413" t="s">
        <v>305</v>
      </c>
      <c r="R9" s="414"/>
      <c r="S9" s="414"/>
      <c r="T9" s="414"/>
      <c r="U9" s="414"/>
      <c r="V9" s="414"/>
      <c r="W9" s="414"/>
      <c r="X9" s="414"/>
      <c r="Y9" s="414"/>
      <c r="Z9" s="414"/>
      <c r="AA9" s="414"/>
      <c r="AB9" s="414"/>
      <c r="AC9" s="414"/>
      <c r="AD9" s="414"/>
      <c r="AE9" s="414"/>
      <c r="AF9" s="414"/>
      <c r="AG9" s="414"/>
      <c r="AH9" s="414"/>
      <c r="AI9" s="414"/>
      <c r="AJ9" s="414"/>
      <c r="AK9" s="414"/>
      <c r="AL9" s="414"/>
      <c r="AM9" s="414"/>
      <c r="AN9" s="414"/>
      <c r="AO9" s="415"/>
      <c r="AP9" s="420" t="s">
        <v>198</v>
      </c>
      <c r="AQ9" s="421"/>
      <c r="AR9" s="421"/>
      <c r="AS9" s="421"/>
      <c r="AT9" s="422"/>
      <c r="AU9" s="420" t="s">
        <v>306</v>
      </c>
      <c r="AV9" s="421"/>
      <c r="AW9" s="421"/>
      <c r="AX9" s="421"/>
      <c r="AY9" s="422"/>
    </row>
    <row r="10" spans="1:51" ht="18.75" customHeight="1">
      <c r="A10" s="57"/>
      <c r="B10" s="423"/>
      <c r="C10" s="424"/>
      <c r="D10" s="424"/>
      <c r="E10" s="424"/>
      <c r="F10" s="425"/>
      <c r="G10" s="423"/>
      <c r="H10" s="424"/>
      <c r="I10" s="424"/>
      <c r="J10" s="424"/>
      <c r="K10" s="425"/>
      <c r="L10" s="423"/>
      <c r="M10" s="424"/>
      <c r="N10" s="424"/>
      <c r="O10" s="424"/>
      <c r="P10" s="425"/>
      <c r="Q10" s="413" t="s">
        <v>307</v>
      </c>
      <c r="R10" s="414"/>
      <c r="S10" s="414"/>
      <c r="T10" s="414"/>
      <c r="U10" s="415"/>
      <c r="V10" s="413" t="s">
        <v>308</v>
      </c>
      <c r="W10" s="414"/>
      <c r="X10" s="414"/>
      <c r="Y10" s="414"/>
      <c r="Z10" s="415"/>
      <c r="AA10" s="413" t="s">
        <v>309</v>
      </c>
      <c r="AB10" s="414"/>
      <c r="AC10" s="414"/>
      <c r="AD10" s="414"/>
      <c r="AE10" s="415"/>
      <c r="AF10" s="413" t="s">
        <v>310</v>
      </c>
      <c r="AG10" s="414"/>
      <c r="AH10" s="414"/>
      <c r="AI10" s="414"/>
      <c r="AJ10" s="415"/>
      <c r="AK10" s="413" t="s">
        <v>311</v>
      </c>
      <c r="AL10" s="414"/>
      <c r="AM10" s="414"/>
      <c r="AN10" s="414"/>
      <c r="AO10" s="415"/>
      <c r="AP10" s="423"/>
      <c r="AQ10" s="424"/>
      <c r="AR10" s="424"/>
      <c r="AS10" s="424"/>
      <c r="AT10" s="425"/>
      <c r="AU10" s="423"/>
      <c r="AV10" s="424"/>
      <c r="AW10" s="424"/>
      <c r="AX10" s="424"/>
      <c r="AY10" s="425"/>
    </row>
    <row r="11" spans="1:51" ht="18.75" customHeight="1">
      <c r="A11" s="57"/>
      <c r="B11" s="413"/>
      <c r="C11" s="414"/>
      <c r="D11" s="414"/>
      <c r="E11" s="414"/>
      <c r="F11" s="415"/>
      <c r="G11" s="413"/>
      <c r="H11" s="414"/>
      <c r="I11" s="414"/>
      <c r="J11" s="414"/>
      <c r="K11" s="415"/>
      <c r="L11" s="413">
        <f>Calcu!G9</f>
        <v>0</v>
      </c>
      <c r="M11" s="414"/>
      <c r="N11" s="414"/>
      <c r="O11" s="414"/>
      <c r="P11" s="415"/>
      <c r="Q11" s="413">
        <f>L11</f>
        <v>0</v>
      </c>
      <c r="R11" s="414"/>
      <c r="S11" s="414"/>
      <c r="T11" s="414"/>
      <c r="U11" s="415"/>
      <c r="V11" s="413">
        <f>Q11</f>
        <v>0</v>
      </c>
      <c r="W11" s="414"/>
      <c r="X11" s="414"/>
      <c r="Y11" s="414"/>
      <c r="Z11" s="415"/>
      <c r="AA11" s="413">
        <f>V11</f>
        <v>0</v>
      </c>
      <c r="AB11" s="414"/>
      <c r="AC11" s="414"/>
      <c r="AD11" s="414"/>
      <c r="AE11" s="415"/>
      <c r="AF11" s="413">
        <f>AA11</f>
        <v>0</v>
      </c>
      <c r="AG11" s="414"/>
      <c r="AH11" s="414"/>
      <c r="AI11" s="414"/>
      <c r="AJ11" s="415"/>
      <c r="AK11" s="413">
        <f>AF11</f>
        <v>0</v>
      </c>
      <c r="AL11" s="414"/>
      <c r="AM11" s="414"/>
      <c r="AN11" s="414"/>
      <c r="AO11" s="415"/>
      <c r="AP11" s="413" t="s">
        <v>312</v>
      </c>
      <c r="AQ11" s="414"/>
      <c r="AR11" s="414"/>
      <c r="AS11" s="414"/>
      <c r="AT11" s="415"/>
      <c r="AU11" s="413" t="s">
        <v>312</v>
      </c>
      <c r="AV11" s="414"/>
      <c r="AW11" s="414"/>
      <c r="AX11" s="414"/>
      <c r="AY11" s="415"/>
    </row>
    <row r="12" spans="1:51" ht="18.75" customHeight="1">
      <c r="A12" s="57"/>
      <c r="B12" s="430" t="s">
        <v>313</v>
      </c>
      <c r="C12" s="431"/>
      <c r="D12" s="431"/>
      <c r="E12" s="431"/>
      <c r="F12" s="432"/>
      <c r="G12" s="419" t="s">
        <v>314</v>
      </c>
      <c r="H12" s="417"/>
      <c r="I12" s="417"/>
      <c r="J12" s="417"/>
      <c r="K12" s="418"/>
      <c r="L12" s="419">
        <f>Calcu!F9</f>
        <v>0</v>
      </c>
      <c r="M12" s="417"/>
      <c r="N12" s="417"/>
      <c r="O12" s="417"/>
      <c r="P12" s="418"/>
      <c r="Q12" s="416">
        <f>Calcu!H9</f>
        <v>0</v>
      </c>
      <c r="R12" s="417"/>
      <c r="S12" s="417"/>
      <c r="T12" s="417"/>
      <c r="U12" s="418"/>
      <c r="V12" s="416">
        <f>Calcu!I9</f>
        <v>0</v>
      </c>
      <c r="W12" s="417"/>
      <c r="X12" s="417"/>
      <c r="Y12" s="417"/>
      <c r="Z12" s="418"/>
      <c r="AA12" s="416">
        <f>Calcu!J9</f>
        <v>0</v>
      </c>
      <c r="AB12" s="417"/>
      <c r="AC12" s="417"/>
      <c r="AD12" s="417"/>
      <c r="AE12" s="418"/>
      <c r="AF12" s="416">
        <f>Calcu!K9</f>
        <v>0</v>
      </c>
      <c r="AG12" s="417"/>
      <c r="AH12" s="417"/>
      <c r="AI12" s="417"/>
      <c r="AJ12" s="418"/>
      <c r="AK12" s="416">
        <f>Calcu!L9</f>
        <v>0</v>
      </c>
      <c r="AL12" s="417"/>
      <c r="AM12" s="417"/>
      <c r="AN12" s="417"/>
      <c r="AO12" s="418"/>
      <c r="AP12" s="416">
        <f>Calcu!M9</f>
        <v>0</v>
      </c>
      <c r="AQ12" s="417"/>
      <c r="AR12" s="417"/>
      <c r="AS12" s="417"/>
      <c r="AT12" s="418"/>
      <c r="AU12" s="416">
        <f>Calcu!N9</f>
        <v>0</v>
      </c>
      <c r="AV12" s="417"/>
      <c r="AW12" s="417"/>
      <c r="AX12" s="417"/>
      <c r="AY12" s="418"/>
    </row>
    <row r="13" spans="1:51" ht="18.75" customHeight="1">
      <c r="A13" s="57"/>
      <c r="B13" s="433"/>
      <c r="C13" s="434"/>
      <c r="D13" s="434"/>
      <c r="E13" s="434"/>
      <c r="F13" s="435"/>
      <c r="G13" s="416" t="s">
        <v>315</v>
      </c>
      <c r="H13" s="417"/>
      <c r="I13" s="417"/>
      <c r="J13" s="417"/>
      <c r="K13" s="418"/>
      <c r="L13" s="419">
        <f>Calcu!F10</f>
        <v>0</v>
      </c>
      <c r="M13" s="417"/>
      <c r="N13" s="417"/>
      <c r="O13" s="417"/>
      <c r="P13" s="418"/>
      <c r="Q13" s="416">
        <f>Calcu!H10</f>
        <v>0</v>
      </c>
      <c r="R13" s="417"/>
      <c r="S13" s="417"/>
      <c r="T13" s="417"/>
      <c r="U13" s="418"/>
      <c r="V13" s="416">
        <f>Calcu!I10</f>
        <v>0</v>
      </c>
      <c r="W13" s="417"/>
      <c r="X13" s="417"/>
      <c r="Y13" s="417"/>
      <c r="Z13" s="418"/>
      <c r="AA13" s="416">
        <f>Calcu!J10</f>
        <v>0</v>
      </c>
      <c r="AB13" s="417"/>
      <c r="AC13" s="417"/>
      <c r="AD13" s="417"/>
      <c r="AE13" s="418"/>
      <c r="AF13" s="416">
        <f>Calcu!K10</f>
        <v>0</v>
      </c>
      <c r="AG13" s="417"/>
      <c r="AH13" s="417"/>
      <c r="AI13" s="417"/>
      <c r="AJ13" s="418"/>
      <c r="AK13" s="416">
        <f>Calcu!L10</f>
        <v>0</v>
      </c>
      <c r="AL13" s="417"/>
      <c r="AM13" s="417"/>
      <c r="AN13" s="417"/>
      <c r="AO13" s="418"/>
      <c r="AP13" s="416">
        <f>Calcu!M10</f>
        <v>0</v>
      </c>
      <c r="AQ13" s="417"/>
      <c r="AR13" s="417"/>
      <c r="AS13" s="417"/>
      <c r="AT13" s="418"/>
      <c r="AU13" s="416">
        <f>Calcu!N10</f>
        <v>0</v>
      </c>
      <c r="AV13" s="417"/>
      <c r="AW13" s="417"/>
      <c r="AX13" s="417"/>
      <c r="AY13" s="418"/>
    </row>
    <row r="14" spans="1:51" ht="18.75" customHeight="1">
      <c r="A14" s="57"/>
      <c r="B14" s="226"/>
      <c r="C14" s="226"/>
      <c r="D14" s="226"/>
      <c r="E14" s="226"/>
      <c r="F14" s="226"/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  <c r="AO14" s="226"/>
      <c r="AP14" s="226"/>
      <c r="AQ14" s="226"/>
      <c r="AR14" s="226"/>
      <c r="AS14" s="226"/>
      <c r="AT14" s="226"/>
    </row>
    <row r="15" spans="1:51" ht="18.75" customHeight="1">
      <c r="A15" s="57" t="s">
        <v>316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</row>
    <row r="16" spans="1:51" ht="18.75" customHeight="1">
      <c r="A16" s="70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</row>
    <row r="17" spans="1:69" ht="18.75" customHeight="1">
      <c r="A17" s="70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</row>
    <row r="18" spans="1:69" ht="18.75" customHeight="1">
      <c r="A18" s="70"/>
      <c r="B18" s="56"/>
      <c r="C18" s="380" t="s">
        <v>317</v>
      </c>
      <c r="D18" s="380"/>
      <c r="E18" s="380"/>
      <c r="F18" s="226" t="s">
        <v>318</v>
      </c>
      <c r="G18" s="56" t="s">
        <v>319</v>
      </c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W18" s="59"/>
      <c r="X18" s="59"/>
      <c r="Y18" s="59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</row>
    <row r="19" spans="1:69" ht="18.75" customHeight="1">
      <c r="A19" s="70"/>
      <c r="B19" s="56"/>
      <c r="C19" s="380" t="s">
        <v>116</v>
      </c>
      <c r="D19" s="380"/>
      <c r="E19" s="380"/>
      <c r="F19" s="226" t="s">
        <v>320</v>
      </c>
      <c r="G19" s="56" t="s">
        <v>321</v>
      </c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</row>
    <row r="20" spans="1:69" ht="18.75" customHeight="1">
      <c r="A20" s="70"/>
      <c r="B20" s="56"/>
      <c r="C20" s="380" t="s">
        <v>322</v>
      </c>
      <c r="D20" s="380"/>
      <c r="E20" s="380"/>
      <c r="F20" s="226" t="s">
        <v>323</v>
      </c>
      <c r="G20" s="56" t="s">
        <v>324</v>
      </c>
      <c r="H20" s="56"/>
      <c r="I20" s="56"/>
      <c r="J20" s="56"/>
      <c r="K20" s="56"/>
      <c r="L20" s="56"/>
      <c r="M20" s="56"/>
      <c r="N20" s="56"/>
      <c r="O20" s="56"/>
      <c r="P20" s="56"/>
      <c r="Q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</row>
    <row r="21" spans="1:69" ht="18.75" customHeight="1">
      <c r="A21" s="70"/>
      <c r="B21" s="56"/>
      <c r="C21" s="380" t="s">
        <v>596</v>
      </c>
      <c r="D21" s="380"/>
      <c r="E21" s="380"/>
      <c r="F21" s="226" t="s">
        <v>320</v>
      </c>
      <c r="G21" s="56" t="s">
        <v>325</v>
      </c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</row>
    <row r="22" spans="1:69" ht="18.75" customHeight="1">
      <c r="A22" s="70"/>
      <c r="B22" s="56"/>
      <c r="C22" s="380" t="s">
        <v>597</v>
      </c>
      <c r="D22" s="380"/>
      <c r="E22" s="380"/>
      <c r="F22" s="226" t="s">
        <v>323</v>
      </c>
      <c r="G22" s="56" t="s">
        <v>327</v>
      </c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</row>
    <row r="23" spans="1:69" ht="18.75" customHeight="1">
      <c r="A23" s="70"/>
      <c r="B23" s="56"/>
      <c r="C23" s="380"/>
      <c r="D23" s="380"/>
      <c r="E23" s="380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</row>
    <row r="24" spans="1:69" ht="18.75" customHeight="1">
      <c r="A24" s="57" t="s">
        <v>328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</row>
    <row r="25" spans="1:69" ht="18.75" customHeight="1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</row>
    <row r="26" spans="1:69" ht="18.75" customHeight="1">
      <c r="A26" s="56"/>
      <c r="B26" s="56"/>
      <c r="C26" s="56" t="s">
        <v>329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</row>
    <row r="27" spans="1:69" ht="18.75" customHeight="1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</row>
    <row r="28" spans="1:69" ht="18.75" customHeight="1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</row>
    <row r="29" spans="1:69" ht="18.75" customHeight="1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</row>
    <row r="30" spans="1:69" ht="18.75" customHeight="1">
      <c r="A30" s="60" t="s">
        <v>330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</row>
    <row r="31" spans="1:69" ht="18.75" customHeight="1">
      <c r="A31" s="56"/>
      <c r="B31" s="436"/>
      <c r="C31" s="437"/>
      <c r="D31" s="386"/>
      <c r="E31" s="387"/>
      <c r="F31" s="387"/>
      <c r="G31" s="388"/>
      <c r="H31" s="381">
        <v>1</v>
      </c>
      <c r="I31" s="381"/>
      <c r="J31" s="381"/>
      <c r="K31" s="381"/>
      <c r="L31" s="381"/>
      <c r="M31" s="381"/>
      <c r="N31" s="381"/>
      <c r="O31" s="381">
        <v>2</v>
      </c>
      <c r="P31" s="381"/>
      <c r="Q31" s="381"/>
      <c r="R31" s="381"/>
      <c r="S31" s="381"/>
      <c r="T31" s="381"/>
      <c r="U31" s="381"/>
      <c r="V31" s="381">
        <v>3</v>
      </c>
      <c r="W31" s="381"/>
      <c r="X31" s="381"/>
      <c r="Y31" s="381"/>
      <c r="Z31" s="381"/>
      <c r="AA31" s="386">
        <v>4</v>
      </c>
      <c r="AB31" s="387"/>
      <c r="AC31" s="387"/>
      <c r="AD31" s="387"/>
      <c r="AE31" s="387"/>
      <c r="AF31" s="387"/>
      <c r="AG31" s="388"/>
      <c r="AH31" s="381">
        <v>5</v>
      </c>
      <c r="AI31" s="381"/>
      <c r="AJ31" s="381"/>
      <c r="AK31" s="381"/>
      <c r="AL31" s="381"/>
      <c r="AM31" s="381"/>
      <c r="AN31" s="381"/>
      <c r="AO31" s="381"/>
      <c r="AP31" s="381">
        <v>6</v>
      </c>
      <c r="AQ31" s="381"/>
      <c r="AR31" s="381"/>
      <c r="AS31" s="381"/>
      <c r="AT31" s="56"/>
    </row>
    <row r="32" spans="1:69" ht="18.75" customHeight="1">
      <c r="A32" s="56"/>
      <c r="B32" s="438"/>
      <c r="C32" s="439"/>
      <c r="D32" s="436" t="s">
        <v>201</v>
      </c>
      <c r="E32" s="442"/>
      <c r="F32" s="442"/>
      <c r="G32" s="437"/>
      <c r="H32" s="366" t="s">
        <v>128</v>
      </c>
      <c r="I32" s="366"/>
      <c r="J32" s="366"/>
      <c r="K32" s="366"/>
      <c r="L32" s="366"/>
      <c r="M32" s="366"/>
      <c r="N32" s="366"/>
      <c r="O32" s="366" t="s">
        <v>204</v>
      </c>
      <c r="P32" s="366"/>
      <c r="Q32" s="366"/>
      <c r="R32" s="366"/>
      <c r="S32" s="366"/>
      <c r="T32" s="366"/>
      <c r="U32" s="366"/>
      <c r="V32" s="366" t="s">
        <v>331</v>
      </c>
      <c r="W32" s="366"/>
      <c r="X32" s="366"/>
      <c r="Y32" s="366"/>
      <c r="Z32" s="366"/>
      <c r="AA32" s="436" t="s">
        <v>206</v>
      </c>
      <c r="AB32" s="442"/>
      <c r="AC32" s="442"/>
      <c r="AD32" s="442"/>
      <c r="AE32" s="442"/>
      <c r="AF32" s="442"/>
      <c r="AG32" s="437"/>
      <c r="AH32" s="366" t="s">
        <v>332</v>
      </c>
      <c r="AI32" s="366"/>
      <c r="AJ32" s="366"/>
      <c r="AK32" s="366"/>
      <c r="AL32" s="366"/>
      <c r="AM32" s="366"/>
      <c r="AN32" s="366"/>
      <c r="AO32" s="366"/>
      <c r="AP32" s="366" t="s">
        <v>208</v>
      </c>
      <c r="AQ32" s="366"/>
      <c r="AR32" s="366"/>
      <c r="AS32" s="366"/>
      <c r="AT32" s="56"/>
    </row>
    <row r="33" spans="1:49" ht="18.75" customHeight="1">
      <c r="A33" s="56"/>
      <c r="B33" s="440"/>
      <c r="C33" s="441"/>
      <c r="D33" s="443" t="s">
        <v>333</v>
      </c>
      <c r="E33" s="408"/>
      <c r="F33" s="408"/>
      <c r="G33" s="444"/>
      <c r="H33" s="383" t="s">
        <v>334</v>
      </c>
      <c r="I33" s="383"/>
      <c r="J33" s="383"/>
      <c r="K33" s="383"/>
      <c r="L33" s="383"/>
      <c r="M33" s="383"/>
      <c r="N33" s="383"/>
      <c r="O33" s="383" t="s">
        <v>335</v>
      </c>
      <c r="P33" s="383"/>
      <c r="Q33" s="383"/>
      <c r="R33" s="383"/>
      <c r="S33" s="383"/>
      <c r="T33" s="383"/>
      <c r="U33" s="383"/>
      <c r="V33" s="383"/>
      <c r="W33" s="383"/>
      <c r="X33" s="383"/>
      <c r="Y33" s="383"/>
      <c r="Z33" s="383"/>
      <c r="AA33" s="445" t="s">
        <v>129</v>
      </c>
      <c r="AB33" s="446"/>
      <c r="AC33" s="446"/>
      <c r="AD33" s="446"/>
      <c r="AE33" s="446"/>
      <c r="AF33" s="446"/>
      <c r="AG33" s="447"/>
      <c r="AH33" s="383" t="s">
        <v>336</v>
      </c>
      <c r="AI33" s="383"/>
      <c r="AJ33" s="383"/>
      <c r="AK33" s="383"/>
      <c r="AL33" s="383"/>
      <c r="AM33" s="383"/>
      <c r="AN33" s="383"/>
      <c r="AO33" s="383"/>
      <c r="AP33" s="383"/>
      <c r="AQ33" s="383"/>
      <c r="AR33" s="383"/>
      <c r="AS33" s="383"/>
      <c r="AT33" s="56"/>
    </row>
    <row r="34" spans="1:49" ht="18.75" customHeight="1">
      <c r="A34" s="56"/>
      <c r="B34" s="381" t="s">
        <v>216</v>
      </c>
      <c r="C34" s="381"/>
      <c r="D34" s="401" t="s">
        <v>116</v>
      </c>
      <c r="E34" s="402"/>
      <c r="F34" s="402"/>
      <c r="G34" s="403"/>
      <c r="H34" s="404">
        <f>Calcu!E16</f>
        <v>0</v>
      </c>
      <c r="I34" s="405"/>
      <c r="J34" s="405"/>
      <c r="K34" s="405"/>
      <c r="L34" s="405"/>
      <c r="M34" s="406" t="str">
        <f>Calcu!F16</f>
        <v>mm</v>
      </c>
      <c r="N34" s="407"/>
      <c r="O34" s="389">
        <f>Calcu!J16</f>
        <v>0</v>
      </c>
      <c r="P34" s="390"/>
      <c r="Q34" s="390"/>
      <c r="R34" s="390"/>
      <c r="S34" s="384" t="str">
        <f>Calcu!K16</f>
        <v>μm</v>
      </c>
      <c r="T34" s="406"/>
      <c r="U34" s="407"/>
      <c r="V34" s="381" t="str">
        <f>Calcu!L16</f>
        <v>직사각형</v>
      </c>
      <c r="W34" s="381"/>
      <c r="X34" s="381"/>
      <c r="Y34" s="381"/>
      <c r="Z34" s="381"/>
      <c r="AA34" s="386">
        <f>Calcu!O16</f>
        <v>1</v>
      </c>
      <c r="AB34" s="387"/>
      <c r="AC34" s="387"/>
      <c r="AD34" s="387"/>
      <c r="AE34" s="387"/>
      <c r="AF34" s="387"/>
      <c r="AG34" s="388"/>
      <c r="AH34" s="389">
        <f>Calcu!Q16</f>
        <v>0</v>
      </c>
      <c r="AI34" s="390"/>
      <c r="AJ34" s="390"/>
      <c r="AK34" s="390"/>
      <c r="AL34" s="390"/>
      <c r="AM34" s="384" t="str">
        <f>Calcu!R16</f>
        <v>μm</v>
      </c>
      <c r="AN34" s="384"/>
      <c r="AO34" s="385"/>
      <c r="AP34" s="381" t="str">
        <f>Calcu!S16</f>
        <v>∞</v>
      </c>
      <c r="AQ34" s="381"/>
      <c r="AR34" s="381"/>
      <c r="AS34" s="381"/>
      <c r="AT34" s="56"/>
    </row>
    <row r="35" spans="1:49" ht="18.75" customHeight="1">
      <c r="A35" s="56"/>
      <c r="B35" s="381" t="s">
        <v>209</v>
      </c>
      <c r="C35" s="381"/>
      <c r="D35" s="401" t="s">
        <v>322</v>
      </c>
      <c r="E35" s="402"/>
      <c r="F35" s="402"/>
      <c r="G35" s="403"/>
      <c r="H35" s="404">
        <f>Calcu!E15</f>
        <v>0</v>
      </c>
      <c r="I35" s="405"/>
      <c r="J35" s="405"/>
      <c r="K35" s="405"/>
      <c r="L35" s="405"/>
      <c r="M35" s="406" t="str">
        <f>Calcu!F15</f>
        <v>mm</v>
      </c>
      <c r="N35" s="407"/>
      <c r="O35" s="389" t="e">
        <f>Calcu!J15</f>
        <v>#DIV/0!</v>
      </c>
      <c r="P35" s="390"/>
      <c r="Q35" s="390"/>
      <c r="R35" s="390"/>
      <c r="S35" s="384" t="str">
        <f>Calcu!K15</f>
        <v>μm</v>
      </c>
      <c r="T35" s="406"/>
      <c r="U35" s="407"/>
      <c r="V35" s="381" t="str">
        <f>Calcu!L15</f>
        <v>정규</v>
      </c>
      <c r="W35" s="381"/>
      <c r="X35" s="381"/>
      <c r="Y35" s="381"/>
      <c r="Z35" s="381"/>
      <c r="AA35" s="386">
        <f>Calcu!O15</f>
        <v>1</v>
      </c>
      <c r="AB35" s="387"/>
      <c r="AC35" s="387"/>
      <c r="AD35" s="387"/>
      <c r="AE35" s="387"/>
      <c r="AF35" s="387"/>
      <c r="AG35" s="388"/>
      <c r="AH35" s="389" t="e">
        <f>Calcu!Q15</f>
        <v>#DIV/0!</v>
      </c>
      <c r="AI35" s="390"/>
      <c r="AJ35" s="390"/>
      <c r="AK35" s="390"/>
      <c r="AL35" s="390"/>
      <c r="AM35" s="384" t="str">
        <f>Calcu!R15</f>
        <v>μm</v>
      </c>
      <c r="AN35" s="384"/>
      <c r="AO35" s="385"/>
      <c r="AP35" s="381" t="str">
        <f>Calcu!S15</f>
        <v>∞</v>
      </c>
      <c r="AQ35" s="381"/>
      <c r="AR35" s="381"/>
      <c r="AS35" s="381"/>
      <c r="AT35" s="56"/>
    </row>
    <row r="36" spans="1:49" ht="18.75" customHeight="1">
      <c r="A36" s="56"/>
      <c r="B36" s="381" t="s">
        <v>337</v>
      </c>
      <c r="C36" s="381"/>
      <c r="D36" s="401" t="s">
        <v>596</v>
      </c>
      <c r="E36" s="402"/>
      <c r="F36" s="402"/>
      <c r="G36" s="403"/>
      <c r="H36" s="404">
        <f>Calcu!E17</f>
        <v>0</v>
      </c>
      <c r="I36" s="405"/>
      <c r="J36" s="405"/>
      <c r="K36" s="405"/>
      <c r="L36" s="405"/>
      <c r="M36" s="406" t="str">
        <f>Calcu!F17</f>
        <v>mm</v>
      </c>
      <c r="N36" s="407"/>
      <c r="O36" s="389">
        <f>Calcu!J17</f>
        <v>0.57735026918962584</v>
      </c>
      <c r="P36" s="390"/>
      <c r="Q36" s="390"/>
      <c r="R36" s="390"/>
      <c r="S36" s="384" t="str">
        <f>Calcu!K17</f>
        <v>μm</v>
      </c>
      <c r="T36" s="406"/>
      <c r="U36" s="407"/>
      <c r="V36" s="381" t="str">
        <f>Calcu!L17</f>
        <v>직사각형</v>
      </c>
      <c r="W36" s="381"/>
      <c r="X36" s="381"/>
      <c r="Y36" s="381"/>
      <c r="Z36" s="381"/>
      <c r="AA36" s="386">
        <f>Calcu!O17</f>
        <v>1</v>
      </c>
      <c r="AB36" s="387"/>
      <c r="AC36" s="387"/>
      <c r="AD36" s="387"/>
      <c r="AE36" s="387"/>
      <c r="AF36" s="387"/>
      <c r="AG36" s="388"/>
      <c r="AH36" s="389">
        <f>Calcu!Q17</f>
        <v>0.57735026918962584</v>
      </c>
      <c r="AI36" s="390"/>
      <c r="AJ36" s="390"/>
      <c r="AK36" s="390"/>
      <c r="AL36" s="390"/>
      <c r="AM36" s="384" t="str">
        <f>Calcu!R17</f>
        <v>μm</v>
      </c>
      <c r="AN36" s="384"/>
      <c r="AO36" s="385"/>
      <c r="AP36" s="381" t="str">
        <f>Calcu!S17</f>
        <v>∞</v>
      </c>
      <c r="AQ36" s="381"/>
      <c r="AR36" s="381"/>
      <c r="AS36" s="381"/>
      <c r="AT36" s="56"/>
    </row>
    <row r="37" spans="1:49" ht="18.75" customHeight="1">
      <c r="A37" s="56"/>
      <c r="B37" s="381" t="s">
        <v>223</v>
      </c>
      <c r="C37" s="381"/>
      <c r="D37" s="401" t="s">
        <v>597</v>
      </c>
      <c r="E37" s="402"/>
      <c r="F37" s="402"/>
      <c r="G37" s="403"/>
      <c r="H37" s="404">
        <f>Calcu!E18</f>
        <v>0</v>
      </c>
      <c r="I37" s="405"/>
      <c r="J37" s="405"/>
      <c r="K37" s="405"/>
      <c r="L37" s="405"/>
      <c r="M37" s="406" t="str">
        <f>Calcu!F18</f>
        <v>mm</v>
      </c>
      <c r="N37" s="407"/>
      <c r="O37" s="389">
        <f>Calcu!J18</f>
        <v>0</v>
      </c>
      <c r="P37" s="390"/>
      <c r="Q37" s="390"/>
      <c r="R37" s="390"/>
      <c r="S37" s="384" t="str">
        <f>Calcu!K18</f>
        <v>μm</v>
      </c>
      <c r="T37" s="406"/>
      <c r="U37" s="407"/>
      <c r="V37" s="381" t="str">
        <f>Calcu!L18</f>
        <v>직사각형</v>
      </c>
      <c r="W37" s="381"/>
      <c r="X37" s="381"/>
      <c r="Y37" s="381"/>
      <c r="Z37" s="381"/>
      <c r="AA37" s="386">
        <f>Calcu!O18</f>
        <v>1</v>
      </c>
      <c r="AB37" s="387"/>
      <c r="AC37" s="387"/>
      <c r="AD37" s="387"/>
      <c r="AE37" s="387"/>
      <c r="AF37" s="387"/>
      <c r="AG37" s="388"/>
      <c r="AH37" s="389">
        <f>Calcu!Q18</f>
        <v>0</v>
      </c>
      <c r="AI37" s="390"/>
      <c r="AJ37" s="390"/>
      <c r="AK37" s="390"/>
      <c r="AL37" s="390"/>
      <c r="AM37" s="384" t="str">
        <f>Calcu!R18</f>
        <v>μm</v>
      </c>
      <c r="AN37" s="384"/>
      <c r="AO37" s="385"/>
      <c r="AP37" s="381" t="str">
        <f>Calcu!S18</f>
        <v>∞</v>
      </c>
      <c r="AQ37" s="381"/>
      <c r="AR37" s="381"/>
      <c r="AS37" s="381"/>
      <c r="AT37" s="56"/>
    </row>
    <row r="38" spans="1:49" ht="18.75" customHeight="1">
      <c r="A38" s="56"/>
      <c r="B38" s="381" t="s">
        <v>224</v>
      </c>
      <c r="C38" s="381"/>
      <c r="D38" s="401" t="s">
        <v>338</v>
      </c>
      <c r="E38" s="402"/>
      <c r="F38" s="402"/>
      <c r="G38" s="403"/>
      <c r="H38" s="404">
        <f>Calcu!E19</f>
        <v>0</v>
      </c>
      <c r="I38" s="405"/>
      <c r="J38" s="405"/>
      <c r="K38" s="405"/>
      <c r="L38" s="405"/>
      <c r="M38" s="406" t="str">
        <f>Calcu!F19</f>
        <v>mm</v>
      </c>
      <c r="N38" s="407"/>
      <c r="O38" s="386"/>
      <c r="P38" s="387"/>
      <c r="Q38" s="387"/>
      <c r="R38" s="387"/>
      <c r="S38" s="387"/>
      <c r="T38" s="387"/>
      <c r="U38" s="388"/>
      <c r="V38" s="381"/>
      <c r="W38" s="381"/>
      <c r="X38" s="381"/>
      <c r="Y38" s="381"/>
      <c r="Z38" s="381"/>
      <c r="AA38" s="386"/>
      <c r="AB38" s="387"/>
      <c r="AC38" s="387"/>
      <c r="AD38" s="387"/>
      <c r="AE38" s="387"/>
      <c r="AF38" s="387"/>
      <c r="AG38" s="388"/>
      <c r="AH38" s="389" t="e">
        <f>Calcu!Q19</f>
        <v>#DIV/0!</v>
      </c>
      <c r="AI38" s="390"/>
      <c r="AJ38" s="390"/>
      <c r="AK38" s="390"/>
      <c r="AL38" s="390"/>
      <c r="AM38" s="384" t="str">
        <f>Calcu!R19</f>
        <v>μm</v>
      </c>
      <c r="AN38" s="384"/>
      <c r="AO38" s="385"/>
      <c r="AP38" s="381" t="str">
        <f>Calcu!S19</f>
        <v>∞</v>
      </c>
      <c r="AQ38" s="381"/>
      <c r="AR38" s="381"/>
      <c r="AS38" s="381"/>
      <c r="AT38" s="56"/>
    </row>
    <row r="39" spans="1:49" ht="18.7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</row>
    <row r="40" spans="1:49" ht="18.75" customHeight="1">
      <c r="A40" s="57" t="s">
        <v>339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</row>
    <row r="41" spans="1:49" ht="18.75" customHeight="1">
      <c r="A41" s="56"/>
      <c r="B41" s="60" t="str">
        <f>"1. "&amp;T5&amp;" 지시값의 표준불확도,"</f>
        <v>1. 측정 투영기 지시값의 표준불확도,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197" t="s">
        <v>132</v>
      </c>
      <c r="R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</row>
    <row r="42" spans="1:49" ht="18.75" customHeight="1">
      <c r="A42" s="56"/>
      <c r="C42" s="56" t="s">
        <v>340</v>
      </c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</row>
    <row r="43" spans="1:49" ht="18.75" customHeight="1">
      <c r="A43" s="56"/>
      <c r="C43" s="60"/>
      <c r="D43" s="56" t="s">
        <v>133</v>
      </c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</row>
    <row r="44" spans="1:49" ht="18.75" customHeight="1">
      <c r="B44" s="56"/>
      <c r="C44" s="56" t="s">
        <v>341</v>
      </c>
      <c r="D44" s="56"/>
      <c r="E44" s="56"/>
      <c r="F44" s="56"/>
      <c r="G44" s="56"/>
      <c r="H44" s="56"/>
      <c r="I44" s="369">
        <f>H34</f>
        <v>0</v>
      </c>
      <c r="J44" s="369"/>
      <c r="K44" s="369"/>
      <c r="L44" s="369"/>
      <c r="M44" s="369"/>
      <c r="N44" s="369" t="str">
        <f>M35</f>
        <v>mm</v>
      </c>
      <c r="O44" s="369"/>
      <c r="P44" s="229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</row>
    <row r="45" spans="1:49" ht="18.75" customHeight="1">
      <c r="B45" s="56"/>
      <c r="C45" s="56" t="s">
        <v>130</v>
      </c>
      <c r="D45" s="56"/>
      <c r="E45" s="56"/>
      <c r="F45" s="56"/>
      <c r="G45" s="56"/>
      <c r="H45" s="56"/>
      <c r="I45" s="56"/>
      <c r="J45" s="61" t="s">
        <v>134</v>
      </c>
      <c r="K45" s="56"/>
      <c r="L45" s="56"/>
      <c r="M45" s="56"/>
      <c r="N45" s="56"/>
      <c r="O45" s="56"/>
      <c r="P45" s="56"/>
      <c r="Q45" s="448">
        <f>MAX(AU12:AY13)*1000</f>
        <v>0</v>
      </c>
      <c r="R45" s="448"/>
      <c r="S45" s="448"/>
      <c r="T45" s="449" t="s">
        <v>109</v>
      </c>
      <c r="U45" s="449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</row>
    <row r="46" spans="1:49" ht="18.75" customHeight="1">
      <c r="B46" s="56"/>
      <c r="C46" s="56"/>
      <c r="D46" s="56"/>
      <c r="E46" s="56"/>
      <c r="F46" s="56"/>
      <c r="G46" s="56"/>
      <c r="H46" s="56"/>
      <c r="I46" s="56"/>
      <c r="J46" s="56"/>
      <c r="K46" s="380" t="s">
        <v>490</v>
      </c>
      <c r="L46" s="380"/>
      <c r="M46" s="380"/>
      <c r="N46" s="380" t="s">
        <v>342</v>
      </c>
      <c r="O46" s="408" t="s">
        <v>135</v>
      </c>
      <c r="P46" s="408"/>
      <c r="Q46" s="380" t="s">
        <v>342</v>
      </c>
      <c r="R46" s="450">
        <f>Q45</f>
        <v>0</v>
      </c>
      <c r="S46" s="450"/>
      <c r="T46" s="450"/>
      <c r="U46" s="379" t="str">
        <f>T45</f>
        <v>μm</v>
      </c>
      <c r="V46" s="379"/>
      <c r="W46" s="380" t="s">
        <v>117</v>
      </c>
      <c r="X46" s="367">
        <f>R46/SQRT(5)</f>
        <v>0</v>
      </c>
      <c r="Y46" s="367"/>
      <c r="Z46" s="367"/>
      <c r="AA46" s="368" t="str">
        <f>T45</f>
        <v>μm</v>
      </c>
      <c r="AB46" s="368"/>
      <c r="AC46" s="230"/>
      <c r="AD46" s="230"/>
      <c r="AE46" s="230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</row>
    <row r="47" spans="1:49" ht="18.75" customHeight="1">
      <c r="B47" s="56"/>
      <c r="C47" s="56"/>
      <c r="D47" s="56"/>
      <c r="E47" s="56"/>
      <c r="F47" s="56"/>
      <c r="G47" s="56"/>
      <c r="H47" s="56"/>
      <c r="I47" s="56"/>
      <c r="J47" s="56"/>
      <c r="K47" s="380"/>
      <c r="L47" s="380"/>
      <c r="M47" s="380"/>
      <c r="N47" s="380"/>
      <c r="O47" s="451"/>
      <c r="P47" s="451"/>
      <c r="Q47" s="380"/>
      <c r="R47" s="442"/>
      <c r="S47" s="442"/>
      <c r="T47" s="442"/>
      <c r="U47" s="442"/>
      <c r="V47" s="442"/>
      <c r="W47" s="380"/>
      <c r="X47" s="367"/>
      <c r="Y47" s="367"/>
      <c r="Z47" s="367"/>
      <c r="AA47" s="368"/>
      <c r="AB47" s="368"/>
      <c r="AC47" s="230"/>
      <c r="AD47" s="230"/>
      <c r="AE47" s="230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</row>
    <row r="48" spans="1:49" ht="18.75" customHeight="1">
      <c r="B48" s="56"/>
      <c r="C48" s="154" t="s">
        <v>343</v>
      </c>
      <c r="D48" s="56"/>
      <c r="F48" s="56"/>
      <c r="G48" s="56"/>
      <c r="H48" s="56"/>
      <c r="I48" s="234"/>
      <c r="J48" s="234"/>
      <c r="K48" s="234"/>
      <c r="L48" s="234"/>
      <c r="M48" s="231"/>
      <c r="N48" s="231"/>
      <c r="O48" s="231"/>
      <c r="P48" s="226"/>
      <c r="Q48" s="226"/>
      <c r="R48" s="226"/>
      <c r="S48" s="226"/>
      <c r="T48" s="226"/>
      <c r="U48" s="231"/>
      <c r="V48" s="145"/>
      <c r="W48" s="145"/>
      <c r="X48" s="145"/>
      <c r="Y48" s="230"/>
      <c r="Z48" s="230"/>
      <c r="AA48" s="230"/>
      <c r="AB48" s="230"/>
      <c r="AC48" s="230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</row>
    <row r="49" spans="1:51" ht="18.75" customHeight="1">
      <c r="B49" s="56"/>
      <c r="C49" s="56"/>
      <c r="D49" s="56"/>
      <c r="E49" s="154"/>
      <c r="F49" s="56"/>
      <c r="G49" s="56"/>
      <c r="H49" s="56"/>
      <c r="I49" s="56"/>
      <c r="J49" s="56"/>
      <c r="K49" s="380" t="s">
        <v>490</v>
      </c>
      <c r="L49" s="380"/>
      <c r="M49" s="380"/>
      <c r="N49" s="380" t="s">
        <v>342</v>
      </c>
      <c r="O49" s="408" t="s">
        <v>344</v>
      </c>
      <c r="P49" s="408"/>
      <c r="Q49" s="380" t="s">
        <v>342</v>
      </c>
      <c r="R49" s="378">
        <f>Calcu!G18</f>
        <v>0</v>
      </c>
      <c r="S49" s="378"/>
      <c r="T49" s="378"/>
      <c r="U49" s="379" t="str">
        <f>T45</f>
        <v>μm</v>
      </c>
      <c r="V49" s="379"/>
      <c r="W49" s="380" t="s">
        <v>117</v>
      </c>
      <c r="X49" s="367">
        <f>R49/(2*SQRT(3))</f>
        <v>0</v>
      </c>
      <c r="Y49" s="367"/>
      <c r="Z49" s="367"/>
      <c r="AA49" s="368" t="str">
        <f>T45</f>
        <v>μm</v>
      </c>
      <c r="AB49" s="368"/>
      <c r="AC49" s="230"/>
      <c r="AD49" s="230"/>
      <c r="AE49" s="230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</row>
    <row r="50" spans="1:51" ht="18.75" customHeight="1">
      <c r="B50" s="56"/>
      <c r="C50" s="56"/>
      <c r="D50" s="56"/>
      <c r="E50" s="154"/>
      <c r="F50" s="56"/>
      <c r="G50" s="56"/>
      <c r="H50" s="56"/>
      <c r="I50" s="56"/>
      <c r="J50" s="56"/>
      <c r="K50" s="380"/>
      <c r="L50" s="380"/>
      <c r="M50" s="380"/>
      <c r="N50" s="380"/>
      <c r="O50" s="451"/>
      <c r="P50" s="451"/>
      <c r="Q50" s="380"/>
      <c r="R50" s="442"/>
      <c r="S50" s="442"/>
      <c r="T50" s="442"/>
      <c r="U50" s="442"/>
      <c r="V50" s="442"/>
      <c r="W50" s="380"/>
      <c r="X50" s="367"/>
      <c r="Y50" s="367"/>
      <c r="Z50" s="367"/>
      <c r="AA50" s="368"/>
      <c r="AB50" s="368"/>
      <c r="AC50" s="230"/>
      <c r="AD50" s="230"/>
      <c r="AE50" s="230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</row>
    <row r="51" spans="1:51" ht="18.75" customHeight="1">
      <c r="B51" s="56"/>
      <c r="C51" s="56" t="s">
        <v>345</v>
      </c>
      <c r="D51" s="56"/>
      <c r="E51" s="56"/>
      <c r="F51" s="56"/>
      <c r="G51" s="56"/>
      <c r="H51" s="56"/>
      <c r="I51" s="374" t="str">
        <f>V34</f>
        <v>직사각형</v>
      </c>
      <c r="J51" s="374"/>
      <c r="K51" s="374"/>
      <c r="L51" s="374"/>
      <c r="M51" s="374"/>
      <c r="N51" s="374"/>
      <c r="O51" s="374"/>
      <c r="P51" s="374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</row>
    <row r="52" spans="1:51" ht="18.75" customHeight="1">
      <c r="B52" s="56"/>
      <c r="C52" s="377" t="s">
        <v>346</v>
      </c>
      <c r="D52" s="377"/>
      <c r="E52" s="377"/>
      <c r="F52" s="377"/>
      <c r="G52" s="377"/>
      <c r="H52" s="377"/>
      <c r="I52" s="228"/>
      <c r="J52" s="228"/>
      <c r="K52" s="56"/>
      <c r="L52" s="56"/>
      <c r="N52" s="374">
        <f>AA34</f>
        <v>1</v>
      </c>
      <c r="O52" s="374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</row>
    <row r="53" spans="1:51" ht="18.75" customHeight="1">
      <c r="B53" s="56"/>
      <c r="C53" s="377"/>
      <c r="D53" s="377"/>
      <c r="E53" s="377"/>
      <c r="F53" s="377"/>
      <c r="G53" s="377"/>
      <c r="H53" s="377"/>
      <c r="I53" s="227"/>
      <c r="J53" s="227"/>
      <c r="K53" s="56"/>
      <c r="L53" s="56"/>
      <c r="N53" s="374"/>
      <c r="O53" s="374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</row>
    <row r="54" spans="1:51" ht="18.75" customHeight="1">
      <c r="B54" s="56"/>
      <c r="C54" s="56" t="s">
        <v>347</v>
      </c>
      <c r="D54" s="56"/>
      <c r="E54" s="56"/>
      <c r="F54" s="56"/>
      <c r="G54" s="56"/>
      <c r="H54" s="56"/>
      <c r="I54" s="56"/>
      <c r="J54" s="56"/>
      <c r="K54" s="233" t="s">
        <v>348</v>
      </c>
      <c r="L54" s="400">
        <f>N52</f>
        <v>1</v>
      </c>
      <c r="M54" s="400"/>
      <c r="N54" s="228" t="s">
        <v>349</v>
      </c>
      <c r="O54" s="367" t="e">
        <f>AH35</f>
        <v>#DIV/0!</v>
      </c>
      <c r="P54" s="367"/>
      <c r="Q54" s="367"/>
      <c r="R54" s="368" t="str">
        <f>AA46</f>
        <v>μm</v>
      </c>
      <c r="S54" s="369"/>
      <c r="T54" s="233" t="s">
        <v>79</v>
      </c>
      <c r="U54" s="72" t="s">
        <v>342</v>
      </c>
      <c r="V54" s="367" t="e">
        <f>O54</f>
        <v>#DIV/0!</v>
      </c>
      <c r="W54" s="367"/>
      <c r="X54" s="367"/>
      <c r="Y54" s="368" t="str">
        <f>R54</f>
        <v>μm</v>
      </c>
      <c r="Z54" s="369"/>
      <c r="AA54" s="229"/>
      <c r="AB54" s="56"/>
      <c r="AC54" s="56"/>
      <c r="AD54" s="56"/>
      <c r="AE54" s="56"/>
      <c r="AF54" s="56"/>
      <c r="AP54" s="56"/>
      <c r="AQ54" s="56"/>
      <c r="AR54" s="56"/>
      <c r="AS54" s="56"/>
      <c r="AT54" s="56"/>
      <c r="AU54" s="56"/>
      <c r="AV54" s="56"/>
    </row>
    <row r="55" spans="1:51" ht="18.75" customHeight="1">
      <c r="B55" s="56"/>
      <c r="C55" s="56" t="s">
        <v>351</v>
      </c>
      <c r="D55" s="56"/>
      <c r="E55" s="56"/>
      <c r="F55" s="56"/>
      <c r="G55" s="56"/>
      <c r="H55" s="56"/>
      <c r="I55" s="106" t="s">
        <v>352</v>
      </c>
      <c r="J55" s="106"/>
      <c r="K55" s="106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56"/>
      <c r="AB55" s="56"/>
      <c r="AC55" s="56"/>
      <c r="AD55" s="56"/>
      <c r="AE55" s="56"/>
      <c r="AF55" s="56"/>
    </row>
    <row r="56" spans="1:51" ht="18.75" customHeight="1">
      <c r="B56" s="56"/>
      <c r="C56" s="56"/>
      <c r="D56" s="56"/>
      <c r="E56" s="56"/>
      <c r="F56" s="56"/>
      <c r="G56" s="56"/>
      <c r="H56" s="56"/>
      <c r="I56" s="106"/>
      <c r="J56" s="97"/>
      <c r="K56" s="106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56"/>
      <c r="AB56" s="56"/>
      <c r="AC56" s="56"/>
      <c r="AD56" s="56"/>
      <c r="AE56" s="56"/>
      <c r="AF56" s="56"/>
    </row>
    <row r="57" spans="1:51" ht="18.75" customHeight="1">
      <c r="A57" s="56"/>
      <c r="B57" s="196" t="str">
        <f>"2. "&amp;T5&amp;"의 표준불확도,"</f>
        <v>2. 측정 투영기의 표준불확도,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197" t="s">
        <v>353</v>
      </c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</row>
    <row r="58" spans="1:51" ht="18.75" customHeight="1">
      <c r="A58" s="56"/>
      <c r="B58" s="60"/>
      <c r="C58" s="56" t="str">
        <f>"※ 교정성적서에 주어진 "&amp;T5&amp;"의 측정불확도를 포함인자로 나누어 구한다."</f>
        <v>※ 교정성적서에 주어진 측정 투영기의 측정불확도를 포함인자로 나누어 구한다.</v>
      </c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</row>
    <row r="59" spans="1:51" ht="18.75" customHeight="1">
      <c r="A59" s="56"/>
      <c r="B59" s="56"/>
      <c r="C59" s="56" t="s">
        <v>354</v>
      </c>
      <c r="D59" s="56"/>
      <c r="E59" s="56"/>
      <c r="F59" s="56"/>
      <c r="G59" s="56"/>
      <c r="H59" s="56"/>
      <c r="I59" s="452">
        <f>H35</f>
        <v>0</v>
      </c>
      <c r="J59" s="452"/>
      <c r="K59" s="452"/>
      <c r="L59" s="452"/>
      <c r="M59" s="452"/>
      <c r="N59" s="369" t="str">
        <f>M34</f>
        <v>mm</v>
      </c>
      <c r="O59" s="369"/>
      <c r="P59" s="229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</row>
    <row r="60" spans="1:51" ht="18.75" customHeight="1">
      <c r="A60" s="56"/>
      <c r="B60" s="56"/>
      <c r="C60" s="56" t="s">
        <v>356</v>
      </c>
      <c r="D60" s="56"/>
      <c r="E60" s="56"/>
      <c r="F60" s="56"/>
      <c r="G60" s="56"/>
      <c r="H60" s="56"/>
      <c r="I60" s="235"/>
      <c r="J60" s="236" t="str">
        <f>"※ "&amp;T5&amp;"의 측정불확도가"</f>
        <v>※ 측정 투영기의 측정불확도가</v>
      </c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236"/>
      <c r="W60" s="236"/>
      <c r="X60" s="453">
        <f>Calcu!G15</f>
        <v>0</v>
      </c>
      <c r="Y60" s="453"/>
      <c r="Z60" s="453"/>
      <c r="AB60" s="454">
        <f>Calcu!H15</f>
        <v>0</v>
      </c>
      <c r="AC60" s="454"/>
      <c r="AD60" s="454"/>
      <c r="AE60" s="236"/>
      <c r="AF60" s="236"/>
      <c r="AH60" s="236" t="s">
        <v>357</v>
      </c>
      <c r="AI60" s="68"/>
      <c r="AJ60" s="236"/>
      <c r="AK60" s="236"/>
      <c r="AL60" s="236"/>
      <c r="AM60" s="236"/>
      <c r="AN60" s="236"/>
      <c r="AO60" s="236"/>
      <c r="AP60" s="236"/>
      <c r="AQ60" s="236"/>
      <c r="AR60" s="236"/>
      <c r="AS60" s="236"/>
      <c r="AT60" s="236"/>
      <c r="AU60" s="236"/>
      <c r="AV60" s="236"/>
      <c r="AW60" s="236"/>
      <c r="AX60" s="236"/>
      <c r="AY60" s="236"/>
    </row>
    <row r="61" spans="1:51" ht="18.75" customHeight="1">
      <c r="A61" s="56"/>
      <c r="B61" s="56"/>
      <c r="C61" s="56"/>
      <c r="D61" s="56"/>
      <c r="E61" s="56"/>
      <c r="F61" s="56"/>
      <c r="G61" s="56"/>
      <c r="H61" s="56"/>
      <c r="I61" s="235"/>
      <c r="J61" s="236"/>
      <c r="K61" s="236" t="s">
        <v>358</v>
      </c>
      <c r="L61" s="236"/>
      <c r="M61" s="236"/>
      <c r="N61" s="236"/>
      <c r="O61" s="236"/>
      <c r="P61" s="236"/>
      <c r="Q61" s="236"/>
      <c r="R61" s="236"/>
      <c r="S61" s="236"/>
      <c r="T61" s="236"/>
      <c r="U61" s="236"/>
      <c r="V61" s="236"/>
      <c r="W61" s="236"/>
      <c r="X61" s="236"/>
      <c r="Y61" s="236"/>
      <c r="Z61" s="236"/>
      <c r="AA61" s="236"/>
      <c r="AB61" s="236"/>
      <c r="AC61" s="236"/>
      <c r="AD61" s="236"/>
      <c r="AE61" s="236"/>
      <c r="AF61" s="236"/>
      <c r="AG61" s="236"/>
      <c r="AH61" s="236"/>
      <c r="AI61" s="236"/>
      <c r="AJ61" s="236"/>
      <c r="AK61" s="236"/>
      <c r="AL61" s="236"/>
      <c r="AM61" s="236"/>
      <c r="AN61" s="236"/>
      <c r="AO61" s="236"/>
      <c r="AP61" s="236"/>
      <c r="AQ61" s="236"/>
      <c r="AR61" s="236"/>
      <c r="AS61" s="236"/>
      <c r="AT61" s="236"/>
      <c r="AU61" s="236"/>
      <c r="AV61" s="236"/>
      <c r="AW61" s="236"/>
      <c r="AX61" s="236"/>
      <c r="AY61" s="236"/>
    </row>
    <row r="62" spans="1:51" ht="18.75" customHeight="1">
      <c r="A62" s="56"/>
      <c r="B62" s="56"/>
      <c r="C62" s="56"/>
      <c r="D62" s="56"/>
      <c r="E62" s="56"/>
      <c r="F62" s="56"/>
      <c r="G62" s="56"/>
      <c r="H62" s="56"/>
      <c r="I62" s="235"/>
      <c r="J62" s="236"/>
      <c r="K62" s="236"/>
      <c r="L62" s="236"/>
      <c r="M62" s="426">
        <f>SQRT(SUMSQ(X60,AB60*Calcu!F9))</f>
        <v>0</v>
      </c>
      <c r="N62" s="426"/>
      <c r="O62" s="426"/>
      <c r="P62" s="236" t="s">
        <v>359</v>
      </c>
      <c r="Q62" s="236"/>
      <c r="R62" s="236"/>
      <c r="S62" s="236"/>
      <c r="T62" s="236"/>
      <c r="U62" s="236"/>
      <c r="V62" s="236"/>
      <c r="W62" s="236"/>
      <c r="X62" s="237"/>
      <c r="Y62" s="237"/>
      <c r="Z62" s="237"/>
      <c r="AB62" s="33"/>
      <c r="AC62" s="33"/>
      <c r="AD62" s="33"/>
      <c r="AE62" s="236"/>
      <c r="AF62" s="236"/>
      <c r="AH62" s="236"/>
      <c r="AI62" s="68"/>
      <c r="AJ62" s="236"/>
      <c r="AK62" s="236"/>
      <c r="AL62" s="236"/>
      <c r="AM62" s="236"/>
      <c r="AN62" s="236"/>
      <c r="AO62" s="236"/>
      <c r="AP62" s="236"/>
      <c r="AQ62" s="236"/>
      <c r="AR62" s="236"/>
      <c r="AS62" s="236"/>
      <c r="AT62" s="236"/>
      <c r="AU62" s="236"/>
      <c r="AV62" s="236"/>
      <c r="AW62" s="236"/>
      <c r="AX62" s="236"/>
      <c r="AY62" s="236"/>
    </row>
    <row r="63" spans="1:51" ht="18.75" customHeight="1">
      <c r="A63" s="56"/>
      <c r="B63" s="56"/>
      <c r="D63" s="56"/>
      <c r="E63" s="56"/>
      <c r="F63" s="56"/>
      <c r="G63" s="56"/>
      <c r="H63" s="56"/>
      <c r="I63" s="56"/>
      <c r="J63" s="56"/>
      <c r="K63" s="380" t="s">
        <v>491</v>
      </c>
      <c r="L63" s="380"/>
      <c r="M63" s="380"/>
      <c r="N63" s="380" t="s">
        <v>117</v>
      </c>
      <c r="O63" s="408" t="s">
        <v>361</v>
      </c>
      <c r="P63" s="408"/>
      <c r="Q63" s="380" t="s">
        <v>117</v>
      </c>
      <c r="R63" s="428">
        <f>M62</f>
        <v>0</v>
      </c>
      <c r="S63" s="428"/>
      <c r="T63" s="428"/>
      <c r="U63" s="198" t="s">
        <v>362</v>
      </c>
      <c r="V63" s="198"/>
      <c r="W63" s="198"/>
      <c r="X63" s="380" t="s">
        <v>342</v>
      </c>
      <c r="Y63" s="367" t="e">
        <f>R63/R64</f>
        <v>#DIV/0!</v>
      </c>
      <c r="Z63" s="367"/>
      <c r="AA63" s="367"/>
      <c r="AB63" s="368" t="str">
        <f>U63</f>
        <v>μm</v>
      </c>
      <c r="AC63" s="368"/>
      <c r="AD63" s="229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</row>
    <row r="64" spans="1:51" ht="18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380"/>
      <c r="L64" s="380"/>
      <c r="M64" s="380"/>
      <c r="N64" s="380"/>
      <c r="O64" s="451" t="s">
        <v>131</v>
      </c>
      <c r="P64" s="451"/>
      <c r="Q64" s="380"/>
      <c r="R64" s="442">
        <f>Calcu!I15</f>
        <v>0</v>
      </c>
      <c r="S64" s="442"/>
      <c r="T64" s="442"/>
      <c r="U64" s="442"/>
      <c r="V64" s="442"/>
      <c r="W64" s="442"/>
      <c r="X64" s="380"/>
      <c r="Y64" s="367"/>
      <c r="Z64" s="367"/>
      <c r="AA64" s="367"/>
      <c r="AB64" s="368"/>
      <c r="AC64" s="368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</row>
    <row r="65" spans="1:59" ht="18.75" customHeight="1">
      <c r="A65" s="56"/>
      <c r="B65" s="56"/>
      <c r="C65" s="56" t="s">
        <v>363</v>
      </c>
      <c r="D65" s="56"/>
      <c r="E65" s="56"/>
      <c r="F65" s="56"/>
      <c r="G65" s="56"/>
      <c r="H65" s="56"/>
      <c r="I65" s="374" t="str">
        <f>V35</f>
        <v>정규</v>
      </c>
      <c r="J65" s="374"/>
      <c r="K65" s="374"/>
      <c r="L65" s="374"/>
      <c r="M65" s="374"/>
      <c r="N65" s="374"/>
      <c r="O65" s="374"/>
      <c r="P65" s="374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</row>
    <row r="66" spans="1:59" ht="18.75" customHeight="1">
      <c r="A66" s="56"/>
      <c r="B66" s="56"/>
      <c r="C66" s="377" t="s">
        <v>364</v>
      </c>
      <c r="D66" s="377"/>
      <c r="E66" s="377"/>
      <c r="F66" s="377"/>
      <c r="G66" s="377"/>
      <c r="H66" s="377"/>
      <c r="I66" s="228"/>
      <c r="J66" s="228"/>
      <c r="K66" s="56"/>
      <c r="L66" s="56"/>
      <c r="N66" s="374">
        <f>AA35</f>
        <v>1</v>
      </c>
      <c r="O66" s="374"/>
      <c r="P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</row>
    <row r="67" spans="1:59" ht="18.75" customHeight="1">
      <c r="A67" s="56"/>
      <c r="B67" s="56"/>
      <c r="C67" s="377"/>
      <c r="D67" s="377"/>
      <c r="E67" s="377"/>
      <c r="F67" s="377"/>
      <c r="G67" s="377"/>
      <c r="H67" s="377"/>
      <c r="I67" s="227"/>
      <c r="J67" s="227"/>
      <c r="K67" s="56"/>
      <c r="L67" s="56"/>
      <c r="N67" s="374"/>
      <c r="O67" s="374"/>
      <c r="P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</row>
    <row r="68" spans="1:59" s="56" customFormat="1" ht="18.75" customHeight="1">
      <c r="C68" s="56" t="s">
        <v>365</v>
      </c>
      <c r="K68" s="233" t="s">
        <v>79</v>
      </c>
      <c r="L68" s="400">
        <f>N66</f>
        <v>1</v>
      </c>
      <c r="M68" s="400"/>
      <c r="N68" s="228" t="s">
        <v>366</v>
      </c>
      <c r="O68" s="367" t="e">
        <f>Y63</f>
        <v>#DIV/0!</v>
      </c>
      <c r="P68" s="367"/>
      <c r="Q68" s="367"/>
      <c r="R68" s="368" t="str">
        <f>AB63</f>
        <v>μm</v>
      </c>
      <c r="S68" s="369"/>
      <c r="T68" s="233" t="s">
        <v>79</v>
      </c>
      <c r="U68" s="72" t="s">
        <v>117</v>
      </c>
      <c r="V68" s="367" t="e">
        <f>O68</f>
        <v>#DIV/0!</v>
      </c>
      <c r="W68" s="367"/>
      <c r="X68" s="367"/>
      <c r="Y68" s="368" t="str">
        <f>R68</f>
        <v>μm</v>
      </c>
      <c r="Z68" s="369"/>
      <c r="AA68" s="229"/>
      <c r="AB68" s="228"/>
      <c r="AC68" s="228"/>
    </row>
    <row r="69" spans="1:59" ht="18.75" customHeight="1">
      <c r="A69" s="56"/>
      <c r="B69" s="56"/>
      <c r="C69" s="228" t="s">
        <v>367</v>
      </c>
      <c r="D69" s="228"/>
      <c r="E69" s="228"/>
      <c r="F69" s="228"/>
      <c r="G69" s="228"/>
      <c r="I69" s="106" t="s">
        <v>369</v>
      </c>
      <c r="J69" s="56"/>
      <c r="K69" s="56"/>
      <c r="L69" s="56"/>
      <c r="M69" s="56"/>
      <c r="N69" s="56"/>
      <c r="O69" s="56"/>
      <c r="P69" s="56"/>
      <c r="Q69" s="56"/>
      <c r="R69" s="56"/>
      <c r="S69" s="168"/>
      <c r="T69" s="168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</row>
    <row r="70" spans="1:59" s="133" customFormat="1" ht="18.75" customHeight="1">
      <c r="B70" s="226"/>
      <c r="C70" s="228"/>
      <c r="D70" s="228"/>
      <c r="E70" s="228"/>
      <c r="F70" s="228"/>
      <c r="G70" s="226"/>
      <c r="H70" s="228"/>
      <c r="I70" s="228"/>
      <c r="J70" s="228"/>
      <c r="K70" s="228"/>
      <c r="L70" s="228"/>
      <c r="M70" s="228"/>
      <c r="N70" s="228"/>
      <c r="O70" s="228"/>
      <c r="P70" s="228"/>
      <c r="Q70" s="228"/>
      <c r="R70" s="228"/>
      <c r="S70" s="228"/>
      <c r="T70" s="228"/>
      <c r="U70" s="228"/>
      <c r="V70" s="228"/>
      <c r="W70" s="228"/>
      <c r="X70" s="226"/>
      <c r="Y70" s="226"/>
      <c r="Z70" s="226"/>
      <c r="AA70" s="226"/>
      <c r="AB70" s="226"/>
      <c r="AC70" s="226"/>
      <c r="AD70" s="226"/>
      <c r="AE70" s="226"/>
      <c r="AF70" s="226"/>
      <c r="AG70" s="226"/>
      <c r="AH70" s="226"/>
      <c r="AI70" s="226"/>
      <c r="AJ70" s="226"/>
      <c r="AK70" s="226"/>
      <c r="AL70" s="226"/>
      <c r="AM70" s="226"/>
      <c r="AN70" s="226"/>
      <c r="AO70" s="226"/>
      <c r="AP70" s="226"/>
      <c r="AQ70" s="226"/>
      <c r="AR70" s="226"/>
      <c r="AS70" s="226"/>
      <c r="AT70" s="226"/>
      <c r="AU70" s="226"/>
      <c r="AV70" s="226"/>
      <c r="AW70" s="226"/>
      <c r="AX70" s="226"/>
      <c r="AY70" s="226"/>
      <c r="AZ70" s="226"/>
      <c r="BA70" s="226"/>
      <c r="BB70" s="226"/>
      <c r="BC70" s="226"/>
      <c r="BD70" s="226"/>
      <c r="BE70" s="226"/>
      <c r="BF70" s="226"/>
      <c r="BG70" s="226"/>
    </row>
    <row r="71" spans="1:59" s="133" customFormat="1" ht="18.75" customHeight="1">
      <c r="B71" s="238" t="s">
        <v>598</v>
      </c>
      <c r="C71" s="228"/>
      <c r="E71" s="228"/>
      <c r="F71" s="228"/>
      <c r="G71" s="226"/>
      <c r="H71" s="228"/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  <c r="AA71" s="228"/>
      <c r="AB71" s="228"/>
      <c r="AC71" s="228"/>
      <c r="AD71" s="228"/>
      <c r="AE71" s="226"/>
      <c r="AF71" s="228"/>
      <c r="AG71" s="226"/>
      <c r="AH71" s="226"/>
      <c r="AI71" s="226"/>
      <c r="AJ71" s="226"/>
      <c r="AK71" s="226"/>
      <c r="AL71" s="226"/>
      <c r="AM71" s="226"/>
      <c r="AN71" s="226"/>
      <c r="AO71" s="226"/>
      <c r="AP71" s="226"/>
      <c r="AQ71" s="226"/>
      <c r="AR71" s="226"/>
      <c r="AS71" s="226"/>
      <c r="AT71" s="226"/>
      <c r="AU71" s="226"/>
      <c r="AV71" s="226"/>
      <c r="AW71" s="226"/>
      <c r="AX71" s="226"/>
      <c r="AY71" s="226"/>
      <c r="AZ71" s="226"/>
      <c r="BA71" s="226"/>
      <c r="BB71" s="226"/>
      <c r="BC71" s="226"/>
      <c r="BD71" s="226"/>
      <c r="BE71" s="226"/>
      <c r="BF71" s="226"/>
      <c r="BG71" s="226"/>
    </row>
    <row r="72" spans="1:59" s="133" customFormat="1" ht="18.75" customHeight="1">
      <c r="B72" s="238"/>
      <c r="C72" s="228" t="s">
        <v>373</v>
      </c>
      <c r="D72" s="228"/>
      <c r="E72" s="228"/>
      <c r="F72" s="243"/>
      <c r="G72" s="242"/>
      <c r="H72" s="243"/>
      <c r="I72" s="243"/>
      <c r="J72" s="243"/>
      <c r="K72" s="243"/>
      <c r="L72" s="243"/>
      <c r="M72" s="243"/>
      <c r="N72" s="243"/>
      <c r="O72" s="243"/>
      <c r="P72" s="243"/>
      <c r="Q72" s="243"/>
      <c r="R72" s="243"/>
      <c r="S72" s="243"/>
      <c r="T72" s="243"/>
      <c r="U72" s="243"/>
      <c r="V72" s="243"/>
      <c r="W72" s="243"/>
      <c r="X72" s="243"/>
      <c r="Y72" s="243"/>
      <c r="Z72" s="243"/>
      <c r="AA72" s="243"/>
      <c r="AB72" s="243"/>
      <c r="AC72" s="243"/>
      <c r="AD72" s="243"/>
      <c r="AE72" s="242"/>
      <c r="AF72" s="243"/>
      <c r="AG72" s="242"/>
      <c r="AH72" s="242"/>
      <c r="AI72" s="242"/>
      <c r="AJ72" s="242"/>
      <c r="AK72" s="242"/>
      <c r="AL72" s="242"/>
      <c r="AM72" s="242"/>
      <c r="AN72" s="242"/>
      <c r="AO72" s="242"/>
      <c r="AP72" s="242"/>
      <c r="AQ72" s="242"/>
      <c r="AR72" s="242"/>
      <c r="AS72" s="242"/>
      <c r="AT72" s="242"/>
      <c r="AU72" s="242"/>
      <c r="AV72" s="242"/>
      <c r="AW72" s="242"/>
      <c r="AX72" s="242"/>
      <c r="AY72" s="242"/>
      <c r="AZ72" s="242"/>
      <c r="BA72" s="242"/>
      <c r="BB72" s="242"/>
      <c r="BC72" s="242"/>
      <c r="BD72" s="242"/>
      <c r="BE72" s="242"/>
      <c r="BF72" s="242"/>
      <c r="BG72" s="242"/>
    </row>
    <row r="73" spans="1:59" s="133" customFormat="1" ht="18.75" customHeight="1">
      <c r="B73" s="238"/>
      <c r="C73" s="228"/>
      <c r="D73" s="228" t="s">
        <v>374</v>
      </c>
      <c r="E73" s="228"/>
      <c r="F73" s="243"/>
      <c r="G73" s="242"/>
      <c r="H73" s="243"/>
      <c r="I73" s="243"/>
      <c r="J73" s="243"/>
      <c r="K73" s="243"/>
      <c r="L73" s="243"/>
      <c r="M73" s="243"/>
      <c r="N73" s="243"/>
      <c r="O73" s="243"/>
      <c r="P73" s="243"/>
      <c r="Q73" s="243"/>
      <c r="R73" s="243"/>
      <c r="S73" s="243"/>
      <c r="T73" s="243"/>
      <c r="U73" s="243"/>
      <c r="V73" s="243"/>
      <c r="W73" s="243"/>
      <c r="X73" s="243"/>
      <c r="Y73" s="243"/>
      <c r="Z73" s="243"/>
      <c r="AA73" s="243"/>
      <c r="AB73" s="243"/>
      <c r="AC73" s="243"/>
      <c r="AD73" s="243"/>
      <c r="AE73" s="242"/>
      <c r="AF73" s="243"/>
      <c r="AG73" s="242"/>
      <c r="AH73" s="242"/>
      <c r="AI73" s="242"/>
      <c r="AJ73" s="242"/>
      <c r="AK73" s="242"/>
      <c r="AL73" s="242"/>
      <c r="AM73" s="242"/>
      <c r="AN73" s="242"/>
      <c r="AO73" s="242"/>
      <c r="AP73" s="242"/>
      <c r="AQ73" s="242"/>
      <c r="AR73" s="242"/>
      <c r="AS73" s="242"/>
      <c r="AT73" s="242"/>
      <c r="AU73" s="242"/>
      <c r="AV73" s="242"/>
      <c r="AW73" s="242"/>
      <c r="AX73" s="242"/>
      <c r="AY73" s="242"/>
      <c r="AZ73" s="242"/>
      <c r="BA73" s="242"/>
      <c r="BB73" s="242"/>
      <c r="BC73" s="242"/>
      <c r="BD73" s="242"/>
      <c r="BE73" s="242"/>
      <c r="BF73" s="242"/>
      <c r="BG73" s="242"/>
    </row>
    <row r="74" spans="1:59" s="133" customFormat="1" ht="18.75" customHeight="1">
      <c r="B74" s="238"/>
      <c r="C74" s="228"/>
      <c r="D74" s="228" t="str">
        <f>"측정결과가 ± "&amp;N77&amp;" μm 구간내에서 같은 확률로 존재한다고 추정하여 직사각형 확률분포를"</f>
        <v>측정결과가 ± 1 μm 구간내에서 같은 확률로 존재한다고 추정하여 직사각형 확률분포를</v>
      </c>
      <c r="E74" s="228"/>
      <c r="F74" s="243"/>
      <c r="G74" s="242"/>
      <c r="H74" s="243"/>
      <c r="I74" s="243"/>
      <c r="J74" s="243"/>
      <c r="K74" s="243"/>
      <c r="L74" s="243"/>
      <c r="M74" s="243"/>
      <c r="N74" s="243"/>
      <c r="O74" s="243"/>
      <c r="P74" s="243"/>
      <c r="Q74" s="243"/>
      <c r="R74" s="243"/>
      <c r="S74" s="243"/>
      <c r="T74" s="243"/>
      <c r="U74" s="243"/>
      <c r="V74" s="243"/>
      <c r="W74" s="243"/>
      <c r="X74" s="243"/>
      <c r="Y74" s="243"/>
      <c r="Z74" s="243"/>
      <c r="AA74" s="243"/>
      <c r="AB74" s="243"/>
      <c r="AC74" s="243"/>
      <c r="AD74" s="243"/>
      <c r="AE74" s="242"/>
      <c r="AF74" s="243"/>
      <c r="AG74" s="242"/>
      <c r="AH74" s="242"/>
      <c r="AI74" s="242"/>
      <c r="AJ74" s="242"/>
      <c r="AK74" s="242"/>
      <c r="AL74" s="242"/>
      <c r="AM74" s="242"/>
      <c r="AN74" s="242"/>
      <c r="AO74" s="242"/>
      <c r="AP74" s="242"/>
      <c r="AQ74" s="242"/>
      <c r="AR74" s="242"/>
      <c r="AS74" s="242"/>
      <c r="AT74" s="242"/>
      <c r="AU74" s="242"/>
      <c r="AV74" s="242"/>
      <c r="AW74" s="242"/>
      <c r="AX74" s="242"/>
      <c r="AY74" s="242"/>
      <c r="AZ74" s="242"/>
      <c r="BA74" s="242"/>
      <c r="BB74" s="242"/>
      <c r="BC74" s="242"/>
      <c r="BD74" s="242"/>
      <c r="BE74" s="242"/>
      <c r="BF74" s="242"/>
      <c r="BG74" s="242"/>
    </row>
    <row r="75" spans="1:59" s="133" customFormat="1" ht="18.75" customHeight="1">
      <c r="B75" s="238"/>
      <c r="C75" s="227"/>
      <c r="D75" s="227" t="s">
        <v>376</v>
      </c>
      <c r="E75" s="140"/>
      <c r="F75" s="243"/>
      <c r="G75" s="242"/>
      <c r="H75" s="243"/>
      <c r="I75" s="243"/>
      <c r="J75" s="243"/>
      <c r="K75" s="243"/>
      <c r="L75" s="243"/>
      <c r="M75" s="243"/>
      <c r="N75" s="243"/>
      <c r="O75" s="243"/>
      <c r="P75" s="243"/>
      <c r="Q75" s="243"/>
      <c r="R75" s="243"/>
      <c r="S75" s="243"/>
      <c r="T75" s="243"/>
      <c r="U75" s="243"/>
      <c r="V75" s="243"/>
      <c r="W75" s="243"/>
      <c r="X75" s="243"/>
      <c r="Y75" s="243"/>
      <c r="Z75" s="243"/>
      <c r="AA75" s="243"/>
      <c r="AB75" s="243"/>
      <c r="AC75" s="243"/>
      <c r="AD75" s="243"/>
      <c r="AE75" s="242"/>
      <c r="AF75" s="243"/>
      <c r="AG75" s="242"/>
      <c r="AH75" s="242"/>
      <c r="AI75" s="242"/>
      <c r="AJ75" s="242"/>
      <c r="AK75" s="242"/>
      <c r="AL75" s="242"/>
      <c r="AM75" s="242"/>
      <c r="AN75" s="242"/>
      <c r="AO75" s="242"/>
      <c r="AP75" s="242"/>
      <c r="AQ75" s="242"/>
      <c r="AR75" s="242"/>
      <c r="AS75" s="242"/>
      <c r="AT75" s="242"/>
      <c r="AU75" s="242"/>
      <c r="AV75" s="242"/>
      <c r="AW75" s="242"/>
      <c r="AX75" s="242"/>
      <c r="AY75" s="242"/>
      <c r="AZ75" s="242"/>
      <c r="BA75" s="242"/>
      <c r="BB75" s="242"/>
      <c r="BC75" s="242"/>
      <c r="BD75" s="242"/>
      <c r="BE75" s="242"/>
      <c r="BF75" s="242"/>
      <c r="BG75" s="242"/>
    </row>
    <row r="76" spans="1:59" s="133" customFormat="1" ht="18.75" customHeight="1">
      <c r="B76" s="226"/>
      <c r="C76" s="227" t="s">
        <v>370</v>
      </c>
      <c r="D76" s="226"/>
      <c r="E76" s="226"/>
      <c r="F76" s="226"/>
      <c r="G76" s="226"/>
      <c r="H76" s="375">
        <f>H36</f>
        <v>0</v>
      </c>
      <c r="I76" s="375"/>
      <c r="J76" s="375"/>
      <c r="K76" s="375"/>
      <c r="L76" s="375"/>
      <c r="M76" s="375"/>
      <c r="N76" s="375"/>
      <c r="O76" s="375"/>
      <c r="P76" s="229"/>
      <c r="Q76" s="228"/>
      <c r="R76" s="228"/>
      <c r="S76" s="228"/>
      <c r="T76" s="228"/>
      <c r="U76" s="228"/>
      <c r="V76" s="228"/>
      <c r="W76" s="228"/>
      <c r="X76" s="228"/>
      <c r="Y76" s="228"/>
      <c r="Z76" s="228"/>
      <c r="AA76" s="228"/>
      <c r="AB76" s="228"/>
      <c r="AC76" s="228"/>
      <c r="AD76" s="228"/>
      <c r="AE76" s="228"/>
      <c r="AF76" s="228"/>
      <c r="AG76" s="228"/>
      <c r="AH76" s="228"/>
      <c r="AI76" s="228"/>
      <c r="AJ76" s="228"/>
      <c r="AK76" s="228"/>
      <c r="AL76" s="228"/>
      <c r="AM76" s="228"/>
      <c r="AN76" s="228"/>
      <c r="AO76" s="228"/>
      <c r="AP76" s="228"/>
      <c r="AQ76" s="228"/>
      <c r="AR76" s="228"/>
      <c r="AS76" s="228"/>
      <c r="AT76" s="228"/>
      <c r="AU76" s="228"/>
      <c r="AV76" s="228"/>
      <c r="AW76" s="228"/>
      <c r="AX76" s="228"/>
      <c r="AY76" s="226"/>
      <c r="AZ76" s="226"/>
      <c r="BA76" s="226"/>
      <c r="BB76" s="226"/>
      <c r="BC76" s="226"/>
      <c r="BD76" s="226"/>
      <c r="BE76" s="226"/>
      <c r="BF76" s="226"/>
      <c r="BG76" s="226"/>
    </row>
    <row r="77" spans="1:59" s="133" customFormat="1" ht="18.75" customHeight="1">
      <c r="B77" s="226"/>
      <c r="C77" s="228" t="s">
        <v>371</v>
      </c>
      <c r="D77" s="228"/>
      <c r="E77" s="228"/>
      <c r="F77" s="228"/>
      <c r="G77" s="228"/>
      <c r="H77" s="243"/>
      <c r="I77" s="228"/>
      <c r="J77" s="393" t="s">
        <v>599</v>
      </c>
      <c r="K77" s="393"/>
      <c r="L77" s="393"/>
      <c r="M77" s="382" t="s">
        <v>117</v>
      </c>
      <c r="N77" s="378">
        <f>Calcu!G17</f>
        <v>1</v>
      </c>
      <c r="O77" s="378"/>
      <c r="P77" s="246" t="s">
        <v>494</v>
      </c>
      <c r="Q77" s="246"/>
      <c r="R77" s="382" t="s">
        <v>117</v>
      </c>
      <c r="S77" s="367">
        <f>N77/SQRT(3)</f>
        <v>0.57735026918962584</v>
      </c>
      <c r="T77" s="367"/>
      <c r="U77" s="367"/>
      <c r="V77" s="369" t="str">
        <f>P77</f>
        <v>μm</v>
      </c>
      <c r="W77" s="369"/>
      <c r="X77" s="136"/>
      <c r="Y77" s="136"/>
      <c r="Z77" s="136"/>
      <c r="AA77" s="228"/>
      <c r="AB77" s="228"/>
      <c r="AC77" s="228"/>
      <c r="AD77" s="228"/>
      <c r="AE77" s="228"/>
      <c r="AF77" s="228"/>
      <c r="AG77" s="228"/>
      <c r="AH77" s="228"/>
      <c r="AI77" s="228"/>
      <c r="AJ77" s="228"/>
      <c r="AK77" s="228"/>
      <c r="AL77" s="228"/>
      <c r="AM77" s="226"/>
      <c r="AN77" s="226"/>
      <c r="AO77" s="226"/>
      <c r="AP77" s="226"/>
      <c r="AQ77" s="228"/>
      <c r="AR77" s="228"/>
      <c r="AS77" s="228"/>
      <c r="AT77" s="228"/>
      <c r="AU77" s="228"/>
      <c r="AV77" s="228"/>
      <c r="AW77" s="228"/>
      <c r="AX77" s="228"/>
      <c r="AY77" s="226"/>
      <c r="AZ77" s="226"/>
      <c r="BA77" s="226"/>
      <c r="BB77" s="226"/>
      <c r="BC77" s="226"/>
      <c r="BD77" s="226"/>
      <c r="BE77" s="226"/>
      <c r="BF77" s="226"/>
      <c r="BG77" s="226"/>
    </row>
    <row r="78" spans="1:59" s="133" customFormat="1" ht="18.75" customHeight="1">
      <c r="B78" s="226"/>
      <c r="C78" s="228"/>
      <c r="D78" s="228"/>
      <c r="E78" s="228"/>
      <c r="F78" s="228"/>
      <c r="G78" s="228"/>
      <c r="H78" s="243"/>
      <c r="I78" s="228"/>
      <c r="J78" s="393"/>
      <c r="K78" s="393"/>
      <c r="L78" s="393"/>
      <c r="M78" s="382"/>
      <c r="N78" s="376"/>
      <c r="O78" s="376"/>
      <c r="P78" s="376"/>
      <c r="Q78" s="376"/>
      <c r="R78" s="382"/>
      <c r="S78" s="367"/>
      <c r="T78" s="367"/>
      <c r="U78" s="367"/>
      <c r="V78" s="369"/>
      <c r="W78" s="369"/>
      <c r="X78" s="136"/>
      <c r="Y78" s="136"/>
      <c r="Z78" s="136"/>
      <c r="AA78" s="228"/>
      <c r="AB78" s="228"/>
      <c r="AC78" s="228"/>
      <c r="AD78" s="228"/>
      <c r="AE78" s="228"/>
      <c r="AF78" s="228"/>
      <c r="AG78" s="228"/>
      <c r="AH78" s="228"/>
      <c r="AI78" s="228"/>
      <c r="AJ78" s="228"/>
      <c r="AK78" s="228"/>
      <c r="AL78" s="228"/>
      <c r="AM78" s="226"/>
      <c r="AN78" s="226"/>
      <c r="AO78" s="226"/>
      <c r="AP78" s="226"/>
      <c r="AQ78" s="228"/>
      <c r="AR78" s="228"/>
      <c r="AS78" s="228"/>
      <c r="AT78" s="228"/>
      <c r="AU78" s="228"/>
      <c r="AV78" s="228"/>
      <c r="AW78" s="228"/>
      <c r="AX78" s="228"/>
      <c r="AY78" s="226"/>
      <c r="AZ78" s="226"/>
      <c r="BA78" s="226"/>
      <c r="BB78" s="226"/>
      <c r="BC78" s="226"/>
      <c r="BD78" s="226"/>
      <c r="BE78" s="226"/>
      <c r="BF78" s="226"/>
      <c r="BG78" s="226"/>
    </row>
    <row r="79" spans="1:59" s="133" customFormat="1" ht="18.75" customHeight="1">
      <c r="B79" s="226"/>
      <c r="C79" s="228" t="s">
        <v>378</v>
      </c>
      <c r="D79" s="228"/>
      <c r="E79" s="228"/>
      <c r="F79" s="228"/>
      <c r="G79" s="228"/>
      <c r="H79" s="228"/>
      <c r="I79" s="374" t="str">
        <f>V36</f>
        <v>직사각형</v>
      </c>
      <c r="J79" s="374"/>
      <c r="K79" s="374"/>
      <c r="L79" s="374"/>
      <c r="M79" s="374"/>
      <c r="N79" s="374"/>
      <c r="O79" s="374"/>
      <c r="P79" s="374"/>
      <c r="Q79" s="228"/>
      <c r="R79" s="228"/>
      <c r="S79" s="228"/>
      <c r="T79" s="228"/>
      <c r="U79" s="228"/>
      <c r="V79" s="228"/>
      <c r="W79" s="228"/>
      <c r="X79" s="228"/>
      <c r="Y79" s="228"/>
      <c r="Z79" s="226"/>
      <c r="AA79" s="226"/>
      <c r="AB79" s="226"/>
      <c r="AC79" s="226"/>
      <c r="AD79" s="226"/>
      <c r="AE79" s="226"/>
      <c r="AF79" s="226"/>
      <c r="AG79" s="226"/>
      <c r="AH79" s="228"/>
      <c r="AI79" s="228"/>
      <c r="AJ79" s="228"/>
      <c r="AK79" s="228"/>
      <c r="AL79" s="226"/>
      <c r="AM79" s="226"/>
      <c r="AN79" s="226"/>
      <c r="AO79" s="226"/>
      <c r="AP79" s="226"/>
      <c r="AQ79" s="226"/>
      <c r="AR79" s="226"/>
      <c r="AS79" s="228"/>
      <c r="AT79" s="228"/>
      <c r="AU79" s="228"/>
      <c r="AV79" s="228"/>
      <c r="AW79" s="228"/>
      <c r="AX79" s="228"/>
      <c r="AY79" s="226"/>
      <c r="AZ79" s="226"/>
      <c r="BA79" s="226"/>
      <c r="BB79" s="226"/>
      <c r="BC79" s="226"/>
      <c r="BD79" s="226"/>
      <c r="BE79" s="226"/>
      <c r="BF79" s="226"/>
      <c r="BG79" s="226"/>
    </row>
    <row r="80" spans="1:59" s="133" customFormat="1" ht="18.75" customHeight="1">
      <c r="B80" s="226"/>
      <c r="C80" s="377" t="s">
        <v>137</v>
      </c>
      <c r="D80" s="377"/>
      <c r="E80" s="377"/>
      <c r="F80" s="377"/>
      <c r="G80" s="377"/>
      <c r="H80" s="377"/>
      <c r="I80" s="228"/>
      <c r="J80" s="228"/>
      <c r="K80" s="228"/>
      <c r="L80" s="228"/>
      <c r="M80" s="228"/>
      <c r="N80" s="228"/>
      <c r="O80" s="374">
        <f>AA36</f>
        <v>1</v>
      </c>
      <c r="P80" s="374"/>
      <c r="Q80" s="137"/>
      <c r="R80" s="137"/>
      <c r="S80" s="228"/>
      <c r="T80" s="228"/>
      <c r="U80" s="228"/>
      <c r="V80" s="228"/>
      <c r="W80" s="228"/>
      <c r="X80" s="228"/>
      <c r="Y80" s="228"/>
      <c r="Z80" s="138"/>
      <c r="AA80" s="138"/>
      <c r="AB80" s="228"/>
      <c r="AC80" s="228"/>
      <c r="AD80" s="228"/>
      <c r="AE80" s="228"/>
      <c r="AF80" s="228"/>
      <c r="AG80" s="228"/>
      <c r="AH80" s="228"/>
      <c r="AI80" s="228"/>
      <c r="AJ80" s="228"/>
      <c r="AK80" s="228"/>
      <c r="AL80" s="226"/>
      <c r="AM80" s="226"/>
      <c r="AN80" s="226"/>
      <c r="AO80" s="228"/>
      <c r="AP80" s="228"/>
      <c r="AQ80" s="228"/>
      <c r="AR80" s="228"/>
      <c r="AS80" s="228"/>
      <c r="AT80" s="228"/>
      <c r="AU80" s="228"/>
      <c r="AV80" s="228"/>
      <c r="AW80" s="228"/>
      <c r="AX80" s="228"/>
      <c r="AY80" s="226"/>
      <c r="AZ80" s="226"/>
      <c r="BA80" s="226"/>
      <c r="BB80" s="226"/>
      <c r="BC80" s="226"/>
      <c r="BD80" s="226"/>
      <c r="BE80" s="226"/>
      <c r="BF80" s="226"/>
      <c r="BG80" s="226"/>
    </row>
    <row r="81" spans="2:61" s="133" customFormat="1" ht="18.75" customHeight="1">
      <c r="B81" s="226"/>
      <c r="C81" s="377"/>
      <c r="D81" s="377"/>
      <c r="E81" s="377"/>
      <c r="F81" s="377"/>
      <c r="G81" s="377"/>
      <c r="H81" s="377"/>
      <c r="I81" s="228"/>
      <c r="J81" s="228"/>
      <c r="K81" s="228"/>
      <c r="L81" s="228"/>
      <c r="M81" s="228"/>
      <c r="N81" s="228"/>
      <c r="O81" s="374"/>
      <c r="P81" s="374"/>
      <c r="Q81" s="137"/>
      <c r="R81" s="137"/>
      <c r="S81" s="228"/>
      <c r="T81" s="228"/>
      <c r="U81" s="228"/>
      <c r="V81" s="228"/>
      <c r="W81" s="228"/>
      <c r="X81" s="228"/>
      <c r="Y81" s="228"/>
      <c r="Z81" s="138"/>
      <c r="AA81" s="138"/>
      <c r="AB81" s="228"/>
      <c r="AC81" s="228"/>
      <c r="AD81" s="228"/>
      <c r="AE81" s="228"/>
      <c r="AF81" s="228"/>
      <c r="AG81" s="228"/>
      <c r="AH81" s="228"/>
      <c r="AI81" s="228"/>
      <c r="AJ81" s="228"/>
      <c r="AK81" s="228"/>
      <c r="AL81" s="226"/>
      <c r="AM81" s="226"/>
      <c r="AN81" s="226"/>
      <c r="AO81" s="228"/>
      <c r="AP81" s="228"/>
      <c r="AQ81" s="228"/>
      <c r="AR81" s="228"/>
      <c r="AS81" s="228"/>
      <c r="AT81" s="228"/>
      <c r="AU81" s="228"/>
      <c r="AV81" s="228"/>
      <c r="AW81" s="228"/>
      <c r="AX81" s="228"/>
      <c r="AY81" s="226"/>
      <c r="AZ81" s="226"/>
      <c r="BA81" s="226"/>
      <c r="BB81" s="226"/>
      <c r="BC81" s="226"/>
      <c r="BD81" s="226"/>
      <c r="BE81" s="226"/>
      <c r="BF81" s="226"/>
      <c r="BG81" s="226"/>
    </row>
    <row r="82" spans="2:61" s="133" customFormat="1" ht="18.75" customHeight="1">
      <c r="B82" s="226"/>
      <c r="C82" s="228" t="s">
        <v>138</v>
      </c>
      <c r="D82" s="228"/>
      <c r="E82" s="228"/>
      <c r="F82" s="228"/>
      <c r="G82" s="228"/>
      <c r="H82" s="228"/>
      <c r="I82" s="228"/>
      <c r="J82" s="226"/>
      <c r="K82" s="226" t="s">
        <v>139</v>
      </c>
      <c r="L82" s="371">
        <f>O80</f>
        <v>1</v>
      </c>
      <c r="M82" s="371"/>
      <c r="N82" s="135" t="s">
        <v>144</v>
      </c>
      <c r="O82" s="367">
        <f>S77</f>
        <v>0.57735026918962584</v>
      </c>
      <c r="P82" s="367"/>
      <c r="Q82" s="367"/>
      <c r="R82" s="368" t="str">
        <f>V77</f>
        <v>μm</v>
      </c>
      <c r="S82" s="369"/>
      <c r="T82" s="245" t="s">
        <v>79</v>
      </c>
      <c r="U82" s="72" t="s">
        <v>117</v>
      </c>
      <c r="V82" s="367">
        <f>O82</f>
        <v>0.57735026918962584</v>
      </c>
      <c r="W82" s="367"/>
      <c r="X82" s="367"/>
      <c r="Y82" s="368" t="str">
        <f>R82</f>
        <v>μm</v>
      </c>
      <c r="Z82" s="369"/>
      <c r="AA82" s="244"/>
      <c r="AB82" s="243"/>
      <c r="AC82" s="243"/>
      <c r="AD82" s="56"/>
      <c r="AE82" s="56"/>
      <c r="AF82" s="56"/>
      <c r="AG82" s="56"/>
      <c r="AH82" s="56"/>
      <c r="AI82" s="56"/>
      <c r="AJ82" s="56"/>
      <c r="AK82" s="228"/>
      <c r="AL82" s="226"/>
      <c r="AM82" s="226"/>
      <c r="AN82" s="226"/>
      <c r="AO82" s="228"/>
      <c r="AP82" s="228"/>
      <c r="AQ82" s="228"/>
      <c r="AR82" s="228"/>
      <c r="AS82" s="228"/>
      <c r="AT82" s="228"/>
      <c r="AU82" s="228"/>
      <c r="AV82" s="228"/>
      <c r="AW82" s="228"/>
      <c r="AX82" s="228"/>
      <c r="AY82" s="226"/>
      <c r="AZ82" s="226"/>
      <c r="BA82" s="226"/>
      <c r="BB82" s="226"/>
      <c r="BC82" s="226"/>
      <c r="BD82" s="226"/>
      <c r="BE82" s="226"/>
      <c r="BF82" s="226"/>
      <c r="BG82" s="226"/>
    </row>
    <row r="83" spans="2:61" s="133" customFormat="1" ht="18.75" customHeight="1">
      <c r="B83" s="226"/>
      <c r="C83" s="377" t="s">
        <v>379</v>
      </c>
      <c r="D83" s="377"/>
      <c r="E83" s="377"/>
      <c r="F83" s="377"/>
      <c r="G83" s="377"/>
      <c r="H83" s="228"/>
      <c r="J83" s="228"/>
      <c r="K83" s="228"/>
      <c r="L83" s="228"/>
      <c r="M83" s="228"/>
      <c r="N83" s="228"/>
      <c r="O83" s="228"/>
      <c r="P83" s="228"/>
      <c r="Q83" s="228"/>
      <c r="R83" s="134"/>
      <c r="S83" s="228"/>
      <c r="T83" s="228"/>
      <c r="U83" s="228"/>
      <c r="W83" s="228"/>
      <c r="X83" s="56" t="s">
        <v>380</v>
      </c>
      <c r="Y83" s="228"/>
      <c r="Z83" s="228"/>
      <c r="AA83" s="228"/>
      <c r="AB83" s="228"/>
      <c r="AC83" s="228"/>
      <c r="AD83" s="228"/>
      <c r="AE83" s="226"/>
      <c r="AF83" s="226"/>
      <c r="AG83" s="226"/>
      <c r="AH83" s="226"/>
      <c r="AI83" s="226"/>
      <c r="AJ83" s="226"/>
      <c r="AK83" s="226"/>
      <c r="AL83" s="226"/>
      <c r="AM83" s="226"/>
      <c r="AN83" s="226"/>
      <c r="AO83" s="226"/>
      <c r="AP83" s="226"/>
      <c r="AQ83" s="226"/>
      <c r="AR83" s="226"/>
      <c r="AS83" s="226"/>
      <c r="AT83" s="226"/>
      <c r="AU83" s="226"/>
      <c r="AV83" s="226"/>
      <c r="AW83" s="226"/>
      <c r="AX83" s="226"/>
      <c r="AY83" s="226"/>
      <c r="AZ83" s="226"/>
      <c r="BA83" s="226"/>
      <c r="BB83" s="226"/>
      <c r="BC83" s="226"/>
      <c r="BD83" s="226"/>
      <c r="BE83" s="226"/>
      <c r="BF83" s="226"/>
      <c r="BG83" s="226"/>
    </row>
    <row r="84" spans="2:61" s="133" customFormat="1" ht="18.75" customHeight="1">
      <c r="B84" s="226"/>
      <c r="C84" s="377"/>
      <c r="D84" s="377"/>
      <c r="E84" s="377"/>
      <c r="F84" s="377"/>
      <c r="G84" s="377"/>
      <c r="H84" s="228"/>
      <c r="I84" s="228"/>
      <c r="J84" s="228"/>
      <c r="K84" s="228"/>
      <c r="L84" s="228"/>
      <c r="M84" s="228"/>
      <c r="N84" s="228"/>
      <c r="O84" s="228"/>
      <c r="P84" s="228"/>
      <c r="Q84" s="228"/>
      <c r="R84" s="134"/>
      <c r="S84" s="228"/>
      <c r="T84" s="228"/>
      <c r="U84" s="228"/>
      <c r="V84" s="228"/>
      <c r="W84" s="228"/>
      <c r="X84" s="228"/>
      <c r="Y84" s="228"/>
      <c r="Z84" s="228"/>
      <c r="AA84" s="228"/>
      <c r="AB84" s="228"/>
      <c r="AC84" s="228"/>
      <c r="AD84" s="228"/>
      <c r="AE84" s="226"/>
      <c r="AF84" s="226"/>
      <c r="AG84" s="226"/>
      <c r="AH84" s="226"/>
      <c r="AI84" s="226"/>
      <c r="AJ84" s="226"/>
      <c r="AK84" s="226"/>
      <c r="AL84" s="226"/>
      <c r="AM84" s="226"/>
      <c r="AN84" s="226"/>
      <c r="AO84" s="226"/>
      <c r="AP84" s="226"/>
      <c r="AQ84" s="226"/>
      <c r="AR84" s="226"/>
      <c r="AS84" s="226"/>
      <c r="AT84" s="226"/>
      <c r="AU84" s="226"/>
      <c r="AV84" s="226"/>
      <c r="AW84" s="226"/>
      <c r="AX84" s="226"/>
      <c r="AY84" s="226"/>
      <c r="AZ84" s="226"/>
      <c r="BA84" s="226"/>
      <c r="BB84" s="226"/>
      <c r="BC84" s="226"/>
      <c r="BD84" s="226"/>
      <c r="BE84" s="226"/>
      <c r="BF84" s="226"/>
      <c r="BG84" s="226"/>
    </row>
    <row r="85" spans="2:61" s="133" customFormat="1" ht="18.75" customHeight="1">
      <c r="B85" s="226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  <c r="N85" s="228"/>
      <c r="O85" s="228"/>
      <c r="P85" s="228"/>
      <c r="Q85" s="228"/>
      <c r="R85" s="134"/>
      <c r="S85" s="228"/>
      <c r="T85" s="228"/>
      <c r="U85" s="228"/>
      <c r="V85" s="228"/>
      <c r="W85" s="228"/>
      <c r="X85" s="228"/>
      <c r="Y85" s="228"/>
      <c r="Z85" s="228"/>
      <c r="AA85" s="228"/>
      <c r="AB85" s="228"/>
      <c r="AC85" s="228"/>
      <c r="AD85" s="228"/>
      <c r="AE85" s="226"/>
      <c r="AF85" s="228"/>
      <c r="AG85" s="226"/>
      <c r="AH85" s="226"/>
      <c r="AI85" s="226"/>
      <c r="AJ85" s="226"/>
      <c r="AK85" s="226"/>
      <c r="AL85" s="226"/>
      <c r="AM85" s="226"/>
      <c r="AN85" s="226"/>
      <c r="AO85" s="226"/>
      <c r="AP85" s="226"/>
      <c r="AQ85" s="226"/>
      <c r="AR85" s="226"/>
      <c r="AS85" s="226"/>
      <c r="AT85" s="226"/>
      <c r="AU85" s="226"/>
      <c r="AV85" s="226"/>
      <c r="AW85" s="226"/>
      <c r="AX85" s="226"/>
      <c r="AY85" s="226"/>
      <c r="AZ85" s="226"/>
      <c r="BA85" s="226"/>
      <c r="BB85" s="226"/>
      <c r="BC85" s="226"/>
      <c r="BD85" s="226"/>
      <c r="BE85" s="226"/>
      <c r="BF85" s="226"/>
      <c r="BG85" s="226"/>
    </row>
    <row r="86" spans="2:61" s="133" customFormat="1" ht="18.75" customHeight="1">
      <c r="B86" s="57" t="str">
        <f>"4. "&amp;T5&amp;"의 분해능에 의한 표준불확도,"</f>
        <v>4. 측정 투영기의 분해능에 의한 표준불확도,</v>
      </c>
      <c r="D86" s="228"/>
      <c r="E86" s="228"/>
      <c r="F86" s="228"/>
      <c r="G86" s="226"/>
      <c r="H86" s="228"/>
      <c r="I86" s="228"/>
      <c r="J86" s="228"/>
      <c r="K86" s="228"/>
      <c r="L86" s="228"/>
      <c r="M86" s="228"/>
      <c r="N86" s="228"/>
      <c r="O86" s="228"/>
      <c r="P86" s="228"/>
      <c r="Q86" s="228"/>
      <c r="R86" s="228"/>
      <c r="T86" s="199" t="s">
        <v>600</v>
      </c>
      <c r="V86" s="228"/>
      <c r="W86" s="228"/>
      <c r="X86" s="228"/>
      <c r="Y86" s="228"/>
      <c r="Z86" s="228"/>
      <c r="AA86" s="228"/>
      <c r="AB86" s="228"/>
      <c r="AC86" s="228"/>
      <c r="AD86" s="228"/>
      <c r="AE86" s="226"/>
      <c r="AF86" s="228"/>
      <c r="AG86" s="226"/>
      <c r="AH86" s="226"/>
      <c r="AI86" s="226"/>
      <c r="AJ86" s="226"/>
      <c r="AK86" s="226"/>
      <c r="AL86" s="226"/>
      <c r="AM86" s="226"/>
      <c r="AN86" s="226"/>
      <c r="AO86" s="226"/>
      <c r="AP86" s="226"/>
      <c r="AQ86" s="226"/>
      <c r="AR86" s="226"/>
      <c r="AS86" s="226"/>
      <c r="AT86" s="226"/>
      <c r="AU86" s="226"/>
      <c r="AV86" s="226"/>
      <c r="AW86" s="226"/>
      <c r="AX86" s="226"/>
      <c r="AY86" s="226"/>
      <c r="AZ86" s="226"/>
      <c r="BA86" s="226"/>
      <c r="BB86" s="226"/>
      <c r="BC86" s="226"/>
      <c r="BD86" s="226"/>
      <c r="BE86" s="226"/>
      <c r="BF86" s="226"/>
      <c r="BG86" s="226"/>
    </row>
    <row r="87" spans="2:61" s="133" customFormat="1" ht="18.75" customHeight="1">
      <c r="B87" s="57"/>
      <c r="C87" s="228" t="str">
        <f>"※ "&amp;T5&amp;" 분해능의 반범위에 직사각형 확률분포를 적용하여 계산한다."</f>
        <v>※ 측정 투영기 분해능의 반범위에 직사각형 확률분포를 적용하여 계산한다.</v>
      </c>
      <c r="D87" s="243"/>
      <c r="E87" s="243"/>
      <c r="F87" s="243"/>
      <c r="G87" s="242"/>
      <c r="H87" s="243"/>
      <c r="I87" s="243"/>
      <c r="J87" s="243"/>
      <c r="K87" s="243"/>
      <c r="L87" s="243"/>
      <c r="M87" s="243"/>
      <c r="N87" s="243"/>
      <c r="O87" s="243"/>
      <c r="P87" s="243"/>
      <c r="Q87" s="243"/>
      <c r="R87" s="243"/>
      <c r="S87" s="199"/>
      <c r="T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2"/>
      <c r="AF87" s="243"/>
      <c r="AG87" s="242"/>
      <c r="AH87" s="242"/>
      <c r="AI87" s="242"/>
      <c r="AJ87" s="242"/>
      <c r="AK87" s="242"/>
      <c r="AL87" s="242"/>
      <c r="AM87" s="242"/>
      <c r="AN87" s="242"/>
      <c r="AO87" s="242"/>
      <c r="AP87" s="242"/>
      <c r="AQ87" s="242"/>
      <c r="AR87" s="242"/>
      <c r="AS87" s="242"/>
      <c r="AT87" s="242"/>
      <c r="AU87" s="242"/>
      <c r="AV87" s="242"/>
      <c r="AW87" s="242"/>
      <c r="AX87" s="242"/>
      <c r="AY87" s="242"/>
      <c r="AZ87" s="242"/>
      <c r="BA87" s="242"/>
      <c r="BB87" s="242"/>
      <c r="BC87" s="242"/>
      <c r="BD87" s="242"/>
      <c r="BE87" s="242"/>
      <c r="BF87" s="242"/>
      <c r="BG87" s="242"/>
    </row>
    <row r="88" spans="2:61" s="133" customFormat="1" ht="18.75" customHeight="1">
      <c r="B88" s="226"/>
      <c r="C88" s="227" t="s">
        <v>381</v>
      </c>
      <c r="D88" s="226"/>
      <c r="E88" s="226"/>
      <c r="F88" s="226"/>
      <c r="G88" s="226"/>
      <c r="H88" s="375">
        <f>H37</f>
        <v>0</v>
      </c>
      <c r="I88" s="375"/>
      <c r="J88" s="375"/>
      <c r="K88" s="375"/>
      <c r="L88" s="375"/>
      <c r="M88" s="375"/>
      <c r="N88" s="375"/>
      <c r="O88" s="375"/>
      <c r="P88" s="229"/>
      <c r="Q88" s="228"/>
      <c r="R88" s="228"/>
      <c r="S88" s="228"/>
      <c r="T88" s="228"/>
      <c r="U88" s="228"/>
      <c r="V88" s="228"/>
      <c r="W88" s="228"/>
      <c r="AD88" s="228"/>
      <c r="AE88" s="228"/>
      <c r="AF88" s="228"/>
      <c r="AG88" s="228"/>
      <c r="AH88" s="228"/>
      <c r="AI88" s="226"/>
      <c r="AJ88" s="226"/>
      <c r="AK88" s="226"/>
      <c r="AL88" s="226"/>
      <c r="AM88" s="226"/>
      <c r="AN88" s="226"/>
      <c r="AO88" s="226"/>
      <c r="AP88" s="226"/>
      <c r="AQ88" s="226"/>
      <c r="AR88" s="226"/>
      <c r="AS88" s="228"/>
      <c r="AT88" s="228"/>
      <c r="AU88" s="228"/>
      <c r="AV88" s="228"/>
      <c r="AW88" s="228"/>
      <c r="AX88" s="228"/>
      <c r="AY88" s="226"/>
      <c r="AZ88" s="226"/>
      <c r="BA88" s="226"/>
      <c r="BB88" s="226"/>
      <c r="BC88" s="226"/>
      <c r="BD88" s="226"/>
      <c r="BE88" s="226"/>
      <c r="BF88" s="226"/>
      <c r="BG88" s="226"/>
    </row>
    <row r="89" spans="2:61" s="133" customFormat="1" ht="18.75" customHeight="1">
      <c r="B89" s="226"/>
      <c r="C89" s="228" t="s">
        <v>382</v>
      </c>
      <c r="D89" s="228"/>
      <c r="E89" s="228"/>
      <c r="F89" s="228"/>
      <c r="G89" s="228"/>
      <c r="H89" s="228"/>
      <c r="I89" s="226"/>
      <c r="J89" s="243" t="s">
        <v>492</v>
      </c>
      <c r="K89" s="228"/>
      <c r="L89" s="228"/>
      <c r="M89" s="228"/>
      <c r="N89" s="228"/>
      <c r="O89" s="228"/>
      <c r="P89" s="369">
        <f>Calcu!I3</f>
        <v>0</v>
      </c>
      <c r="Q89" s="369"/>
      <c r="R89" s="369"/>
      <c r="S89" s="244" t="s">
        <v>493</v>
      </c>
      <c r="T89" s="244"/>
      <c r="AD89" s="228"/>
      <c r="AE89" s="228"/>
      <c r="AF89" s="226"/>
      <c r="AG89" s="226"/>
      <c r="AH89" s="226"/>
      <c r="AI89" s="226"/>
      <c r="AJ89" s="226"/>
      <c r="AK89" s="226"/>
      <c r="AL89" s="226"/>
      <c r="AM89" s="226"/>
      <c r="AN89" s="228"/>
      <c r="AO89" s="228"/>
      <c r="AP89" s="228"/>
      <c r="AQ89" s="228"/>
      <c r="AR89" s="228"/>
      <c r="AS89" s="228"/>
      <c r="AT89" s="228"/>
      <c r="AU89" s="228"/>
      <c r="AV89" s="228"/>
      <c r="AW89" s="228"/>
      <c r="AX89" s="228"/>
      <c r="AY89" s="226"/>
      <c r="AZ89" s="226"/>
      <c r="BA89" s="226"/>
      <c r="BB89" s="226"/>
      <c r="BC89" s="226"/>
      <c r="BD89" s="226"/>
      <c r="BE89" s="226"/>
      <c r="BF89" s="226"/>
      <c r="BG89" s="226"/>
    </row>
    <row r="90" spans="2:61" s="133" customFormat="1" ht="18.75" customHeight="1">
      <c r="B90" s="226"/>
      <c r="C90" s="228"/>
      <c r="D90" s="228"/>
      <c r="E90" s="228"/>
      <c r="F90" s="228"/>
      <c r="G90" s="228"/>
      <c r="H90" s="243"/>
      <c r="I90" s="252"/>
      <c r="J90" s="228"/>
      <c r="K90" s="393" t="s">
        <v>601</v>
      </c>
      <c r="L90" s="393"/>
      <c r="M90" s="393"/>
      <c r="N90" s="371" t="s">
        <v>342</v>
      </c>
      <c r="O90" s="391" t="s">
        <v>383</v>
      </c>
      <c r="P90" s="392"/>
      <c r="Q90" s="392"/>
      <c r="R90" s="392"/>
      <c r="S90" s="371" t="s">
        <v>342</v>
      </c>
      <c r="T90" s="394">
        <f>P89*1000</f>
        <v>0</v>
      </c>
      <c r="U90" s="394"/>
      <c r="V90" s="394"/>
      <c r="W90" s="246" t="s">
        <v>494</v>
      </c>
      <c r="X90" s="247"/>
      <c r="Y90" s="382" t="s">
        <v>342</v>
      </c>
      <c r="Z90" s="367">
        <f>T90/2/SQRT(3)</f>
        <v>0</v>
      </c>
      <c r="AA90" s="367"/>
      <c r="AB90" s="367"/>
      <c r="AC90" s="369" t="str">
        <f>W90</f>
        <v>μm</v>
      </c>
      <c r="AD90" s="369"/>
      <c r="AE90" s="228"/>
      <c r="AF90" s="226"/>
      <c r="AG90" s="226"/>
      <c r="AH90" s="226"/>
      <c r="AI90" s="226"/>
      <c r="AJ90" s="226"/>
      <c r="AK90" s="226"/>
      <c r="AL90" s="226"/>
      <c r="AM90" s="226"/>
      <c r="AN90" s="226"/>
      <c r="AO90" s="226"/>
      <c r="AP90" s="226"/>
      <c r="AQ90" s="226"/>
      <c r="AR90" s="226"/>
      <c r="AS90" s="228"/>
      <c r="AT90" s="228"/>
      <c r="AU90" s="228"/>
      <c r="AV90" s="228"/>
      <c r="AW90" s="228"/>
      <c r="AX90" s="228"/>
      <c r="AY90" s="228"/>
      <c r="AZ90" s="228"/>
      <c r="BA90" s="226"/>
      <c r="BB90" s="226"/>
      <c r="BC90" s="226"/>
      <c r="BD90" s="226"/>
      <c r="BE90" s="226"/>
      <c r="BF90" s="226"/>
      <c r="BG90" s="226"/>
      <c r="BH90" s="226"/>
      <c r="BI90" s="226"/>
    </row>
    <row r="91" spans="2:61" s="133" customFormat="1" ht="18.75" customHeight="1">
      <c r="B91" s="226"/>
      <c r="C91" s="228"/>
      <c r="D91" s="228"/>
      <c r="E91" s="228"/>
      <c r="F91" s="228"/>
      <c r="G91" s="228"/>
      <c r="H91" s="243"/>
      <c r="I91" s="252"/>
      <c r="J91" s="228"/>
      <c r="K91" s="393"/>
      <c r="L91" s="393"/>
      <c r="M91" s="393"/>
      <c r="N91" s="371"/>
      <c r="O91" s="376"/>
      <c r="P91" s="376"/>
      <c r="Q91" s="376"/>
      <c r="R91" s="376"/>
      <c r="S91" s="371"/>
      <c r="T91" s="395"/>
      <c r="U91" s="395"/>
      <c r="V91" s="395"/>
      <c r="W91" s="395"/>
      <c r="X91" s="395"/>
      <c r="Y91" s="382"/>
      <c r="Z91" s="367"/>
      <c r="AA91" s="367"/>
      <c r="AB91" s="367"/>
      <c r="AC91" s="369"/>
      <c r="AD91" s="369"/>
      <c r="AE91" s="228"/>
      <c r="AF91" s="226"/>
      <c r="AG91" s="226"/>
      <c r="AH91" s="226"/>
      <c r="AI91" s="226"/>
      <c r="AJ91" s="226"/>
      <c r="AK91" s="226"/>
      <c r="AL91" s="226"/>
      <c r="AM91" s="226"/>
      <c r="AN91" s="226"/>
      <c r="AO91" s="226"/>
      <c r="AP91" s="226"/>
      <c r="AQ91" s="226"/>
      <c r="AR91" s="226"/>
      <c r="AS91" s="228"/>
      <c r="AT91" s="228"/>
      <c r="AU91" s="228"/>
      <c r="AV91" s="228"/>
      <c r="AW91" s="228"/>
      <c r="AX91" s="228"/>
      <c r="AY91" s="228"/>
      <c r="AZ91" s="228"/>
      <c r="BA91" s="226"/>
      <c r="BB91" s="226"/>
      <c r="BC91" s="226"/>
      <c r="BD91" s="226"/>
      <c r="BE91" s="226"/>
      <c r="BF91" s="226"/>
      <c r="BG91" s="226"/>
      <c r="BH91" s="226"/>
      <c r="BI91" s="226"/>
    </row>
    <row r="92" spans="2:61" s="133" customFormat="1" ht="18.75" customHeight="1">
      <c r="B92" s="226"/>
      <c r="C92" s="228" t="s">
        <v>385</v>
      </c>
      <c r="D92" s="228"/>
      <c r="E92" s="228"/>
      <c r="F92" s="228"/>
      <c r="G92" s="228"/>
      <c r="H92" s="228"/>
      <c r="I92" s="374" t="str">
        <f>V37</f>
        <v>직사각형</v>
      </c>
      <c r="J92" s="374"/>
      <c r="K92" s="374"/>
      <c r="L92" s="374"/>
      <c r="M92" s="374"/>
      <c r="N92" s="374"/>
      <c r="O92" s="374"/>
      <c r="P92" s="374"/>
      <c r="Q92" s="228"/>
      <c r="R92" s="228"/>
      <c r="S92" s="228"/>
      <c r="T92" s="228"/>
      <c r="U92" s="228"/>
      <c r="V92" s="228"/>
      <c r="W92" s="228"/>
      <c r="X92" s="228"/>
      <c r="Y92" s="228"/>
      <c r="Z92" s="226"/>
      <c r="AA92" s="226"/>
      <c r="AB92" s="226"/>
      <c r="AC92" s="226"/>
      <c r="AD92" s="226"/>
      <c r="AE92" s="226"/>
      <c r="AF92" s="226"/>
      <c r="AG92" s="226"/>
      <c r="AH92" s="228"/>
      <c r="AI92" s="228"/>
      <c r="AJ92" s="228"/>
      <c r="AK92" s="228"/>
      <c r="AL92" s="228"/>
      <c r="AM92" s="228"/>
      <c r="AN92" s="228"/>
      <c r="AO92" s="228"/>
      <c r="AP92" s="228"/>
      <c r="AQ92" s="228"/>
      <c r="AR92" s="228"/>
      <c r="AS92" s="228"/>
      <c r="AT92" s="228"/>
      <c r="AU92" s="228"/>
      <c r="AV92" s="228"/>
      <c r="AW92" s="228"/>
      <c r="AX92" s="228"/>
      <c r="AY92" s="226"/>
      <c r="AZ92" s="226"/>
      <c r="BA92" s="226"/>
      <c r="BB92" s="226"/>
      <c r="BC92" s="226"/>
      <c r="BD92" s="226"/>
      <c r="BE92" s="226"/>
      <c r="BF92" s="226"/>
      <c r="BG92" s="226"/>
    </row>
    <row r="93" spans="2:61" s="133" customFormat="1" ht="18.75" customHeight="1">
      <c r="B93" s="226"/>
      <c r="C93" s="377" t="s">
        <v>141</v>
      </c>
      <c r="D93" s="377"/>
      <c r="E93" s="377"/>
      <c r="F93" s="377"/>
      <c r="G93" s="377"/>
      <c r="H93" s="377"/>
      <c r="I93" s="228"/>
      <c r="J93" s="228"/>
      <c r="K93" s="228"/>
      <c r="L93" s="228"/>
      <c r="M93" s="228"/>
      <c r="N93" s="228"/>
      <c r="O93" s="374">
        <f>AA37</f>
        <v>1</v>
      </c>
      <c r="P93" s="374"/>
      <c r="Q93" s="137"/>
      <c r="R93" s="137"/>
      <c r="S93" s="228"/>
      <c r="T93" s="228"/>
      <c r="U93" s="228"/>
      <c r="V93" s="228"/>
      <c r="W93" s="228"/>
      <c r="X93" s="228"/>
      <c r="Y93" s="228"/>
      <c r="Z93" s="138"/>
      <c r="AA93" s="138"/>
      <c r="AB93" s="228"/>
      <c r="AC93" s="228"/>
      <c r="AD93" s="228"/>
      <c r="AE93" s="228"/>
      <c r="AF93" s="228"/>
      <c r="AG93" s="228"/>
      <c r="AH93" s="228"/>
      <c r="AI93" s="228"/>
      <c r="AJ93" s="228"/>
      <c r="AK93" s="228"/>
      <c r="AL93" s="226"/>
      <c r="AM93" s="226"/>
      <c r="AN93" s="226"/>
      <c r="AO93" s="228"/>
      <c r="AP93" s="228"/>
      <c r="AQ93" s="228"/>
      <c r="AR93" s="228"/>
      <c r="AS93" s="228"/>
      <c r="AT93" s="228"/>
      <c r="AU93" s="228"/>
      <c r="AV93" s="228"/>
      <c r="AW93" s="228"/>
      <c r="AX93" s="228"/>
      <c r="AY93" s="226"/>
      <c r="AZ93" s="226"/>
      <c r="BA93" s="226"/>
      <c r="BB93" s="226"/>
      <c r="BC93" s="226"/>
      <c r="BD93" s="226"/>
      <c r="BE93" s="226"/>
      <c r="BF93" s="226"/>
      <c r="BG93" s="226"/>
    </row>
    <row r="94" spans="2:61" s="133" customFormat="1" ht="18.75" customHeight="1">
      <c r="B94" s="226"/>
      <c r="C94" s="377"/>
      <c r="D94" s="377"/>
      <c r="E94" s="377"/>
      <c r="F94" s="377"/>
      <c r="G94" s="377"/>
      <c r="H94" s="377"/>
      <c r="I94" s="228"/>
      <c r="J94" s="228"/>
      <c r="K94" s="228"/>
      <c r="L94" s="228"/>
      <c r="M94" s="228"/>
      <c r="N94" s="228"/>
      <c r="O94" s="374"/>
      <c r="P94" s="374"/>
      <c r="Q94" s="137"/>
      <c r="R94" s="137"/>
      <c r="S94" s="228"/>
      <c r="T94" s="228"/>
      <c r="U94" s="228"/>
      <c r="V94" s="228"/>
      <c r="W94" s="228"/>
      <c r="X94" s="228"/>
      <c r="Y94" s="228"/>
      <c r="Z94" s="138"/>
      <c r="AA94" s="138"/>
      <c r="AB94" s="228"/>
      <c r="AC94" s="228"/>
      <c r="AD94" s="228"/>
      <c r="AE94" s="228"/>
      <c r="AF94" s="228"/>
      <c r="AG94" s="228"/>
      <c r="AH94" s="228"/>
      <c r="AI94" s="228"/>
      <c r="AJ94" s="228"/>
      <c r="AK94" s="228"/>
      <c r="AL94" s="226"/>
      <c r="AM94" s="226"/>
      <c r="AN94" s="226"/>
      <c r="AO94" s="228"/>
      <c r="AP94" s="228"/>
      <c r="AQ94" s="228"/>
      <c r="AR94" s="228"/>
      <c r="AS94" s="228"/>
      <c r="AT94" s="228"/>
      <c r="AU94" s="228"/>
      <c r="AV94" s="228"/>
      <c r="AW94" s="228"/>
      <c r="AX94" s="228"/>
      <c r="AY94" s="226"/>
      <c r="AZ94" s="226"/>
      <c r="BA94" s="226"/>
      <c r="BB94" s="226"/>
      <c r="BC94" s="226"/>
      <c r="BD94" s="226"/>
      <c r="BE94" s="226"/>
      <c r="BF94" s="226"/>
      <c r="BG94" s="226"/>
    </row>
    <row r="95" spans="2:61" s="133" customFormat="1" ht="18.75" customHeight="1">
      <c r="B95" s="226"/>
      <c r="C95" s="228" t="s">
        <v>386</v>
      </c>
      <c r="D95" s="228"/>
      <c r="E95" s="228"/>
      <c r="F95" s="228"/>
      <c r="G95" s="228"/>
      <c r="H95" s="228"/>
      <c r="I95" s="228"/>
      <c r="J95" s="226"/>
      <c r="K95" s="226" t="s">
        <v>139</v>
      </c>
      <c r="L95" s="371">
        <f>O93</f>
        <v>1</v>
      </c>
      <c r="M95" s="371"/>
      <c r="N95" s="135" t="s">
        <v>387</v>
      </c>
      <c r="O95" s="367">
        <f>Z90</f>
        <v>0</v>
      </c>
      <c r="P95" s="367"/>
      <c r="Q95" s="367"/>
      <c r="R95" s="368" t="str">
        <f>AC90</f>
        <v>μm</v>
      </c>
      <c r="S95" s="369"/>
      <c r="T95" s="245" t="s">
        <v>79</v>
      </c>
      <c r="U95" s="72" t="s">
        <v>117</v>
      </c>
      <c r="V95" s="367">
        <f>O95</f>
        <v>0</v>
      </c>
      <c r="W95" s="367"/>
      <c r="X95" s="367"/>
      <c r="Y95" s="368" t="str">
        <f>R95</f>
        <v>μm</v>
      </c>
      <c r="Z95" s="369"/>
      <c r="AA95" s="244"/>
      <c r="AB95" s="243"/>
      <c r="AC95" s="243"/>
      <c r="AD95" s="56"/>
      <c r="AE95" s="56"/>
      <c r="AF95" s="226"/>
      <c r="AG95" s="226"/>
      <c r="AH95" s="226"/>
      <c r="AI95" s="226"/>
      <c r="AJ95" s="226"/>
      <c r="AK95" s="228"/>
      <c r="AL95" s="226"/>
      <c r="AM95" s="226"/>
      <c r="AN95" s="226"/>
      <c r="AO95" s="228"/>
      <c r="AP95" s="228"/>
      <c r="AQ95" s="228"/>
      <c r="AR95" s="228"/>
      <c r="AS95" s="228"/>
      <c r="AT95" s="228"/>
      <c r="AU95" s="228"/>
      <c r="AV95" s="228"/>
      <c r="AW95" s="228"/>
      <c r="AX95" s="228"/>
      <c r="AY95" s="226"/>
      <c r="AZ95" s="226"/>
      <c r="BA95" s="226"/>
      <c r="BB95" s="226"/>
      <c r="BC95" s="226"/>
      <c r="BD95" s="226"/>
      <c r="BE95" s="226"/>
      <c r="BF95" s="226"/>
      <c r="BG95" s="226"/>
    </row>
    <row r="96" spans="2:61" s="133" customFormat="1" ht="18.75" customHeight="1">
      <c r="B96" s="226"/>
      <c r="C96" s="377" t="s">
        <v>388</v>
      </c>
      <c r="D96" s="377"/>
      <c r="E96" s="377"/>
      <c r="F96" s="377"/>
      <c r="G96" s="377"/>
      <c r="H96" s="228"/>
      <c r="J96" s="228"/>
      <c r="K96" s="228"/>
      <c r="L96" s="228"/>
      <c r="M96" s="228"/>
      <c r="N96" s="228"/>
      <c r="O96" s="228"/>
      <c r="P96" s="228"/>
      <c r="Q96" s="228"/>
      <c r="R96" s="134"/>
      <c r="S96" s="228"/>
      <c r="T96" s="228"/>
      <c r="U96" s="228"/>
      <c r="W96" s="228"/>
      <c r="X96" s="56" t="s">
        <v>145</v>
      </c>
      <c r="Y96" s="228"/>
      <c r="Z96" s="228"/>
      <c r="AA96" s="228"/>
      <c r="AB96" s="228"/>
      <c r="AC96" s="228"/>
      <c r="AD96" s="228"/>
      <c r="AE96" s="226"/>
      <c r="AF96" s="226"/>
      <c r="AG96" s="226"/>
      <c r="AH96" s="226"/>
      <c r="AI96" s="226"/>
      <c r="AJ96" s="226"/>
      <c r="AK96" s="226"/>
      <c r="AL96" s="226"/>
      <c r="AM96" s="226"/>
      <c r="AN96" s="226"/>
      <c r="AO96" s="226"/>
      <c r="AP96" s="226"/>
      <c r="AQ96" s="226"/>
      <c r="AR96" s="226"/>
      <c r="AS96" s="226"/>
      <c r="AT96" s="226"/>
      <c r="AU96" s="226"/>
      <c r="AV96" s="226"/>
      <c r="AW96" s="226"/>
      <c r="AX96" s="226"/>
      <c r="AY96" s="226"/>
      <c r="AZ96" s="226"/>
      <c r="BA96" s="226"/>
      <c r="BB96" s="226"/>
      <c r="BC96" s="226"/>
      <c r="BD96" s="226"/>
      <c r="BE96" s="226"/>
      <c r="BF96" s="226"/>
      <c r="BG96" s="226"/>
    </row>
    <row r="97" spans="1:60" s="133" customFormat="1" ht="18.75" customHeight="1">
      <c r="B97" s="226"/>
      <c r="C97" s="377"/>
      <c r="D97" s="377"/>
      <c r="E97" s="377"/>
      <c r="F97" s="377"/>
      <c r="G97" s="377"/>
      <c r="H97" s="228"/>
      <c r="I97" s="228"/>
      <c r="J97" s="228"/>
      <c r="K97" s="228"/>
      <c r="L97" s="228"/>
      <c r="M97" s="228"/>
      <c r="N97" s="228"/>
      <c r="O97" s="228"/>
      <c r="P97" s="228"/>
      <c r="Q97" s="228"/>
      <c r="R97" s="134"/>
      <c r="S97" s="228"/>
      <c r="T97" s="228"/>
      <c r="U97" s="228"/>
      <c r="V97" s="228"/>
      <c r="W97" s="228"/>
      <c r="X97" s="228"/>
      <c r="Y97" s="228"/>
      <c r="Z97" s="228"/>
      <c r="AA97" s="228"/>
      <c r="AB97" s="228"/>
      <c r="AC97" s="228"/>
      <c r="AD97" s="228"/>
      <c r="AE97" s="226"/>
      <c r="AF97" s="226"/>
      <c r="AG97" s="226"/>
      <c r="AH97" s="226"/>
      <c r="AI97" s="226"/>
      <c r="AJ97" s="226"/>
      <c r="AK97" s="226"/>
      <c r="AL97" s="226"/>
      <c r="AM97" s="226"/>
      <c r="AN97" s="226"/>
      <c r="AO97" s="226"/>
      <c r="AP97" s="226"/>
      <c r="AQ97" s="226"/>
      <c r="AR97" s="226"/>
      <c r="AS97" s="226"/>
      <c r="AT97" s="226"/>
      <c r="AU97" s="226"/>
      <c r="AV97" s="226"/>
      <c r="AW97" s="226"/>
      <c r="AX97" s="226"/>
      <c r="AY97" s="226"/>
      <c r="AZ97" s="226"/>
      <c r="BA97" s="226"/>
      <c r="BB97" s="226"/>
      <c r="BC97" s="226"/>
      <c r="BD97" s="226"/>
      <c r="BE97" s="226"/>
      <c r="BF97" s="226"/>
      <c r="BG97" s="226"/>
    </row>
    <row r="98" spans="1:60" s="133" customFormat="1" ht="18.75" customHeight="1">
      <c r="B98" s="226"/>
      <c r="C98" s="57"/>
      <c r="D98" s="228"/>
      <c r="E98" s="228"/>
      <c r="F98" s="228"/>
      <c r="G98" s="226"/>
      <c r="H98" s="228"/>
      <c r="I98" s="228"/>
      <c r="J98" s="228"/>
      <c r="K98" s="228"/>
      <c r="L98" s="228"/>
      <c r="M98" s="228"/>
      <c r="N98" s="228"/>
      <c r="O98" s="228"/>
      <c r="P98" s="228"/>
      <c r="Q98" s="228"/>
      <c r="R98" s="228"/>
      <c r="S98" s="228"/>
      <c r="T98" s="228"/>
      <c r="U98" s="228"/>
      <c r="V98" s="228"/>
      <c r="W98" s="228"/>
      <c r="X98" s="228"/>
      <c r="Y98" s="228"/>
      <c r="Z98" s="228"/>
      <c r="AA98" s="228"/>
      <c r="AB98" s="228"/>
      <c r="AC98" s="228"/>
      <c r="AD98" s="228"/>
      <c r="AE98" s="226"/>
      <c r="AF98" s="228"/>
      <c r="AG98" s="226"/>
      <c r="AH98" s="226"/>
      <c r="AI98" s="226"/>
      <c r="AJ98" s="226"/>
      <c r="AK98" s="226"/>
      <c r="AL98" s="226"/>
      <c r="AM98" s="226"/>
      <c r="AN98" s="226"/>
      <c r="AO98" s="226"/>
      <c r="AP98" s="226"/>
      <c r="AQ98" s="226"/>
      <c r="AR98" s="226"/>
      <c r="AS98" s="226"/>
      <c r="AT98" s="226"/>
      <c r="AU98" s="226"/>
      <c r="AV98" s="226"/>
      <c r="AW98" s="226"/>
      <c r="AX98" s="226"/>
      <c r="AY98" s="226"/>
      <c r="AZ98" s="226"/>
      <c r="BA98" s="226"/>
      <c r="BB98" s="226"/>
      <c r="BC98" s="226"/>
      <c r="BD98" s="226"/>
      <c r="BE98" s="226"/>
      <c r="BF98" s="226"/>
      <c r="BG98" s="226"/>
    </row>
    <row r="99" spans="1:60" s="133" customFormat="1" ht="18.75" customHeight="1">
      <c r="A99" s="57" t="s">
        <v>146</v>
      </c>
      <c r="B99" s="226"/>
      <c r="C99" s="226"/>
      <c r="D99" s="226"/>
      <c r="E99" s="226"/>
      <c r="F99" s="226"/>
      <c r="G99" s="226"/>
      <c r="H99" s="226"/>
      <c r="I99" s="226"/>
      <c r="J99" s="226"/>
      <c r="K99" s="226"/>
      <c r="L99" s="226"/>
      <c r="M99" s="226"/>
      <c r="N99" s="226"/>
      <c r="O99" s="226"/>
      <c r="P99" s="226"/>
      <c r="Q99" s="226"/>
      <c r="R99" s="226"/>
      <c r="S99" s="226"/>
      <c r="T99" s="226"/>
      <c r="U99" s="226"/>
      <c r="V99" s="226"/>
      <c r="W99" s="226"/>
      <c r="X99" s="226"/>
      <c r="Y99" s="226"/>
      <c r="Z99" s="226"/>
      <c r="AA99" s="226"/>
      <c r="AB99" s="226"/>
      <c r="AC99" s="226"/>
      <c r="AD99" s="226"/>
      <c r="AE99" s="226"/>
      <c r="AF99" s="226"/>
      <c r="AG99" s="226"/>
      <c r="AH99" s="226"/>
      <c r="AI99" s="226"/>
      <c r="AJ99" s="226"/>
      <c r="AK99" s="226"/>
      <c r="AL99" s="226"/>
      <c r="AM99" s="226"/>
      <c r="AN99" s="226"/>
      <c r="AO99" s="226"/>
      <c r="AP99" s="226"/>
      <c r="AQ99" s="226"/>
      <c r="AR99" s="226"/>
      <c r="AS99" s="226"/>
      <c r="AT99" s="226"/>
      <c r="AU99" s="226"/>
      <c r="AV99" s="226"/>
      <c r="AW99" s="226"/>
      <c r="AX99" s="226"/>
      <c r="AY99" s="226"/>
      <c r="AZ99" s="226"/>
      <c r="BA99" s="226"/>
      <c r="BB99" s="226"/>
      <c r="BC99" s="226"/>
      <c r="BD99" s="226"/>
      <c r="BE99" s="226"/>
      <c r="BF99" s="226"/>
    </row>
    <row r="100" spans="1:60" s="133" customFormat="1" ht="18.75" customHeight="1">
      <c r="A100" s="226"/>
      <c r="B100" s="226"/>
      <c r="C100" s="226"/>
      <c r="D100" s="226"/>
      <c r="E100" s="226"/>
      <c r="F100" s="226"/>
      <c r="G100" s="226"/>
      <c r="H100" s="226"/>
      <c r="I100" s="226"/>
      <c r="J100" s="226"/>
      <c r="K100" s="226"/>
      <c r="L100" s="226"/>
      <c r="M100" s="226"/>
      <c r="N100" s="226"/>
      <c r="O100" s="226"/>
      <c r="P100" s="226"/>
      <c r="Q100" s="226"/>
      <c r="R100" s="226"/>
      <c r="S100" s="226"/>
      <c r="T100" s="226"/>
      <c r="U100" s="226"/>
      <c r="V100" s="226"/>
      <c r="W100" s="226"/>
      <c r="X100" s="226"/>
      <c r="Y100" s="226"/>
      <c r="Z100" s="226"/>
      <c r="AA100" s="226"/>
      <c r="AB100" s="226"/>
      <c r="AC100" s="226"/>
      <c r="AD100" s="226"/>
      <c r="AE100" s="228"/>
      <c r="AF100" s="226"/>
      <c r="AG100" s="226"/>
      <c r="AH100" s="226"/>
      <c r="AI100" s="226"/>
      <c r="AJ100" s="226"/>
      <c r="AK100" s="226"/>
      <c r="AL100" s="226"/>
      <c r="AM100" s="226"/>
      <c r="AN100" s="226"/>
      <c r="AO100" s="226"/>
      <c r="AP100" s="226"/>
      <c r="AQ100" s="226"/>
      <c r="AR100" s="226"/>
      <c r="AS100" s="226"/>
      <c r="AT100" s="226"/>
      <c r="AU100" s="226"/>
      <c r="AV100" s="226"/>
      <c r="AW100" s="226"/>
      <c r="AX100" s="226"/>
      <c r="AY100" s="226"/>
      <c r="AZ100" s="226"/>
      <c r="BA100" s="226"/>
      <c r="BB100" s="226"/>
      <c r="BC100" s="226"/>
      <c r="BD100" s="226"/>
      <c r="BE100" s="226"/>
      <c r="BF100" s="226"/>
    </row>
    <row r="101" spans="1:60" s="58" customFormat="1" ht="18.75" customHeight="1">
      <c r="A101" s="228"/>
      <c r="B101" s="228"/>
      <c r="C101" s="228"/>
      <c r="D101" s="228"/>
      <c r="E101" s="226" t="s">
        <v>342</v>
      </c>
      <c r="F101" s="399">
        <f>AH34</f>
        <v>0</v>
      </c>
      <c r="G101" s="399"/>
      <c r="H101" s="399"/>
      <c r="I101" s="228" t="s">
        <v>109</v>
      </c>
      <c r="J101" s="228"/>
      <c r="K101" s="371" t="s">
        <v>389</v>
      </c>
      <c r="L101" s="371"/>
      <c r="M101" s="399" t="e">
        <f>AH35</f>
        <v>#DIV/0!</v>
      </c>
      <c r="N101" s="399"/>
      <c r="O101" s="399"/>
      <c r="P101" s="228" t="s">
        <v>109</v>
      </c>
      <c r="Q101" s="228"/>
      <c r="R101" s="371" t="s">
        <v>147</v>
      </c>
      <c r="S101" s="371"/>
      <c r="T101" s="399">
        <f>AH36</f>
        <v>0.57735026918962584</v>
      </c>
      <c r="U101" s="399"/>
      <c r="V101" s="399"/>
      <c r="W101" s="228" t="s">
        <v>109</v>
      </c>
      <c r="X101" s="228"/>
      <c r="Y101" s="371" t="s">
        <v>147</v>
      </c>
      <c r="Z101" s="371"/>
      <c r="AA101" s="399">
        <f>AH37</f>
        <v>0</v>
      </c>
      <c r="AB101" s="399"/>
      <c r="AC101" s="399"/>
      <c r="AD101" s="228" t="s">
        <v>362</v>
      </c>
      <c r="AE101" s="228"/>
      <c r="AF101" s="228"/>
      <c r="AG101" s="228"/>
      <c r="AH101" s="232"/>
      <c r="AI101" s="232"/>
      <c r="AJ101" s="232"/>
      <c r="AK101" s="228"/>
      <c r="AL101" s="228"/>
      <c r="AM101" s="228"/>
      <c r="AN101" s="228"/>
      <c r="AO101" s="227"/>
      <c r="AP101" s="228"/>
      <c r="AQ101" s="228"/>
      <c r="AR101" s="228"/>
      <c r="AS101" s="228"/>
      <c r="AT101" s="228"/>
      <c r="AU101" s="228"/>
      <c r="AV101" s="228"/>
      <c r="AW101" s="228"/>
      <c r="AX101" s="228"/>
      <c r="AY101" s="228"/>
      <c r="AZ101" s="228"/>
      <c r="BA101" s="228"/>
      <c r="BB101" s="228"/>
      <c r="BC101" s="228"/>
      <c r="BD101" s="228"/>
      <c r="BE101" s="228"/>
      <c r="BF101" s="228"/>
      <c r="BG101" s="228"/>
      <c r="BH101" s="228"/>
    </row>
    <row r="102" spans="1:60" s="58" customFormat="1" ht="18.75" customHeight="1">
      <c r="A102" s="228"/>
      <c r="B102" s="228"/>
      <c r="C102" s="228"/>
      <c r="D102" s="228"/>
      <c r="E102" s="226" t="s">
        <v>117</v>
      </c>
      <c r="F102" s="399" t="e">
        <f>AH38</f>
        <v>#DIV/0!</v>
      </c>
      <c r="G102" s="399"/>
      <c r="H102" s="399"/>
      <c r="I102" s="228" t="s">
        <v>362</v>
      </c>
      <c r="J102" s="228"/>
      <c r="K102" s="228"/>
      <c r="L102" s="228"/>
      <c r="M102" s="141"/>
      <c r="N102" s="141"/>
      <c r="O102" s="141"/>
      <c r="P102" s="141"/>
      <c r="Q102" s="228"/>
      <c r="R102" s="228"/>
      <c r="S102" s="228"/>
      <c r="T102" s="228"/>
      <c r="U102" s="228"/>
      <c r="V102" s="228"/>
      <c r="W102" s="228"/>
      <c r="X102" s="228"/>
      <c r="Y102" s="228"/>
      <c r="Z102" s="228"/>
      <c r="AA102" s="228"/>
      <c r="AB102" s="228"/>
      <c r="AC102" s="228"/>
      <c r="AD102" s="228"/>
      <c r="AE102" s="228"/>
      <c r="AF102" s="228"/>
      <c r="AG102" s="226"/>
      <c r="AH102" s="228"/>
      <c r="AI102" s="228"/>
      <c r="AJ102" s="228"/>
      <c r="AK102" s="228"/>
      <c r="AL102" s="228"/>
      <c r="AM102" s="228"/>
      <c r="AN102" s="228"/>
      <c r="AO102" s="228"/>
      <c r="AP102" s="228"/>
      <c r="AQ102" s="228"/>
      <c r="AR102" s="228"/>
      <c r="AS102" s="228"/>
      <c r="AT102" s="228"/>
      <c r="AU102" s="228"/>
      <c r="AV102" s="228"/>
      <c r="AW102" s="228"/>
      <c r="AX102" s="228"/>
      <c r="AY102" s="228"/>
      <c r="AZ102" s="228"/>
      <c r="BA102" s="228"/>
      <c r="BB102" s="228"/>
      <c r="BC102" s="228"/>
      <c r="BD102" s="228"/>
      <c r="BE102" s="228"/>
      <c r="BF102" s="228"/>
      <c r="BG102" s="228"/>
      <c r="BH102" s="228"/>
    </row>
    <row r="103" spans="1:60" s="58" customFormat="1" ht="18.75" customHeight="1">
      <c r="A103" s="228"/>
      <c r="B103" s="228"/>
      <c r="C103" s="228"/>
      <c r="D103" s="132"/>
      <c r="E103" s="132"/>
      <c r="F103" s="132"/>
      <c r="G103" s="228"/>
      <c r="H103" s="228"/>
      <c r="I103" s="226"/>
      <c r="J103" s="226"/>
      <c r="K103" s="142"/>
      <c r="L103" s="142"/>
      <c r="M103" s="142"/>
      <c r="N103" s="142"/>
      <c r="O103" s="228"/>
      <c r="P103" s="228"/>
      <c r="Q103" s="228"/>
      <c r="R103" s="228"/>
      <c r="S103" s="228"/>
      <c r="T103" s="228"/>
      <c r="U103" s="228"/>
      <c r="V103" s="228"/>
      <c r="W103" s="228"/>
      <c r="X103" s="228"/>
      <c r="Y103" s="228"/>
      <c r="Z103" s="228"/>
      <c r="AA103" s="228"/>
      <c r="AB103" s="228"/>
      <c r="AC103" s="228"/>
      <c r="AD103" s="228"/>
      <c r="AE103" s="228"/>
      <c r="AF103" s="228"/>
      <c r="AG103" s="228"/>
      <c r="AH103" s="228"/>
      <c r="AI103" s="228"/>
      <c r="AJ103" s="228"/>
      <c r="AK103" s="228"/>
      <c r="AL103" s="228"/>
      <c r="AM103" s="228"/>
      <c r="AN103" s="228"/>
      <c r="AO103" s="228"/>
      <c r="AP103" s="228"/>
      <c r="AQ103" s="228"/>
      <c r="AR103" s="228"/>
      <c r="AS103" s="228"/>
      <c r="AT103" s="228"/>
      <c r="AU103" s="228"/>
      <c r="AV103" s="228"/>
      <c r="AW103" s="228"/>
      <c r="AX103" s="228"/>
      <c r="AY103" s="228"/>
      <c r="AZ103" s="228"/>
      <c r="BA103" s="228"/>
      <c r="BB103" s="228"/>
      <c r="BC103" s="228"/>
      <c r="BD103" s="228"/>
      <c r="BE103" s="228"/>
      <c r="BF103" s="228"/>
    </row>
    <row r="104" spans="1:60" s="133" customFormat="1" ht="18.75" customHeight="1">
      <c r="A104" s="226"/>
      <c r="B104" s="226"/>
      <c r="C104" s="226"/>
      <c r="D104" s="135" t="s">
        <v>390</v>
      </c>
      <c r="E104" s="399" t="e">
        <f>F102</f>
        <v>#DIV/0!</v>
      </c>
      <c r="F104" s="399"/>
      <c r="G104" s="399"/>
      <c r="H104" s="228" t="s">
        <v>109</v>
      </c>
      <c r="I104" s="228"/>
      <c r="J104" s="141"/>
      <c r="K104" s="141"/>
      <c r="L104" s="141"/>
      <c r="M104" s="141"/>
      <c r="N104" s="226"/>
      <c r="O104" s="226"/>
      <c r="P104" s="228"/>
      <c r="Q104" s="226"/>
      <c r="R104" s="226"/>
      <c r="S104" s="226"/>
      <c r="T104" s="226"/>
      <c r="U104" s="226"/>
      <c r="V104" s="226"/>
      <c r="W104" s="226"/>
      <c r="X104" s="226"/>
      <c r="Y104" s="226"/>
      <c r="Z104" s="226"/>
      <c r="AA104" s="226"/>
      <c r="AB104" s="226"/>
      <c r="AC104" s="226"/>
      <c r="AD104" s="226"/>
      <c r="AE104" s="228"/>
      <c r="AF104" s="226"/>
      <c r="AG104" s="226"/>
      <c r="AH104" s="226"/>
      <c r="AI104" s="226"/>
      <c r="AJ104" s="226"/>
      <c r="AK104" s="226"/>
      <c r="AL104" s="226"/>
      <c r="AM104" s="226"/>
      <c r="AN104" s="226"/>
      <c r="AO104" s="226"/>
      <c r="AP104" s="226"/>
      <c r="AQ104" s="226"/>
      <c r="AR104" s="226"/>
      <c r="AS104" s="226"/>
      <c r="AT104" s="226"/>
      <c r="AU104" s="226"/>
      <c r="AV104" s="226"/>
      <c r="AW104" s="226"/>
      <c r="AX104" s="226"/>
      <c r="AY104" s="226"/>
      <c r="AZ104" s="226"/>
      <c r="BA104" s="226"/>
      <c r="BB104" s="226"/>
      <c r="BC104" s="226"/>
      <c r="BD104" s="226"/>
      <c r="BE104" s="226"/>
      <c r="BF104" s="226"/>
    </row>
    <row r="105" spans="1:60" s="228" customFormat="1" ht="18.75" customHeight="1"/>
    <row r="106" spans="1:60" ht="18.75" customHeight="1">
      <c r="A106" s="57" t="s">
        <v>148</v>
      </c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</row>
    <row r="107" spans="1:60" ht="18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370" t="e">
        <f>E104</f>
        <v>#DIV/0!</v>
      </c>
      <c r="M107" s="370"/>
      <c r="N107" s="370"/>
      <c r="O107" s="370"/>
      <c r="P107" s="370"/>
      <c r="Q107" s="370"/>
      <c r="R107" s="370"/>
      <c r="S107" s="370"/>
      <c r="T107" s="370"/>
      <c r="U107" s="370"/>
      <c r="V107" s="370"/>
      <c r="W107" s="370"/>
      <c r="X107" s="370"/>
      <c r="Y107" s="370"/>
      <c r="Z107" s="370"/>
      <c r="AA107" s="370"/>
      <c r="AB107" s="370"/>
      <c r="AC107" s="370"/>
      <c r="AD107" s="370"/>
      <c r="AE107" s="371" t="s">
        <v>342</v>
      </c>
      <c r="AF107" s="372" t="str">
        <f>TRIM(AP38)</f>
        <v>∞</v>
      </c>
      <c r="AG107" s="372"/>
      <c r="AH107" s="169"/>
      <c r="AI107" s="56"/>
      <c r="AJ107" s="56"/>
      <c r="AK107" s="56"/>
      <c r="AL107" s="56"/>
      <c r="AM107" s="228"/>
      <c r="AN107" s="228"/>
      <c r="AQ107" s="143"/>
      <c r="AR107" s="143"/>
      <c r="AS107" s="143"/>
      <c r="AT107" s="143"/>
      <c r="AU107" s="143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</row>
    <row r="108" spans="1:60" ht="18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373">
        <f>AH34</f>
        <v>0</v>
      </c>
      <c r="M108" s="373"/>
      <c r="N108" s="373"/>
      <c r="O108" s="373"/>
      <c r="P108" s="371" t="s">
        <v>147</v>
      </c>
      <c r="Q108" s="373" t="e">
        <f>AH35</f>
        <v>#DIV/0!</v>
      </c>
      <c r="R108" s="373"/>
      <c r="S108" s="373"/>
      <c r="T108" s="373"/>
      <c r="U108" s="371" t="s">
        <v>391</v>
      </c>
      <c r="V108" s="370">
        <f>AH36</f>
        <v>0.57735026918962584</v>
      </c>
      <c r="W108" s="370"/>
      <c r="X108" s="370"/>
      <c r="Y108" s="370"/>
      <c r="Z108" s="371" t="s">
        <v>147</v>
      </c>
      <c r="AA108" s="373">
        <f>AH37</f>
        <v>0</v>
      </c>
      <c r="AB108" s="373"/>
      <c r="AC108" s="373"/>
      <c r="AD108" s="373"/>
      <c r="AE108" s="371"/>
      <c r="AF108" s="372"/>
      <c r="AG108" s="372"/>
      <c r="AH108" s="169"/>
      <c r="AI108" s="56"/>
      <c r="AJ108" s="56"/>
      <c r="AK108" s="56"/>
      <c r="AL108" s="56"/>
      <c r="AM108" s="56"/>
      <c r="AN108" s="56"/>
      <c r="AQ108" s="143"/>
      <c r="AR108" s="143"/>
      <c r="AS108" s="143"/>
      <c r="AT108" s="143"/>
      <c r="AU108" s="143"/>
    </row>
    <row r="109" spans="1:60" ht="18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371" t="str">
        <f>AP34</f>
        <v>∞</v>
      </c>
      <c r="M109" s="371"/>
      <c r="N109" s="371"/>
      <c r="O109" s="371"/>
      <c r="P109" s="371"/>
      <c r="Q109" s="371" t="str">
        <f>AP35</f>
        <v>∞</v>
      </c>
      <c r="R109" s="371"/>
      <c r="S109" s="371"/>
      <c r="T109" s="371"/>
      <c r="U109" s="371"/>
      <c r="V109" s="371" t="str">
        <f>AP36</f>
        <v>∞</v>
      </c>
      <c r="W109" s="371"/>
      <c r="X109" s="371"/>
      <c r="Y109" s="371"/>
      <c r="Z109" s="371"/>
      <c r="AA109" s="371" t="str">
        <f>AP37</f>
        <v>∞</v>
      </c>
      <c r="AB109" s="371"/>
      <c r="AC109" s="371"/>
      <c r="AD109" s="371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</row>
    <row r="110" spans="1:60" ht="18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1:60" ht="18.75" customHeight="1">
      <c r="A111" s="57" t="s">
        <v>392</v>
      </c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</row>
    <row r="112" spans="1:60" ht="18.75" customHeight="1">
      <c r="A112" s="57"/>
      <c r="B112" s="56" t="s">
        <v>393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</row>
    <row r="113" spans="1:56" ht="18.75" customHeight="1">
      <c r="A113" s="57"/>
      <c r="B113" s="56"/>
      <c r="C113" s="56" t="s">
        <v>151</v>
      </c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</row>
    <row r="114" spans="1:56" ht="18.75" customHeight="1">
      <c r="A114" s="57"/>
      <c r="B114" s="56"/>
      <c r="C114" s="55" t="s">
        <v>394</v>
      </c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</row>
    <row r="115" spans="1:56" ht="18.75" customHeight="1">
      <c r="A115" s="57"/>
      <c r="B115" s="56"/>
      <c r="C115" s="228" t="s">
        <v>395</v>
      </c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</row>
    <row r="116" spans="1:56" ht="18.75" customHeight="1">
      <c r="A116" s="57"/>
      <c r="B116" s="56"/>
      <c r="D116" s="56"/>
      <c r="E116" s="135"/>
      <c r="F116" s="56"/>
      <c r="G116" s="234"/>
      <c r="H116" s="226"/>
      <c r="I116" s="226"/>
      <c r="J116" s="226"/>
      <c r="R116" s="135"/>
      <c r="S116" s="144"/>
      <c r="T116" s="144"/>
      <c r="U116" s="144"/>
      <c r="V116" s="144"/>
      <c r="W116" s="144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</row>
    <row r="117" spans="1:56" ht="18.75" customHeight="1">
      <c r="A117" s="57"/>
      <c r="B117" s="56" t="s">
        <v>396</v>
      </c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</row>
    <row r="118" spans="1:56" ht="18.75" customHeight="1">
      <c r="A118" s="57"/>
      <c r="B118" s="56"/>
      <c r="C118" s="56" t="s">
        <v>397</v>
      </c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</row>
    <row r="119" spans="1:56" ht="18.75" customHeight="1">
      <c r="B119" s="56"/>
      <c r="C119" s="56" t="s">
        <v>398</v>
      </c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</row>
    <row r="120" spans="1:56" ht="18.75" customHeight="1">
      <c r="A120" s="56"/>
      <c r="B120" s="56"/>
      <c r="C120" s="55" t="s">
        <v>399</v>
      </c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</row>
    <row r="121" spans="1:56" ht="18.75" customHeight="1">
      <c r="A121" s="56"/>
      <c r="B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</row>
    <row r="122" spans="1:56" ht="18.75" customHeight="1">
      <c r="A122" s="56"/>
      <c r="B122" s="56"/>
      <c r="C122" s="56"/>
      <c r="D122" s="56"/>
      <c r="E122" s="59"/>
      <c r="F122" s="56"/>
      <c r="G122" s="56"/>
      <c r="H122" s="234" t="s">
        <v>400</v>
      </c>
      <c r="I122" s="371" t="e">
        <f ca="1">Calcu!E34</f>
        <v>#DIV/0!</v>
      </c>
      <c r="J122" s="371"/>
      <c r="K122" s="371"/>
      <c r="L122" s="233" t="s">
        <v>118</v>
      </c>
      <c r="M122" s="396" t="e">
        <f>E104</f>
        <v>#DIV/0!</v>
      </c>
      <c r="N122" s="396"/>
      <c r="O122" s="396"/>
      <c r="P122" s="396"/>
      <c r="Q122" s="55" t="s">
        <v>401</v>
      </c>
      <c r="R122" s="397" t="e">
        <f ca="1">I122*M122</f>
        <v>#DIV/0!</v>
      </c>
      <c r="S122" s="397"/>
      <c r="T122" s="397"/>
      <c r="U122" s="397"/>
      <c r="V122" s="56" t="s">
        <v>402</v>
      </c>
      <c r="W122" s="398" t="e">
        <f ca="1">I122*M122</f>
        <v>#DIV/0!</v>
      </c>
      <c r="X122" s="398"/>
      <c r="Y122" s="398"/>
      <c r="Z122" s="398"/>
      <c r="AL122" s="56"/>
      <c r="AM122" s="56"/>
      <c r="AN122" s="56"/>
      <c r="AO122" s="56"/>
      <c r="AP122" s="56"/>
      <c r="AQ122" s="56"/>
      <c r="AR122" s="56"/>
      <c r="AS122" s="56"/>
      <c r="AT122" s="56"/>
    </row>
    <row r="124" spans="1:56" s="68" customFormat="1" ht="18.75" customHeight="1">
      <c r="A124" s="57" t="s">
        <v>403</v>
      </c>
    </row>
    <row r="125" spans="1:56" ht="18.75" customHeight="1">
      <c r="A125" s="57" t="s">
        <v>404</v>
      </c>
      <c r="B125" s="226"/>
      <c r="C125" s="226"/>
      <c r="D125" s="226"/>
      <c r="E125" s="226"/>
      <c r="F125" s="226"/>
      <c r="G125" s="226"/>
      <c r="H125" s="226"/>
      <c r="I125" s="226"/>
      <c r="J125" s="226"/>
      <c r="K125" s="226"/>
      <c r="L125" s="226"/>
      <c r="M125" s="226"/>
      <c r="N125" s="226"/>
      <c r="O125" s="226"/>
      <c r="P125" s="226"/>
      <c r="Q125" s="226"/>
      <c r="R125" s="226"/>
      <c r="S125" s="226"/>
      <c r="T125" s="226"/>
      <c r="U125" s="226"/>
      <c r="V125" s="226"/>
      <c r="W125" s="226"/>
      <c r="X125" s="226"/>
      <c r="Y125" s="226"/>
      <c r="Z125" s="226"/>
      <c r="AA125" s="226"/>
      <c r="AB125" s="226"/>
      <c r="AC125" s="226"/>
      <c r="AD125" s="226"/>
      <c r="AE125" s="226"/>
      <c r="AF125" s="226"/>
      <c r="AG125" s="226"/>
      <c r="AH125" s="226"/>
      <c r="AI125" s="226"/>
      <c r="AJ125" s="226"/>
      <c r="AK125" s="226"/>
      <c r="AL125" s="226"/>
      <c r="AM125" s="226"/>
      <c r="AN125" s="226"/>
      <c r="AO125" s="226"/>
      <c r="AP125" s="226"/>
      <c r="AQ125" s="226"/>
      <c r="AR125" s="226"/>
    </row>
    <row r="126" spans="1:56" ht="18.75" customHeight="1">
      <c r="A126" s="57"/>
      <c r="B126" s="420" t="s">
        <v>405</v>
      </c>
      <c r="C126" s="421"/>
      <c r="D126" s="421"/>
      <c r="E126" s="421"/>
      <c r="F126" s="421"/>
      <c r="G126" s="421"/>
      <c r="H126" s="421"/>
      <c r="I126" s="421"/>
      <c r="J126" s="421"/>
      <c r="K126" s="422"/>
      <c r="L126" s="420" t="s">
        <v>406</v>
      </c>
      <c r="M126" s="421"/>
      <c r="N126" s="421"/>
      <c r="O126" s="421"/>
      <c r="P126" s="422"/>
      <c r="Q126" s="413" t="s">
        <v>407</v>
      </c>
      <c r="R126" s="414"/>
      <c r="S126" s="414"/>
      <c r="T126" s="414"/>
      <c r="U126" s="414"/>
      <c r="V126" s="414"/>
      <c r="W126" s="414"/>
      <c r="X126" s="414"/>
      <c r="Y126" s="414"/>
      <c r="Z126" s="414"/>
      <c r="AA126" s="414"/>
      <c r="AB126" s="414"/>
      <c r="AC126" s="414"/>
      <c r="AD126" s="414"/>
      <c r="AE126" s="414"/>
      <c r="AF126" s="414"/>
      <c r="AG126" s="414"/>
      <c r="AH126" s="414"/>
      <c r="AI126" s="414"/>
      <c r="AJ126" s="414"/>
      <c r="AK126" s="414"/>
      <c r="AL126" s="414"/>
      <c r="AM126" s="414"/>
      <c r="AN126" s="414"/>
      <c r="AO126" s="415"/>
      <c r="AP126" s="420" t="s">
        <v>408</v>
      </c>
      <c r="AQ126" s="421"/>
      <c r="AR126" s="421"/>
      <c r="AS126" s="421"/>
      <c r="AT126" s="422"/>
      <c r="AU126" s="420" t="s">
        <v>409</v>
      </c>
      <c r="AV126" s="421"/>
      <c r="AW126" s="421"/>
      <c r="AX126" s="421"/>
      <c r="AY126" s="422"/>
    </row>
    <row r="127" spans="1:56" ht="18.75" customHeight="1">
      <c r="A127" s="57"/>
      <c r="B127" s="423"/>
      <c r="C127" s="424"/>
      <c r="D127" s="424"/>
      <c r="E127" s="424"/>
      <c r="F127" s="424"/>
      <c r="G127" s="424"/>
      <c r="H127" s="424"/>
      <c r="I127" s="424"/>
      <c r="J127" s="424"/>
      <c r="K127" s="425"/>
      <c r="L127" s="423"/>
      <c r="M127" s="424"/>
      <c r="N127" s="424"/>
      <c r="O127" s="424"/>
      <c r="P127" s="425"/>
      <c r="Q127" s="413" t="s">
        <v>410</v>
      </c>
      <c r="R127" s="414"/>
      <c r="S127" s="414"/>
      <c r="T127" s="414"/>
      <c r="U127" s="415"/>
      <c r="V127" s="413" t="s">
        <v>411</v>
      </c>
      <c r="W127" s="414"/>
      <c r="X127" s="414"/>
      <c r="Y127" s="414"/>
      <c r="Z127" s="415"/>
      <c r="AA127" s="413" t="s">
        <v>412</v>
      </c>
      <c r="AB127" s="414"/>
      <c r="AC127" s="414"/>
      <c r="AD127" s="414"/>
      <c r="AE127" s="415"/>
      <c r="AF127" s="413" t="s">
        <v>413</v>
      </c>
      <c r="AG127" s="414"/>
      <c r="AH127" s="414"/>
      <c r="AI127" s="414"/>
      <c r="AJ127" s="415"/>
      <c r="AK127" s="413" t="s">
        <v>414</v>
      </c>
      <c r="AL127" s="414"/>
      <c r="AM127" s="414"/>
      <c r="AN127" s="414"/>
      <c r="AO127" s="415"/>
      <c r="AP127" s="423"/>
      <c r="AQ127" s="424"/>
      <c r="AR127" s="424"/>
      <c r="AS127" s="424"/>
      <c r="AT127" s="425"/>
      <c r="AU127" s="423"/>
      <c r="AV127" s="424"/>
      <c r="AW127" s="424"/>
      <c r="AX127" s="424"/>
      <c r="AY127" s="425"/>
    </row>
    <row r="128" spans="1:56" ht="18.75" customHeight="1">
      <c r="A128" s="57"/>
      <c r="B128" s="413" t="s">
        <v>246</v>
      </c>
      <c r="C128" s="414"/>
      <c r="D128" s="414"/>
      <c r="E128" s="414"/>
      <c r="F128" s="415"/>
      <c r="G128" s="413" t="s">
        <v>415</v>
      </c>
      <c r="H128" s="414"/>
      <c r="I128" s="414"/>
      <c r="J128" s="414"/>
      <c r="K128" s="415"/>
      <c r="L128" s="413">
        <f>Calcu!G42</f>
        <v>0</v>
      </c>
      <c r="M128" s="414"/>
      <c r="N128" s="414"/>
      <c r="O128" s="414"/>
      <c r="P128" s="415"/>
      <c r="Q128" s="413">
        <f>L128</f>
        <v>0</v>
      </c>
      <c r="R128" s="414"/>
      <c r="S128" s="414"/>
      <c r="T128" s="414"/>
      <c r="U128" s="415"/>
      <c r="V128" s="413">
        <f>Q128</f>
        <v>0</v>
      </c>
      <c r="W128" s="414"/>
      <c r="X128" s="414"/>
      <c r="Y128" s="414"/>
      <c r="Z128" s="415"/>
      <c r="AA128" s="413">
        <f>V128</f>
        <v>0</v>
      </c>
      <c r="AB128" s="414"/>
      <c r="AC128" s="414"/>
      <c r="AD128" s="414"/>
      <c r="AE128" s="415"/>
      <c r="AF128" s="413">
        <f>AA128</f>
        <v>0</v>
      </c>
      <c r="AG128" s="414"/>
      <c r="AH128" s="414"/>
      <c r="AI128" s="414"/>
      <c r="AJ128" s="415"/>
      <c r="AK128" s="413">
        <f>AF128</f>
        <v>0</v>
      </c>
      <c r="AL128" s="414"/>
      <c r="AM128" s="414"/>
      <c r="AN128" s="414"/>
      <c r="AO128" s="415"/>
      <c r="AP128" s="413" t="s">
        <v>416</v>
      </c>
      <c r="AQ128" s="414"/>
      <c r="AR128" s="414"/>
      <c r="AS128" s="414"/>
      <c r="AT128" s="415"/>
      <c r="AU128" s="413" t="s">
        <v>212</v>
      </c>
      <c r="AV128" s="414"/>
      <c r="AW128" s="414"/>
      <c r="AX128" s="414"/>
      <c r="AY128" s="415"/>
    </row>
    <row r="129" spans="1:56" ht="18.75" customHeight="1">
      <c r="A129" s="57"/>
      <c r="B129" s="430" t="s">
        <v>417</v>
      </c>
      <c r="C129" s="431"/>
      <c r="D129" s="431"/>
      <c r="E129" s="431"/>
      <c r="F129" s="432"/>
      <c r="G129" s="416" t="s">
        <v>418</v>
      </c>
      <c r="H129" s="417"/>
      <c r="I129" s="417"/>
      <c r="J129" s="417"/>
      <c r="K129" s="418"/>
      <c r="L129" s="419">
        <f>Calcu!F42</f>
        <v>0</v>
      </c>
      <c r="M129" s="417"/>
      <c r="N129" s="417"/>
      <c r="O129" s="417"/>
      <c r="P129" s="418"/>
      <c r="Q129" s="416">
        <f>Calcu!H42</f>
        <v>0</v>
      </c>
      <c r="R129" s="417"/>
      <c r="S129" s="417"/>
      <c r="T129" s="417"/>
      <c r="U129" s="418"/>
      <c r="V129" s="416">
        <f>Calcu!I42</f>
        <v>0</v>
      </c>
      <c r="W129" s="417"/>
      <c r="X129" s="417"/>
      <c r="Y129" s="417"/>
      <c r="Z129" s="418"/>
      <c r="AA129" s="416">
        <f>Calcu!J42</f>
        <v>0</v>
      </c>
      <c r="AB129" s="417"/>
      <c r="AC129" s="417"/>
      <c r="AD129" s="417"/>
      <c r="AE129" s="418"/>
      <c r="AF129" s="416">
        <f>Calcu!K42</f>
        <v>0</v>
      </c>
      <c r="AG129" s="417"/>
      <c r="AH129" s="417"/>
      <c r="AI129" s="417"/>
      <c r="AJ129" s="418"/>
      <c r="AK129" s="416">
        <f>Calcu!L42</f>
        <v>0</v>
      </c>
      <c r="AL129" s="417"/>
      <c r="AM129" s="417"/>
      <c r="AN129" s="417"/>
      <c r="AO129" s="418"/>
      <c r="AP129" s="416">
        <f>Calcu!M42</f>
        <v>0</v>
      </c>
      <c r="AQ129" s="417"/>
      <c r="AR129" s="417"/>
      <c r="AS129" s="417"/>
      <c r="AT129" s="418"/>
      <c r="AU129" s="416">
        <f>Calcu!N42</f>
        <v>0</v>
      </c>
      <c r="AV129" s="417"/>
      <c r="AW129" s="417"/>
      <c r="AX129" s="417"/>
      <c r="AY129" s="418"/>
    </row>
    <row r="130" spans="1:56" ht="18.75" customHeight="1">
      <c r="A130" s="57"/>
      <c r="B130" s="433"/>
      <c r="C130" s="434"/>
      <c r="D130" s="434"/>
      <c r="E130" s="434"/>
      <c r="F130" s="435"/>
      <c r="G130" s="416" t="s">
        <v>420</v>
      </c>
      <c r="H130" s="417"/>
      <c r="I130" s="417"/>
      <c r="J130" s="417"/>
      <c r="K130" s="418"/>
      <c r="L130" s="419">
        <f>Calcu!F43</f>
        <v>0</v>
      </c>
      <c r="M130" s="417"/>
      <c r="N130" s="417"/>
      <c r="O130" s="417"/>
      <c r="P130" s="418"/>
      <c r="Q130" s="416">
        <f>Calcu!H43</f>
        <v>0</v>
      </c>
      <c r="R130" s="417"/>
      <c r="S130" s="417"/>
      <c r="T130" s="417"/>
      <c r="U130" s="418"/>
      <c r="V130" s="416">
        <f>Calcu!I43</f>
        <v>0</v>
      </c>
      <c r="W130" s="417"/>
      <c r="X130" s="417"/>
      <c r="Y130" s="417"/>
      <c r="Z130" s="418"/>
      <c r="AA130" s="416">
        <f>Calcu!J43</f>
        <v>0</v>
      </c>
      <c r="AB130" s="417"/>
      <c r="AC130" s="417"/>
      <c r="AD130" s="417"/>
      <c r="AE130" s="418"/>
      <c r="AF130" s="416">
        <f>Calcu!K43</f>
        <v>0</v>
      </c>
      <c r="AG130" s="417"/>
      <c r="AH130" s="417"/>
      <c r="AI130" s="417"/>
      <c r="AJ130" s="418"/>
      <c r="AK130" s="416">
        <f>Calcu!L43</f>
        <v>0</v>
      </c>
      <c r="AL130" s="417"/>
      <c r="AM130" s="417"/>
      <c r="AN130" s="417"/>
      <c r="AO130" s="418"/>
      <c r="AP130" s="416">
        <f>Calcu!M43</f>
        <v>0</v>
      </c>
      <c r="AQ130" s="417"/>
      <c r="AR130" s="417"/>
      <c r="AS130" s="417"/>
      <c r="AT130" s="418"/>
      <c r="AU130" s="416">
        <f>Calcu!N43</f>
        <v>0</v>
      </c>
      <c r="AV130" s="417"/>
      <c r="AW130" s="417"/>
      <c r="AX130" s="417"/>
      <c r="AY130" s="418"/>
    </row>
    <row r="131" spans="1:56" ht="18.75" customHeight="1">
      <c r="A131" s="57"/>
      <c r="B131" s="455" t="s">
        <v>421</v>
      </c>
      <c r="C131" s="376"/>
      <c r="D131" s="376"/>
      <c r="E131" s="376"/>
      <c r="F131" s="456"/>
      <c r="G131" s="416" t="s">
        <v>418</v>
      </c>
      <c r="H131" s="417"/>
      <c r="I131" s="417"/>
      <c r="J131" s="417"/>
      <c r="K131" s="418"/>
      <c r="L131" s="419">
        <f>Calcu!F44</f>
        <v>0</v>
      </c>
      <c r="M131" s="417"/>
      <c r="N131" s="417"/>
      <c r="O131" s="417"/>
      <c r="P131" s="418"/>
      <c r="Q131" s="416">
        <f>Calcu!H44</f>
        <v>0</v>
      </c>
      <c r="R131" s="417"/>
      <c r="S131" s="417"/>
      <c r="T131" s="417"/>
      <c r="U131" s="418"/>
      <c r="V131" s="416">
        <f>Calcu!I44</f>
        <v>0</v>
      </c>
      <c r="W131" s="417"/>
      <c r="X131" s="417"/>
      <c r="Y131" s="417"/>
      <c r="Z131" s="418"/>
      <c r="AA131" s="416">
        <f>Calcu!J44</f>
        <v>0</v>
      </c>
      <c r="AB131" s="417"/>
      <c r="AC131" s="417"/>
      <c r="AD131" s="417"/>
      <c r="AE131" s="418"/>
      <c r="AF131" s="416">
        <f>Calcu!K44</f>
        <v>0</v>
      </c>
      <c r="AG131" s="417"/>
      <c r="AH131" s="417"/>
      <c r="AI131" s="417"/>
      <c r="AJ131" s="418"/>
      <c r="AK131" s="416">
        <f>Calcu!L44</f>
        <v>0</v>
      </c>
      <c r="AL131" s="417"/>
      <c r="AM131" s="417"/>
      <c r="AN131" s="417"/>
      <c r="AO131" s="418"/>
      <c r="AP131" s="416">
        <f>Calcu!M44</f>
        <v>0</v>
      </c>
      <c r="AQ131" s="417"/>
      <c r="AR131" s="417"/>
      <c r="AS131" s="417"/>
      <c r="AT131" s="418"/>
      <c r="AU131" s="416">
        <f>Calcu!N44</f>
        <v>0</v>
      </c>
      <c r="AV131" s="417"/>
      <c r="AW131" s="417"/>
      <c r="AX131" s="417"/>
      <c r="AY131" s="418"/>
    </row>
    <row r="132" spans="1:56" ht="18.75" customHeight="1">
      <c r="A132" s="57"/>
      <c r="B132" s="457"/>
      <c r="C132" s="458"/>
      <c r="D132" s="458"/>
      <c r="E132" s="458"/>
      <c r="F132" s="459"/>
      <c r="G132" s="416" t="s">
        <v>419</v>
      </c>
      <c r="H132" s="417"/>
      <c r="I132" s="417"/>
      <c r="J132" s="417"/>
      <c r="K132" s="418"/>
      <c r="L132" s="419">
        <f>Calcu!F45</f>
        <v>0</v>
      </c>
      <c r="M132" s="417"/>
      <c r="N132" s="417"/>
      <c r="O132" s="417"/>
      <c r="P132" s="418"/>
      <c r="Q132" s="416">
        <f>Calcu!H45</f>
        <v>0</v>
      </c>
      <c r="R132" s="417"/>
      <c r="S132" s="417"/>
      <c r="T132" s="417"/>
      <c r="U132" s="418"/>
      <c r="V132" s="416">
        <f>Calcu!I45</f>
        <v>0</v>
      </c>
      <c r="W132" s="417"/>
      <c r="X132" s="417"/>
      <c r="Y132" s="417"/>
      <c r="Z132" s="418"/>
      <c r="AA132" s="416">
        <f>Calcu!J45</f>
        <v>0</v>
      </c>
      <c r="AB132" s="417"/>
      <c r="AC132" s="417"/>
      <c r="AD132" s="417"/>
      <c r="AE132" s="418"/>
      <c r="AF132" s="416">
        <f>Calcu!K45</f>
        <v>0</v>
      </c>
      <c r="AG132" s="417"/>
      <c r="AH132" s="417"/>
      <c r="AI132" s="417"/>
      <c r="AJ132" s="418"/>
      <c r="AK132" s="416">
        <f>Calcu!L45</f>
        <v>0</v>
      </c>
      <c r="AL132" s="417"/>
      <c r="AM132" s="417"/>
      <c r="AN132" s="417"/>
      <c r="AO132" s="418"/>
      <c r="AP132" s="416">
        <f>Calcu!M45</f>
        <v>0</v>
      </c>
      <c r="AQ132" s="417"/>
      <c r="AR132" s="417"/>
      <c r="AS132" s="417"/>
      <c r="AT132" s="418"/>
      <c r="AU132" s="416">
        <f>Calcu!N45</f>
        <v>0</v>
      </c>
      <c r="AV132" s="417"/>
      <c r="AW132" s="417"/>
      <c r="AX132" s="417"/>
      <c r="AY132" s="418"/>
    </row>
    <row r="133" spans="1:56" ht="18.75" customHeight="1">
      <c r="A133" s="57"/>
      <c r="B133" s="226"/>
      <c r="C133" s="226"/>
      <c r="D133" s="226"/>
      <c r="E133" s="226"/>
      <c r="F133" s="226"/>
      <c r="G133" s="226"/>
      <c r="H133" s="226"/>
      <c r="I133" s="226"/>
      <c r="J133" s="226"/>
      <c r="K133" s="226"/>
      <c r="L133" s="226"/>
      <c r="M133" s="226"/>
      <c r="N133" s="226"/>
      <c r="O133" s="226"/>
      <c r="P133" s="226"/>
      <c r="Q133" s="226"/>
      <c r="R133" s="226"/>
      <c r="S133" s="226"/>
      <c r="T133" s="226"/>
      <c r="U133" s="226"/>
      <c r="V133" s="226"/>
      <c r="W133" s="226"/>
      <c r="X133" s="226"/>
      <c r="Y133" s="226"/>
      <c r="Z133" s="226"/>
      <c r="AA133" s="226"/>
      <c r="AB133" s="226"/>
      <c r="AC133" s="226"/>
      <c r="AD133" s="226"/>
      <c r="AE133" s="226"/>
      <c r="AF133" s="226"/>
      <c r="AG133" s="226"/>
      <c r="AH133" s="226"/>
      <c r="AI133" s="226"/>
      <c r="AJ133" s="226"/>
      <c r="AK133" s="226"/>
      <c r="AL133" s="226"/>
      <c r="AM133" s="226"/>
      <c r="AN133" s="226"/>
      <c r="AO133" s="226"/>
      <c r="AP133" s="226"/>
      <c r="AQ133" s="226"/>
      <c r="AR133" s="226"/>
      <c r="AS133" s="226"/>
      <c r="AT133" s="226"/>
    </row>
    <row r="134" spans="1:56" ht="18.75" customHeight="1">
      <c r="A134" s="57"/>
      <c r="B134" s="420" t="s">
        <v>245</v>
      </c>
      <c r="C134" s="421"/>
      <c r="D134" s="421"/>
      <c r="E134" s="421"/>
      <c r="F134" s="422"/>
      <c r="G134" s="516" t="s">
        <v>153</v>
      </c>
      <c r="H134" s="517"/>
      <c r="I134" s="517"/>
      <c r="J134" s="517"/>
      <c r="K134" s="518"/>
      <c r="L134" s="516" t="s">
        <v>168</v>
      </c>
      <c r="M134" s="517"/>
      <c r="N134" s="517"/>
      <c r="O134" s="517"/>
      <c r="P134" s="518"/>
      <c r="Q134" s="420" t="s">
        <v>613</v>
      </c>
      <c r="R134" s="421"/>
      <c r="S134" s="421"/>
      <c r="T134" s="421"/>
      <c r="U134" s="422"/>
      <c r="V134" s="420" t="s">
        <v>174</v>
      </c>
      <c r="W134" s="421"/>
      <c r="X134" s="421"/>
      <c r="Y134" s="421"/>
      <c r="Z134" s="422"/>
      <c r="AA134" s="420" t="s">
        <v>422</v>
      </c>
      <c r="AB134" s="421"/>
      <c r="AC134" s="421"/>
      <c r="AD134" s="421"/>
      <c r="AE134" s="422"/>
      <c r="AF134" s="420" t="s">
        <v>174</v>
      </c>
      <c r="AG134" s="421"/>
      <c r="AH134" s="421"/>
      <c r="AI134" s="421"/>
      <c r="AJ134" s="422"/>
    </row>
    <row r="135" spans="1:56" ht="18.75" customHeight="1">
      <c r="A135" s="57"/>
      <c r="B135" s="460"/>
      <c r="C135" s="461"/>
      <c r="D135" s="461"/>
      <c r="E135" s="461"/>
      <c r="F135" s="462"/>
      <c r="G135" s="460"/>
      <c r="H135" s="461"/>
      <c r="I135" s="461"/>
      <c r="J135" s="461"/>
      <c r="K135" s="462"/>
      <c r="L135" s="460"/>
      <c r="M135" s="461"/>
      <c r="N135" s="461"/>
      <c r="O135" s="461"/>
      <c r="P135" s="462"/>
      <c r="Q135" s="423"/>
      <c r="R135" s="424"/>
      <c r="S135" s="424"/>
      <c r="T135" s="424"/>
      <c r="U135" s="425"/>
      <c r="V135" s="423"/>
      <c r="W135" s="424"/>
      <c r="X135" s="424"/>
      <c r="Y135" s="424"/>
      <c r="Z135" s="425"/>
      <c r="AA135" s="423"/>
      <c r="AB135" s="424"/>
      <c r="AC135" s="424"/>
      <c r="AD135" s="424"/>
      <c r="AE135" s="425"/>
      <c r="AF135" s="423"/>
      <c r="AG135" s="424"/>
      <c r="AH135" s="424"/>
      <c r="AI135" s="424"/>
      <c r="AJ135" s="425"/>
    </row>
    <row r="136" spans="1:56" ht="18.75" customHeight="1">
      <c r="A136" s="57"/>
      <c r="B136" s="423"/>
      <c r="C136" s="424"/>
      <c r="D136" s="424"/>
      <c r="E136" s="424"/>
      <c r="F136" s="425"/>
      <c r="G136" s="423"/>
      <c r="H136" s="424"/>
      <c r="I136" s="424"/>
      <c r="J136" s="424"/>
      <c r="K136" s="425"/>
      <c r="L136" s="423"/>
      <c r="M136" s="424"/>
      <c r="N136" s="424"/>
      <c r="O136" s="424"/>
      <c r="P136" s="425"/>
      <c r="Q136" s="463">
        <f>Calcu!R41</f>
        <v>0</v>
      </c>
      <c r="R136" s="414"/>
      <c r="S136" s="414"/>
      <c r="T136" s="414"/>
      <c r="U136" s="415"/>
      <c r="V136" s="464">
        <f>L128</f>
        <v>0</v>
      </c>
      <c r="W136" s="465"/>
      <c r="X136" s="465"/>
      <c r="Y136" s="465"/>
      <c r="Z136" s="466"/>
      <c r="AA136" s="463">
        <f>Calcu!R8</f>
        <v>0</v>
      </c>
      <c r="AB136" s="465"/>
      <c r="AC136" s="465"/>
      <c r="AD136" s="465"/>
      <c r="AE136" s="466"/>
      <c r="AF136" s="463">
        <f>Calcu!R41</f>
        <v>0</v>
      </c>
      <c r="AG136" s="465"/>
      <c r="AH136" s="465"/>
      <c r="AI136" s="465"/>
      <c r="AJ136" s="466"/>
    </row>
    <row r="137" spans="1:56" ht="18.75" customHeight="1">
      <c r="A137" s="57"/>
      <c r="B137" s="525" t="s">
        <v>423</v>
      </c>
      <c r="C137" s="526"/>
      <c r="D137" s="526"/>
      <c r="E137" s="526"/>
      <c r="F137" s="527"/>
      <c r="G137" s="519" t="s">
        <v>314</v>
      </c>
      <c r="H137" s="520"/>
      <c r="I137" s="520"/>
      <c r="J137" s="520"/>
      <c r="K137" s="521"/>
      <c r="L137" s="519">
        <f>Length_9!D12</f>
        <v>0</v>
      </c>
      <c r="M137" s="523"/>
      <c r="N137" s="523"/>
      <c r="O137" s="523"/>
      <c r="P137" s="524"/>
      <c r="Q137" s="416">
        <f>AVERAGE(AP129:AT132)</f>
        <v>0</v>
      </c>
      <c r="R137" s="417"/>
      <c r="S137" s="417"/>
      <c r="T137" s="417"/>
      <c r="U137" s="418"/>
      <c r="V137" s="416" t="e">
        <f>Q137/L137</f>
        <v>#DIV/0!</v>
      </c>
      <c r="W137" s="417"/>
      <c r="X137" s="417"/>
      <c r="Y137" s="417"/>
      <c r="Z137" s="418"/>
      <c r="AA137" s="416">
        <f>Calcu!R9</f>
        <v>0</v>
      </c>
      <c r="AB137" s="417"/>
      <c r="AC137" s="417"/>
      <c r="AD137" s="417"/>
      <c r="AE137" s="418"/>
      <c r="AF137" s="528" t="e">
        <f>AVERAGE(V137:Z138)</f>
        <v>#DIV/0!</v>
      </c>
      <c r="AG137" s="395"/>
      <c r="AH137" s="395"/>
      <c r="AI137" s="395"/>
      <c r="AJ137" s="529"/>
    </row>
    <row r="138" spans="1:56" ht="18.75" customHeight="1">
      <c r="A138" s="57"/>
      <c r="B138" s="433"/>
      <c r="C138" s="434"/>
      <c r="D138" s="434"/>
      <c r="E138" s="434"/>
      <c r="F138" s="435"/>
      <c r="G138" s="522" t="s">
        <v>315</v>
      </c>
      <c r="H138" s="523"/>
      <c r="I138" s="523"/>
      <c r="J138" s="523"/>
      <c r="K138" s="524"/>
      <c r="L138" s="519">
        <f>L137</f>
        <v>0</v>
      </c>
      <c r="M138" s="523"/>
      <c r="N138" s="523"/>
      <c r="O138" s="523"/>
      <c r="P138" s="524"/>
      <c r="Q138" s="416">
        <f>AVERAGE(AP130:AT133)</f>
        <v>0</v>
      </c>
      <c r="R138" s="417"/>
      <c r="S138" s="417"/>
      <c r="T138" s="417"/>
      <c r="U138" s="418"/>
      <c r="V138" s="416" t="e">
        <f>Q137/L137</f>
        <v>#DIV/0!</v>
      </c>
      <c r="W138" s="417"/>
      <c r="X138" s="417"/>
      <c r="Y138" s="417"/>
      <c r="Z138" s="418"/>
      <c r="AA138" s="416">
        <f>Calcu!R10</f>
        <v>0</v>
      </c>
      <c r="AB138" s="417"/>
      <c r="AC138" s="417"/>
      <c r="AD138" s="417"/>
      <c r="AE138" s="418"/>
      <c r="AF138" s="457"/>
      <c r="AG138" s="458"/>
      <c r="AH138" s="458"/>
      <c r="AI138" s="458"/>
      <c r="AJ138" s="459"/>
    </row>
    <row r="139" spans="1:56" ht="18.75" customHeight="1">
      <c r="A139" s="57"/>
      <c r="B139" s="240"/>
      <c r="C139" s="240"/>
      <c r="D139" s="240"/>
      <c r="E139" s="240"/>
      <c r="F139" s="240"/>
      <c r="G139" s="233"/>
      <c r="H139" s="233"/>
      <c r="I139" s="233"/>
      <c r="J139" s="233"/>
      <c r="K139" s="233"/>
      <c r="L139" s="233"/>
      <c r="M139" s="233"/>
      <c r="N139" s="233"/>
      <c r="O139" s="233"/>
      <c r="P139" s="233"/>
      <c r="Q139" s="240"/>
      <c r="R139" s="233"/>
      <c r="S139" s="233"/>
      <c r="T139" s="233"/>
      <c r="U139" s="233"/>
      <c r="V139" s="233"/>
      <c r="W139" s="233"/>
      <c r="X139" s="233"/>
      <c r="Y139" s="233"/>
      <c r="Z139" s="233"/>
      <c r="AA139" s="233"/>
      <c r="AB139" s="233"/>
      <c r="AC139" s="233"/>
      <c r="AD139" s="233"/>
      <c r="AE139" s="233"/>
      <c r="AF139" s="233"/>
      <c r="AG139" s="233"/>
      <c r="AH139" s="233"/>
      <c r="AI139" s="233"/>
      <c r="AJ139" s="233"/>
      <c r="AK139" s="233"/>
      <c r="AL139" s="233"/>
      <c r="AM139" s="233"/>
      <c r="AN139" s="233"/>
      <c r="AO139" s="233"/>
      <c r="AP139" s="233"/>
      <c r="AQ139" s="233"/>
      <c r="AR139" s="233"/>
      <c r="AS139" s="233"/>
      <c r="AT139" s="233"/>
      <c r="AU139" s="233"/>
      <c r="AV139" s="233"/>
      <c r="AW139" s="233"/>
      <c r="AX139" s="233"/>
      <c r="AY139" s="233"/>
      <c r="AZ139" s="233"/>
      <c r="BA139" s="233"/>
      <c r="BB139" s="233"/>
      <c r="BC139" s="233"/>
      <c r="BD139" s="233"/>
    </row>
    <row r="140" spans="1:56" ht="18.75" customHeight="1">
      <c r="A140" s="57" t="s">
        <v>424</v>
      </c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</row>
    <row r="141" spans="1:56" ht="18.75" customHeight="1">
      <c r="A141" s="70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</row>
    <row r="142" spans="1:56" ht="18.75" customHeight="1">
      <c r="A142" s="70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</row>
    <row r="143" spans="1:56" ht="18.75" customHeight="1">
      <c r="A143" s="70"/>
      <c r="B143" s="56"/>
      <c r="C143" s="380" t="s">
        <v>425</v>
      </c>
      <c r="D143" s="380"/>
      <c r="E143" s="380"/>
      <c r="F143" s="226" t="s">
        <v>318</v>
      </c>
      <c r="G143" s="56" t="s">
        <v>426</v>
      </c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W143" s="59"/>
      <c r="X143" s="59"/>
      <c r="Y143" s="59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</row>
    <row r="144" spans="1:56" ht="18.75" customHeight="1">
      <c r="A144" s="70"/>
      <c r="B144" s="56"/>
      <c r="C144" s="380" t="s">
        <v>427</v>
      </c>
      <c r="D144" s="380"/>
      <c r="E144" s="380"/>
      <c r="F144" s="226" t="s">
        <v>428</v>
      </c>
      <c r="G144" s="56" t="s">
        <v>321</v>
      </c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</row>
    <row r="145" spans="1:69" ht="18.75" customHeight="1">
      <c r="A145" s="70"/>
      <c r="B145" s="56"/>
      <c r="C145" s="380" t="s">
        <v>429</v>
      </c>
      <c r="D145" s="380"/>
      <c r="E145" s="380"/>
      <c r="F145" s="226" t="s">
        <v>318</v>
      </c>
      <c r="G145" s="56" t="s">
        <v>430</v>
      </c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</row>
    <row r="146" spans="1:69" ht="18.75" customHeight="1">
      <c r="A146" s="70"/>
      <c r="B146" s="56"/>
      <c r="C146" s="380" t="s">
        <v>322</v>
      </c>
      <c r="D146" s="380"/>
      <c r="E146" s="380"/>
      <c r="F146" s="226" t="s">
        <v>320</v>
      </c>
      <c r="G146" s="56" t="s">
        <v>324</v>
      </c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</row>
    <row r="147" spans="1:69" ht="18.75" customHeight="1">
      <c r="A147" s="70"/>
      <c r="B147" s="56"/>
      <c r="C147" s="380" t="s">
        <v>596</v>
      </c>
      <c r="D147" s="380"/>
      <c r="E147" s="380"/>
      <c r="F147" s="226" t="s">
        <v>320</v>
      </c>
      <c r="G147" s="56" t="s">
        <v>431</v>
      </c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</row>
    <row r="148" spans="1:69" ht="18.75" customHeight="1">
      <c r="A148" s="70"/>
      <c r="B148" s="56"/>
      <c r="C148" s="380" t="s">
        <v>597</v>
      </c>
      <c r="D148" s="380"/>
      <c r="E148" s="380"/>
      <c r="F148" s="226" t="s">
        <v>320</v>
      </c>
      <c r="G148" s="56" t="s">
        <v>326</v>
      </c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</row>
    <row r="149" spans="1:69" ht="18.75" customHeight="1">
      <c r="A149" s="70"/>
      <c r="B149" s="56"/>
      <c r="C149" s="380"/>
      <c r="D149" s="380"/>
      <c r="E149" s="380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D149" s="58"/>
      <c r="BE149" s="58"/>
      <c r="BF149" s="58"/>
      <c r="BG149" s="58"/>
      <c r="BH149" s="58"/>
      <c r="BI149" s="58"/>
      <c r="BJ149" s="58"/>
      <c r="BK149" s="58"/>
      <c r="BL149" s="58"/>
      <c r="BM149" s="58"/>
      <c r="BN149" s="58"/>
      <c r="BO149" s="58"/>
      <c r="BP149" s="58"/>
      <c r="BQ149" s="58"/>
    </row>
    <row r="150" spans="1:69" ht="18.75" customHeight="1">
      <c r="A150" s="57" t="s">
        <v>328</v>
      </c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</row>
    <row r="151" spans="1:69" ht="18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</row>
    <row r="152" spans="1:69" ht="18.75" customHeight="1">
      <c r="A152" s="56"/>
      <c r="B152" s="56"/>
      <c r="C152" s="56" t="s">
        <v>432</v>
      </c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</row>
    <row r="153" spans="1:69" ht="18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</row>
    <row r="154" spans="1:69" ht="18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</row>
    <row r="155" spans="1:69" ht="18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</row>
    <row r="156" spans="1:69" ht="18.75" customHeight="1">
      <c r="A156" s="60" t="s">
        <v>433</v>
      </c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</row>
    <row r="157" spans="1:69" ht="18.75" customHeight="1">
      <c r="A157" s="56"/>
      <c r="B157" s="436"/>
      <c r="C157" s="437"/>
      <c r="D157" s="386"/>
      <c r="E157" s="387"/>
      <c r="F157" s="387"/>
      <c r="G157" s="388"/>
      <c r="H157" s="381">
        <v>1</v>
      </c>
      <c r="I157" s="381"/>
      <c r="J157" s="381"/>
      <c r="K157" s="381"/>
      <c r="L157" s="381"/>
      <c r="M157" s="381"/>
      <c r="N157" s="381"/>
      <c r="O157" s="381">
        <v>2</v>
      </c>
      <c r="P157" s="381"/>
      <c r="Q157" s="381"/>
      <c r="R157" s="381"/>
      <c r="S157" s="381"/>
      <c r="T157" s="381"/>
      <c r="U157" s="381"/>
      <c r="V157" s="381">
        <v>3</v>
      </c>
      <c r="W157" s="381"/>
      <c r="X157" s="381"/>
      <c r="Y157" s="381"/>
      <c r="Z157" s="381"/>
      <c r="AA157" s="386">
        <v>4</v>
      </c>
      <c r="AB157" s="387"/>
      <c r="AC157" s="387"/>
      <c r="AD157" s="387"/>
      <c r="AE157" s="387"/>
      <c r="AF157" s="387"/>
      <c r="AG157" s="388"/>
      <c r="AH157" s="381">
        <v>5</v>
      </c>
      <c r="AI157" s="381"/>
      <c r="AJ157" s="381"/>
      <c r="AK157" s="381"/>
      <c r="AL157" s="381"/>
      <c r="AM157" s="381"/>
      <c r="AN157" s="381"/>
      <c r="AO157" s="381"/>
      <c r="AP157" s="381">
        <v>6</v>
      </c>
      <c r="AQ157" s="381"/>
      <c r="AR157" s="381"/>
      <c r="AS157" s="381"/>
      <c r="AT157" s="56"/>
    </row>
    <row r="158" spans="1:69" ht="18.75" customHeight="1">
      <c r="A158" s="56"/>
      <c r="B158" s="438"/>
      <c r="C158" s="439"/>
      <c r="D158" s="436" t="s">
        <v>201</v>
      </c>
      <c r="E158" s="442"/>
      <c r="F158" s="442"/>
      <c r="G158" s="437"/>
      <c r="H158" s="366" t="s">
        <v>434</v>
      </c>
      <c r="I158" s="366"/>
      <c r="J158" s="366"/>
      <c r="K158" s="366"/>
      <c r="L158" s="366"/>
      <c r="M158" s="366"/>
      <c r="N158" s="366"/>
      <c r="O158" s="366" t="s">
        <v>435</v>
      </c>
      <c r="P158" s="366"/>
      <c r="Q158" s="366"/>
      <c r="R158" s="366"/>
      <c r="S158" s="366"/>
      <c r="T158" s="366"/>
      <c r="U158" s="366"/>
      <c r="V158" s="366" t="s">
        <v>436</v>
      </c>
      <c r="W158" s="366"/>
      <c r="X158" s="366"/>
      <c r="Y158" s="366"/>
      <c r="Z158" s="366"/>
      <c r="AA158" s="436" t="s">
        <v>437</v>
      </c>
      <c r="AB158" s="442"/>
      <c r="AC158" s="442"/>
      <c r="AD158" s="442"/>
      <c r="AE158" s="442"/>
      <c r="AF158" s="442"/>
      <c r="AG158" s="437"/>
      <c r="AH158" s="366" t="s">
        <v>332</v>
      </c>
      <c r="AI158" s="366"/>
      <c r="AJ158" s="366"/>
      <c r="AK158" s="366"/>
      <c r="AL158" s="366"/>
      <c r="AM158" s="366"/>
      <c r="AN158" s="366"/>
      <c r="AO158" s="366"/>
      <c r="AP158" s="366" t="s">
        <v>438</v>
      </c>
      <c r="AQ158" s="366"/>
      <c r="AR158" s="366"/>
      <c r="AS158" s="366"/>
      <c r="AT158" s="56"/>
    </row>
    <row r="159" spans="1:69" ht="18.75" customHeight="1">
      <c r="A159" s="56"/>
      <c r="B159" s="440"/>
      <c r="C159" s="441"/>
      <c r="D159" s="443" t="s">
        <v>439</v>
      </c>
      <c r="E159" s="408"/>
      <c r="F159" s="408"/>
      <c r="G159" s="444"/>
      <c r="H159" s="383" t="s">
        <v>440</v>
      </c>
      <c r="I159" s="383"/>
      <c r="J159" s="383"/>
      <c r="K159" s="383"/>
      <c r="L159" s="383"/>
      <c r="M159" s="383"/>
      <c r="N159" s="383"/>
      <c r="O159" s="383" t="s">
        <v>441</v>
      </c>
      <c r="P159" s="383"/>
      <c r="Q159" s="383"/>
      <c r="R159" s="383"/>
      <c r="S159" s="383"/>
      <c r="T159" s="383"/>
      <c r="U159" s="383"/>
      <c r="V159" s="383"/>
      <c r="W159" s="383"/>
      <c r="X159" s="383"/>
      <c r="Y159" s="383"/>
      <c r="Z159" s="383"/>
      <c r="AA159" s="445" t="s">
        <v>442</v>
      </c>
      <c r="AB159" s="446"/>
      <c r="AC159" s="446"/>
      <c r="AD159" s="446"/>
      <c r="AE159" s="446"/>
      <c r="AF159" s="446"/>
      <c r="AG159" s="447"/>
      <c r="AH159" s="383" t="s">
        <v>443</v>
      </c>
      <c r="AI159" s="383"/>
      <c r="AJ159" s="383"/>
      <c r="AK159" s="383"/>
      <c r="AL159" s="383"/>
      <c r="AM159" s="383"/>
      <c r="AN159" s="383"/>
      <c r="AO159" s="383"/>
      <c r="AP159" s="383"/>
      <c r="AQ159" s="383"/>
      <c r="AR159" s="383"/>
      <c r="AS159" s="383"/>
      <c r="AT159" s="56"/>
    </row>
    <row r="160" spans="1:69" ht="18.75" customHeight="1">
      <c r="A160" s="56"/>
      <c r="B160" s="381" t="s">
        <v>444</v>
      </c>
      <c r="C160" s="381"/>
      <c r="D160" s="401" t="s">
        <v>427</v>
      </c>
      <c r="E160" s="402"/>
      <c r="F160" s="402"/>
      <c r="G160" s="403"/>
      <c r="H160" s="467" t="e">
        <f>Calcu!E52</f>
        <v>#DIV/0!</v>
      </c>
      <c r="I160" s="405"/>
      <c r="J160" s="405"/>
      <c r="K160" s="405"/>
      <c r="L160" s="405"/>
      <c r="M160" s="406" t="str">
        <f>Calcu!F52</f>
        <v>mm</v>
      </c>
      <c r="N160" s="407"/>
      <c r="O160" s="389">
        <f>Calcu!J52</f>
        <v>0</v>
      </c>
      <c r="P160" s="390"/>
      <c r="Q160" s="390"/>
      <c r="R160" s="390"/>
      <c r="S160" s="384" t="str">
        <f>Calcu!K52</f>
        <v>μm</v>
      </c>
      <c r="T160" s="406"/>
      <c r="U160" s="407"/>
      <c r="V160" s="381" t="str">
        <f>Calcu!L52</f>
        <v>직사각형</v>
      </c>
      <c r="W160" s="381"/>
      <c r="X160" s="381"/>
      <c r="Y160" s="381"/>
      <c r="Z160" s="381"/>
      <c r="AA160" s="386">
        <f>Calcu!O52</f>
        <v>1</v>
      </c>
      <c r="AB160" s="387"/>
      <c r="AC160" s="387"/>
      <c r="AD160" s="387"/>
      <c r="AE160" s="387"/>
      <c r="AF160" s="387"/>
      <c r="AG160" s="388"/>
      <c r="AH160" s="389">
        <f>Calcu!Q52</f>
        <v>0</v>
      </c>
      <c r="AI160" s="390"/>
      <c r="AJ160" s="390"/>
      <c r="AK160" s="390"/>
      <c r="AL160" s="390"/>
      <c r="AM160" s="384" t="str">
        <f>Calcu!R52</f>
        <v>μm</v>
      </c>
      <c r="AN160" s="384"/>
      <c r="AO160" s="385"/>
      <c r="AP160" s="381" t="str">
        <f>Calcu!S52</f>
        <v>∞</v>
      </c>
      <c r="AQ160" s="381"/>
      <c r="AR160" s="381"/>
      <c r="AS160" s="381"/>
      <c r="AT160" s="56"/>
    </row>
    <row r="161" spans="1:47" ht="18.75" customHeight="1">
      <c r="A161" s="56"/>
      <c r="B161" s="381" t="s">
        <v>209</v>
      </c>
      <c r="C161" s="381"/>
      <c r="D161" s="401" t="s">
        <v>445</v>
      </c>
      <c r="E161" s="402"/>
      <c r="F161" s="402"/>
      <c r="G161" s="403"/>
      <c r="H161" s="404">
        <f>Calcu!E50</f>
        <v>0</v>
      </c>
      <c r="I161" s="405"/>
      <c r="J161" s="405"/>
      <c r="K161" s="405"/>
      <c r="L161" s="405"/>
      <c r="M161" s="406" t="str">
        <f>Calcu!F50</f>
        <v>mm</v>
      </c>
      <c r="N161" s="407"/>
      <c r="O161" s="389" t="e">
        <f ca="1">Calcu!J50</f>
        <v>#DIV/0!</v>
      </c>
      <c r="P161" s="390"/>
      <c r="Q161" s="390"/>
      <c r="R161" s="390"/>
      <c r="S161" s="384" t="str">
        <f>Calcu!K50</f>
        <v>μm</v>
      </c>
      <c r="T161" s="406"/>
      <c r="U161" s="407"/>
      <c r="V161" s="381" t="str">
        <f>Calcu!L50</f>
        <v>정규</v>
      </c>
      <c r="W161" s="381"/>
      <c r="X161" s="381"/>
      <c r="Y161" s="381"/>
      <c r="Z161" s="381"/>
      <c r="AA161" s="386">
        <f>Calcu!O50</f>
        <v>-1</v>
      </c>
      <c r="AB161" s="387"/>
      <c r="AC161" s="387"/>
      <c r="AD161" s="387"/>
      <c r="AE161" s="387"/>
      <c r="AF161" s="387"/>
      <c r="AG161" s="388"/>
      <c r="AH161" s="389" t="e">
        <f ca="1">Calcu!Q50</f>
        <v>#DIV/0!</v>
      </c>
      <c r="AI161" s="390"/>
      <c r="AJ161" s="390"/>
      <c r="AK161" s="390"/>
      <c r="AL161" s="390"/>
      <c r="AM161" s="384" t="str">
        <f>Calcu!R50</f>
        <v>μm</v>
      </c>
      <c r="AN161" s="384"/>
      <c r="AO161" s="385"/>
      <c r="AP161" s="381" t="str">
        <f>Calcu!S50</f>
        <v>∞</v>
      </c>
      <c r="AQ161" s="381"/>
      <c r="AR161" s="381"/>
      <c r="AS161" s="381"/>
      <c r="AT161" s="56"/>
    </row>
    <row r="162" spans="1:47" ht="18.75" customHeight="1">
      <c r="A162" s="56"/>
      <c r="B162" s="381" t="s">
        <v>446</v>
      </c>
      <c r="C162" s="381"/>
      <c r="D162" s="401" t="s">
        <v>322</v>
      </c>
      <c r="E162" s="402"/>
      <c r="F162" s="402"/>
      <c r="G162" s="403"/>
      <c r="H162" s="467" t="e">
        <f>Calcu!E51</f>
        <v>#DIV/0!</v>
      </c>
      <c r="I162" s="405"/>
      <c r="J162" s="405"/>
      <c r="K162" s="405"/>
      <c r="L162" s="405"/>
      <c r="M162" s="406" t="str">
        <f>Calcu!F51</f>
        <v>mm</v>
      </c>
      <c r="N162" s="407"/>
      <c r="O162" s="389" t="e">
        <f>Calcu!J51</f>
        <v>#DIV/0!</v>
      </c>
      <c r="P162" s="390"/>
      <c r="Q162" s="390"/>
      <c r="R162" s="390"/>
      <c r="S162" s="384" t="str">
        <f>Calcu!K51</f>
        <v>μm</v>
      </c>
      <c r="T162" s="406"/>
      <c r="U162" s="407"/>
      <c r="V162" s="381" t="str">
        <f>Calcu!L51</f>
        <v>정규</v>
      </c>
      <c r="W162" s="381"/>
      <c r="X162" s="381"/>
      <c r="Y162" s="381"/>
      <c r="Z162" s="381"/>
      <c r="AA162" s="386">
        <f>Calcu!O51</f>
        <v>1</v>
      </c>
      <c r="AB162" s="387"/>
      <c r="AC162" s="387"/>
      <c r="AD162" s="387"/>
      <c r="AE162" s="387"/>
      <c r="AF162" s="387"/>
      <c r="AG162" s="388"/>
      <c r="AH162" s="389" t="e">
        <f>Calcu!Q51</f>
        <v>#DIV/0!</v>
      </c>
      <c r="AI162" s="390"/>
      <c r="AJ162" s="390"/>
      <c r="AK162" s="390"/>
      <c r="AL162" s="390"/>
      <c r="AM162" s="384" t="str">
        <f>Calcu!R51</f>
        <v>μm</v>
      </c>
      <c r="AN162" s="384"/>
      <c r="AO162" s="385"/>
      <c r="AP162" s="381" t="str">
        <f>Calcu!S51</f>
        <v>∞</v>
      </c>
      <c r="AQ162" s="381"/>
      <c r="AR162" s="381"/>
      <c r="AS162" s="381"/>
      <c r="AT162" s="56"/>
    </row>
    <row r="163" spans="1:47" ht="18.75" customHeight="1">
      <c r="A163" s="56"/>
      <c r="B163" s="381" t="s">
        <v>447</v>
      </c>
      <c r="C163" s="381"/>
      <c r="D163" s="401" t="s">
        <v>602</v>
      </c>
      <c r="E163" s="402"/>
      <c r="F163" s="402"/>
      <c r="G163" s="403"/>
      <c r="H163" s="404">
        <f>Calcu!E53</f>
        <v>0</v>
      </c>
      <c r="I163" s="405"/>
      <c r="J163" s="405"/>
      <c r="K163" s="405"/>
      <c r="L163" s="405"/>
      <c r="M163" s="406" t="str">
        <f>Calcu!F53</f>
        <v>mm</v>
      </c>
      <c r="N163" s="407"/>
      <c r="O163" s="389">
        <f>Calcu!J53</f>
        <v>0.57735026918962584</v>
      </c>
      <c r="P163" s="390"/>
      <c r="Q163" s="390"/>
      <c r="R163" s="390"/>
      <c r="S163" s="384" t="str">
        <f>Calcu!K53</f>
        <v>μm</v>
      </c>
      <c r="T163" s="406"/>
      <c r="U163" s="407"/>
      <c r="V163" s="381" t="str">
        <f>Calcu!L53</f>
        <v>직사각형</v>
      </c>
      <c r="W163" s="381"/>
      <c r="X163" s="381"/>
      <c r="Y163" s="381"/>
      <c r="Z163" s="381"/>
      <c r="AA163" s="386">
        <f>Calcu!O53</f>
        <v>1</v>
      </c>
      <c r="AB163" s="387"/>
      <c r="AC163" s="387"/>
      <c r="AD163" s="387"/>
      <c r="AE163" s="387"/>
      <c r="AF163" s="387"/>
      <c r="AG163" s="388"/>
      <c r="AH163" s="389">
        <f>Calcu!Q53</f>
        <v>0.57735026918962584</v>
      </c>
      <c r="AI163" s="390"/>
      <c r="AJ163" s="390"/>
      <c r="AK163" s="390"/>
      <c r="AL163" s="390"/>
      <c r="AM163" s="384" t="str">
        <f>Calcu!R53</f>
        <v>μm</v>
      </c>
      <c r="AN163" s="384"/>
      <c r="AO163" s="385"/>
      <c r="AP163" s="381" t="str">
        <f>Calcu!S53</f>
        <v>∞</v>
      </c>
      <c r="AQ163" s="381"/>
      <c r="AR163" s="381"/>
      <c r="AS163" s="381"/>
      <c r="AT163" s="56"/>
    </row>
    <row r="164" spans="1:47" ht="18.75" customHeight="1">
      <c r="A164" s="56"/>
      <c r="B164" s="381" t="s">
        <v>224</v>
      </c>
      <c r="C164" s="381"/>
      <c r="D164" s="401" t="s">
        <v>603</v>
      </c>
      <c r="E164" s="402"/>
      <c r="F164" s="402"/>
      <c r="G164" s="403"/>
      <c r="H164" s="404">
        <f>Calcu!E54</f>
        <v>0</v>
      </c>
      <c r="I164" s="405"/>
      <c r="J164" s="405"/>
      <c r="K164" s="405"/>
      <c r="L164" s="405"/>
      <c r="M164" s="406" t="str">
        <f>Calcu!F54</f>
        <v>mm</v>
      </c>
      <c r="N164" s="407"/>
      <c r="O164" s="389">
        <f>Calcu!J54</f>
        <v>0</v>
      </c>
      <c r="P164" s="390"/>
      <c r="Q164" s="390"/>
      <c r="R164" s="390"/>
      <c r="S164" s="384" t="str">
        <f>Calcu!K54</f>
        <v>μm</v>
      </c>
      <c r="T164" s="406"/>
      <c r="U164" s="407"/>
      <c r="V164" s="381" t="str">
        <f>Calcu!L54</f>
        <v>직사각형</v>
      </c>
      <c r="W164" s="381"/>
      <c r="X164" s="381"/>
      <c r="Y164" s="381"/>
      <c r="Z164" s="381"/>
      <c r="AA164" s="386">
        <f>Calcu!O54</f>
        <v>1</v>
      </c>
      <c r="AB164" s="387"/>
      <c r="AC164" s="387"/>
      <c r="AD164" s="387"/>
      <c r="AE164" s="387"/>
      <c r="AF164" s="387"/>
      <c r="AG164" s="388"/>
      <c r="AH164" s="389">
        <f>Calcu!Q54</f>
        <v>0</v>
      </c>
      <c r="AI164" s="390"/>
      <c r="AJ164" s="390"/>
      <c r="AK164" s="390"/>
      <c r="AL164" s="390"/>
      <c r="AM164" s="384" t="str">
        <f>Calcu!R54</f>
        <v>μm</v>
      </c>
      <c r="AN164" s="384"/>
      <c r="AO164" s="385"/>
      <c r="AP164" s="381" t="str">
        <f>Calcu!S54</f>
        <v>∞</v>
      </c>
      <c r="AQ164" s="381"/>
      <c r="AR164" s="381"/>
      <c r="AS164" s="381"/>
      <c r="AT164" s="56"/>
    </row>
    <row r="165" spans="1:47" ht="18.75" customHeight="1">
      <c r="A165" s="56"/>
      <c r="B165" s="381" t="s">
        <v>448</v>
      </c>
      <c r="C165" s="381"/>
      <c r="D165" s="401" t="s">
        <v>425</v>
      </c>
      <c r="E165" s="402"/>
      <c r="F165" s="402"/>
      <c r="G165" s="403"/>
      <c r="H165" s="404" t="e">
        <f>Calcu!E55</f>
        <v>#DIV/0!</v>
      </c>
      <c r="I165" s="405"/>
      <c r="J165" s="405"/>
      <c r="K165" s="405"/>
      <c r="L165" s="405"/>
      <c r="M165" s="406" t="str">
        <f>Calcu!F55</f>
        <v>mm</v>
      </c>
      <c r="N165" s="407"/>
      <c r="O165" s="386"/>
      <c r="P165" s="387"/>
      <c r="Q165" s="387"/>
      <c r="R165" s="387"/>
      <c r="S165" s="387"/>
      <c r="T165" s="387"/>
      <c r="U165" s="388"/>
      <c r="V165" s="381"/>
      <c r="W165" s="381"/>
      <c r="X165" s="381"/>
      <c r="Y165" s="381"/>
      <c r="Z165" s="381"/>
      <c r="AA165" s="386"/>
      <c r="AB165" s="387"/>
      <c r="AC165" s="387"/>
      <c r="AD165" s="387"/>
      <c r="AE165" s="387"/>
      <c r="AF165" s="387"/>
      <c r="AG165" s="388"/>
      <c r="AH165" s="389" t="e">
        <f ca="1">Calcu!Q55</f>
        <v>#DIV/0!</v>
      </c>
      <c r="AI165" s="390"/>
      <c r="AJ165" s="390"/>
      <c r="AK165" s="390"/>
      <c r="AL165" s="390"/>
      <c r="AM165" s="384" t="str">
        <f>Calcu!R55</f>
        <v>μm</v>
      </c>
      <c r="AN165" s="384"/>
      <c r="AO165" s="385"/>
      <c r="AP165" s="381" t="str">
        <f>Calcu!S55</f>
        <v>∞</v>
      </c>
      <c r="AQ165" s="381"/>
      <c r="AR165" s="381"/>
      <c r="AS165" s="381"/>
      <c r="AT165" s="56"/>
    </row>
    <row r="166" spans="1:47" ht="18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</row>
    <row r="167" spans="1:47" ht="18.75" customHeight="1">
      <c r="A167" s="57" t="s">
        <v>339</v>
      </c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</row>
    <row r="168" spans="1:47" ht="18.75" customHeight="1">
      <c r="A168" s="56"/>
      <c r="B168" s="60" t="str">
        <f>"1. "&amp;T5&amp;" 지시값의 표준불확도,"</f>
        <v>1. 측정 투영기 지시값의 표준불확도,</v>
      </c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197" t="s">
        <v>132</v>
      </c>
      <c r="R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</row>
    <row r="169" spans="1:47" ht="18.75" customHeight="1">
      <c r="A169" s="56"/>
      <c r="C169" s="56" t="s">
        <v>340</v>
      </c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</row>
    <row r="170" spans="1:47" ht="18.75" customHeight="1">
      <c r="A170" s="56"/>
      <c r="C170" s="60"/>
      <c r="D170" s="56" t="s">
        <v>133</v>
      </c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</row>
    <row r="171" spans="1:47" ht="18.75" customHeight="1">
      <c r="B171" s="56"/>
      <c r="C171" s="56" t="s">
        <v>341</v>
      </c>
      <c r="D171" s="56"/>
      <c r="E171" s="56"/>
      <c r="F171" s="56"/>
      <c r="G171" s="56"/>
      <c r="H171" s="56"/>
      <c r="I171" s="369" t="e">
        <f>H160</f>
        <v>#DIV/0!</v>
      </c>
      <c r="J171" s="369"/>
      <c r="K171" s="369"/>
      <c r="L171" s="369"/>
      <c r="M171" s="369"/>
      <c r="N171" s="369" t="str">
        <f>M162</f>
        <v>mm</v>
      </c>
      <c r="O171" s="369"/>
      <c r="P171" s="229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</row>
    <row r="172" spans="1:47" ht="18.75" customHeight="1">
      <c r="B172" s="56"/>
      <c r="C172" s="56" t="s">
        <v>130</v>
      </c>
      <c r="D172" s="56"/>
      <c r="E172" s="56"/>
      <c r="F172" s="56"/>
      <c r="G172" s="56"/>
      <c r="H172" s="56"/>
      <c r="I172" s="56"/>
      <c r="J172" s="61" t="s">
        <v>134</v>
      </c>
      <c r="K172" s="56"/>
      <c r="L172" s="56"/>
      <c r="M172" s="56"/>
      <c r="N172" s="56"/>
      <c r="O172" s="56"/>
      <c r="P172" s="56"/>
      <c r="Q172" s="448">
        <f>MAX(AU129:AY132)*1000</f>
        <v>0</v>
      </c>
      <c r="R172" s="448"/>
      <c r="S172" s="448"/>
      <c r="T172" s="449" t="s">
        <v>109</v>
      </c>
      <c r="U172" s="449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</row>
    <row r="173" spans="1:47" ht="18.75" customHeight="1">
      <c r="B173" s="56"/>
      <c r="C173" s="56"/>
      <c r="D173" s="56"/>
      <c r="E173" s="56"/>
      <c r="F173" s="56"/>
      <c r="G173" s="56"/>
      <c r="H173" s="56"/>
      <c r="I173" s="427" t="s">
        <v>449</v>
      </c>
      <c r="J173" s="427"/>
      <c r="K173" s="427"/>
      <c r="L173" s="427"/>
      <c r="M173" s="408" t="s">
        <v>135</v>
      </c>
      <c r="N173" s="408"/>
      <c r="O173" s="380" t="s">
        <v>117</v>
      </c>
      <c r="P173" s="450">
        <f>Q172</f>
        <v>0</v>
      </c>
      <c r="Q173" s="450"/>
      <c r="R173" s="450"/>
      <c r="S173" s="379" t="str">
        <f>T172</f>
        <v>μm</v>
      </c>
      <c r="T173" s="379"/>
      <c r="U173" s="380" t="s">
        <v>450</v>
      </c>
      <c r="V173" s="367">
        <f>P173/SQRT(5)</f>
        <v>0</v>
      </c>
      <c r="W173" s="367"/>
      <c r="X173" s="367"/>
      <c r="Y173" s="368" t="str">
        <f>T172</f>
        <v>μm</v>
      </c>
      <c r="Z173" s="368"/>
      <c r="AA173" s="230"/>
      <c r="AB173" s="230"/>
      <c r="AC173" s="230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</row>
    <row r="174" spans="1:47" ht="18.75" customHeight="1">
      <c r="B174" s="56"/>
      <c r="C174" s="56"/>
      <c r="D174" s="56"/>
      <c r="E174" s="56"/>
      <c r="F174" s="56"/>
      <c r="G174" s="56"/>
      <c r="H174" s="56"/>
      <c r="I174" s="427"/>
      <c r="J174" s="427"/>
      <c r="K174" s="427"/>
      <c r="L174" s="427"/>
      <c r="M174" s="451"/>
      <c r="N174" s="451"/>
      <c r="O174" s="380"/>
      <c r="P174" s="442"/>
      <c r="Q174" s="442"/>
      <c r="R174" s="442"/>
      <c r="S174" s="442"/>
      <c r="T174" s="442"/>
      <c r="U174" s="380"/>
      <c r="V174" s="367"/>
      <c r="W174" s="367"/>
      <c r="X174" s="367"/>
      <c r="Y174" s="368"/>
      <c r="Z174" s="368"/>
      <c r="AA174" s="230"/>
      <c r="AB174" s="230"/>
      <c r="AC174" s="230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</row>
    <row r="175" spans="1:47" ht="18.75" customHeight="1">
      <c r="B175" s="56"/>
      <c r="C175" s="56"/>
      <c r="D175" s="56"/>
      <c r="E175" s="154" t="s">
        <v>343</v>
      </c>
      <c r="F175" s="56"/>
      <c r="G175" s="56"/>
      <c r="H175" s="56"/>
      <c r="I175" s="234"/>
      <c r="J175" s="234"/>
      <c r="K175" s="234"/>
      <c r="L175" s="234"/>
      <c r="M175" s="231"/>
      <c r="N175" s="231"/>
      <c r="O175" s="231"/>
      <c r="P175" s="226"/>
      <c r="Q175" s="226"/>
      <c r="R175" s="226"/>
      <c r="S175" s="226"/>
      <c r="T175" s="226"/>
      <c r="U175" s="231"/>
      <c r="V175" s="145"/>
      <c r="W175" s="145"/>
      <c r="X175" s="145"/>
      <c r="Y175" s="230"/>
      <c r="Z175" s="230"/>
      <c r="AA175" s="230"/>
      <c r="AB175" s="230"/>
      <c r="AC175" s="230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</row>
    <row r="176" spans="1:47" ht="18.75" customHeight="1">
      <c r="B176" s="56"/>
      <c r="C176" s="56"/>
      <c r="D176" s="56"/>
      <c r="E176" s="154"/>
      <c r="F176" s="56"/>
      <c r="G176" s="56"/>
      <c r="H176" s="56"/>
      <c r="I176" s="427" t="s">
        <v>451</v>
      </c>
      <c r="J176" s="427"/>
      <c r="K176" s="427"/>
      <c r="L176" s="427"/>
      <c r="M176" s="408" t="s">
        <v>136</v>
      </c>
      <c r="N176" s="408"/>
      <c r="O176" s="380" t="s">
        <v>117</v>
      </c>
      <c r="P176" s="378">
        <f>Calcu!G54</f>
        <v>0</v>
      </c>
      <c r="Q176" s="378"/>
      <c r="R176" s="378"/>
      <c r="S176" s="379" t="str">
        <f>T172</f>
        <v>μm</v>
      </c>
      <c r="T176" s="379"/>
      <c r="U176" s="380" t="s">
        <v>342</v>
      </c>
      <c r="V176" s="367">
        <f>P176/(2*SQRT(3))</f>
        <v>0</v>
      </c>
      <c r="W176" s="367"/>
      <c r="X176" s="367"/>
      <c r="Y176" s="368" t="str">
        <f>T172</f>
        <v>μm</v>
      </c>
      <c r="Z176" s="368"/>
      <c r="AA176" s="230"/>
      <c r="AB176" s="230"/>
      <c r="AC176" s="230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</row>
    <row r="177" spans="2:59" ht="18.75" customHeight="1">
      <c r="B177" s="56"/>
      <c r="C177" s="56"/>
      <c r="D177" s="56"/>
      <c r="E177" s="154"/>
      <c r="F177" s="56"/>
      <c r="G177" s="56"/>
      <c r="H177" s="56"/>
      <c r="I177" s="427"/>
      <c r="J177" s="427"/>
      <c r="K177" s="427"/>
      <c r="L177" s="427"/>
      <c r="M177" s="451"/>
      <c r="N177" s="451"/>
      <c r="O177" s="380"/>
      <c r="P177" s="442"/>
      <c r="Q177" s="442"/>
      <c r="R177" s="442"/>
      <c r="S177" s="442"/>
      <c r="T177" s="442"/>
      <c r="U177" s="380"/>
      <c r="V177" s="367"/>
      <c r="W177" s="367"/>
      <c r="X177" s="367"/>
      <c r="Y177" s="368"/>
      <c r="Z177" s="368"/>
      <c r="AA177" s="230"/>
      <c r="AB177" s="230"/>
      <c r="AC177" s="230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</row>
    <row r="178" spans="2:59" ht="18.75" customHeight="1">
      <c r="B178" s="56"/>
      <c r="C178" s="56" t="s">
        <v>345</v>
      </c>
      <c r="D178" s="56"/>
      <c r="E178" s="56"/>
      <c r="F178" s="56"/>
      <c r="G178" s="56"/>
      <c r="H178" s="56"/>
      <c r="I178" s="374" t="str">
        <f>V160</f>
        <v>직사각형</v>
      </c>
      <c r="J178" s="374"/>
      <c r="K178" s="374"/>
      <c r="L178" s="374"/>
      <c r="M178" s="374"/>
      <c r="N178" s="374"/>
      <c r="O178" s="374"/>
      <c r="P178" s="374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</row>
    <row r="179" spans="2:59" ht="18.75" customHeight="1">
      <c r="B179" s="56"/>
      <c r="C179" s="377" t="s">
        <v>346</v>
      </c>
      <c r="D179" s="377"/>
      <c r="E179" s="377"/>
      <c r="F179" s="377"/>
      <c r="G179" s="377"/>
      <c r="H179" s="377"/>
      <c r="I179" s="228"/>
      <c r="J179" s="228"/>
      <c r="K179" s="56"/>
      <c r="L179" s="56"/>
      <c r="N179" s="374">
        <f>AA160</f>
        <v>1</v>
      </c>
      <c r="O179" s="374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</row>
    <row r="180" spans="2:59" ht="18.75" customHeight="1">
      <c r="B180" s="56"/>
      <c r="C180" s="377"/>
      <c r="D180" s="377"/>
      <c r="E180" s="377"/>
      <c r="F180" s="377"/>
      <c r="G180" s="377"/>
      <c r="H180" s="377"/>
      <c r="I180" s="227"/>
      <c r="J180" s="227"/>
      <c r="K180" s="56"/>
      <c r="L180" s="56"/>
      <c r="N180" s="374"/>
      <c r="O180" s="374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</row>
    <row r="181" spans="2:59" ht="18.75" customHeight="1">
      <c r="B181" s="56"/>
      <c r="C181" s="56" t="s">
        <v>452</v>
      </c>
      <c r="D181" s="56"/>
      <c r="E181" s="56"/>
      <c r="F181" s="56"/>
      <c r="G181" s="56"/>
      <c r="H181" s="56"/>
      <c r="I181" s="56"/>
      <c r="J181" s="56"/>
      <c r="K181" s="233" t="s">
        <v>348</v>
      </c>
      <c r="L181" s="400">
        <f>N179</f>
        <v>1</v>
      </c>
      <c r="M181" s="400"/>
      <c r="N181" s="228" t="s">
        <v>80</v>
      </c>
      <c r="O181" s="367" t="e">
        <f>AH162</f>
        <v>#DIV/0!</v>
      </c>
      <c r="P181" s="367"/>
      <c r="Q181" s="367"/>
      <c r="R181" s="368" t="str">
        <f>Y173</f>
        <v>μm</v>
      </c>
      <c r="S181" s="369"/>
      <c r="T181" s="233" t="s">
        <v>79</v>
      </c>
      <c r="U181" s="72" t="s">
        <v>342</v>
      </c>
      <c r="V181" s="367" t="e">
        <f>O181</f>
        <v>#DIV/0!</v>
      </c>
      <c r="W181" s="367"/>
      <c r="X181" s="367"/>
      <c r="Y181" s="368" t="str">
        <f>R181</f>
        <v>μm</v>
      </c>
      <c r="Z181" s="369"/>
      <c r="AA181" s="229"/>
      <c r="AB181" s="56"/>
      <c r="AC181" s="56"/>
      <c r="AD181" s="56"/>
      <c r="AE181" s="56"/>
      <c r="AF181" s="56"/>
      <c r="AP181" s="56"/>
      <c r="AQ181" s="56"/>
      <c r="AR181" s="56"/>
      <c r="AS181" s="56"/>
      <c r="AT181" s="56"/>
      <c r="AU181" s="56"/>
      <c r="AV181" s="56"/>
    </row>
    <row r="182" spans="2:59" ht="18.75" customHeight="1">
      <c r="B182" s="56"/>
      <c r="C182" s="56" t="s">
        <v>350</v>
      </c>
      <c r="D182" s="56"/>
      <c r="E182" s="56"/>
      <c r="F182" s="56"/>
      <c r="G182" s="56"/>
      <c r="H182" s="56"/>
      <c r="I182" s="106" t="s">
        <v>352</v>
      </c>
      <c r="J182" s="106"/>
      <c r="K182" s="106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  <c r="AA182" s="56"/>
      <c r="AB182" s="56"/>
      <c r="AC182" s="56"/>
      <c r="AD182" s="56"/>
      <c r="AE182" s="56"/>
      <c r="AF182" s="56"/>
    </row>
    <row r="183" spans="2:59" ht="18.75" customHeight="1">
      <c r="B183" s="56"/>
      <c r="C183" s="56"/>
      <c r="D183" s="56"/>
      <c r="E183" s="56"/>
      <c r="F183" s="56"/>
      <c r="G183" s="56"/>
      <c r="H183" s="56"/>
      <c r="I183" s="106"/>
      <c r="J183" s="97"/>
      <c r="K183" s="106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  <c r="AA183" s="56"/>
      <c r="AB183" s="56"/>
      <c r="AC183" s="56"/>
      <c r="AD183" s="56"/>
      <c r="AE183" s="56"/>
      <c r="AF183" s="56"/>
    </row>
    <row r="184" spans="2:59" s="133" customFormat="1" ht="18.75" customHeight="1">
      <c r="B184" s="57" t="s">
        <v>453</v>
      </c>
      <c r="D184" s="228"/>
      <c r="E184" s="228"/>
      <c r="F184" s="228"/>
      <c r="G184" s="226"/>
      <c r="H184" s="228"/>
      <c r="I184" s="228"/>
      <c r="J184" s="228"/>
      <c r="K184" s="228"/>
      <c r="L184" s="228"/>
      <c r="M184" s="228"/>
      <c r="N184" s="228"/>
      <c r="O184" s="228"/>
      <c r="P184" s="238" t="s">
        <v>454</v>
      </c>
      <c r="Q184" s="228"/>
      <c r="R184" s="228"/>
      <c r="T184" s="228"/>
      <c r="V184" s="228"/>
      <c r="W184" s="228"/>
      <c r="X184" s="228"/>
      <c r="Y184" s="228"/>
      <c r="Z184" s="228"/>
      <c r="AA184" s="228"/>
      <c r="AB184" s="228"/>
      <c r="AC184" s="228"/>
      <c r="AD184" s="228"/>
      <c r="AE184" s="226"/>
      <c r="AF184" s="228"/>
      <c r="AG184" s="226"/>
      <c r="AH184" s="226"/>
      <c r="AI184" s="226"/>
      <c r="AJ184" s="226"/>
      <c r="AK184" s="226"/>
      <c r="AL184" s="226"/>
      <c r="AM184" s="226"/>
      <c r="AN184" s="226"/>
      <c r="AO184" s="226"/>
      <c r="AP184" s="226"/>
      <c r="AQ184" s="226"/>
      <c r="AR184" s="226"/>
      <c r="AS184" s="226"/>
      <c r="AT184" s="226"/>
      <c r="AU184" s="226"/>
      <c r="AV184" s="226"/>
      <c r="AW184" s="226"/>
      <c r="AX184" s="226"/>
      <c r="AY184" s="226"/>
      <c r="AZ184" s="226"/>
      <c r="BA184" s="226"/>
      <c r="BB184" s="226"/>
      <c r="BC184" s="226"/>
      <c r="BD184" s="226"/>
      <c r="BE184" s="226"/>
      <c r="BF184" s="226"/>
      <c r="BG184" s="226"/>
    </row>
    <row r="185" spans="2:59" s="133" customFormat="1" ht="18.75" customHeight="1">
      <c r="B185" s="226"/>
      <c r="C185" s="227" t="s">
        <v>354</v>
      </c>
      <c r="D185" s="226"/>
      <c r="E185" s="226"/>
      <c r="F185" s="226"/>
      <c r="G185" s="226"/>
      <c r="H185" s="56"/>
      <c r="I185" s="369">
        <f>H161</f>
        <v>0</v>
      </c>
      <c r="J185" s="369"/>
      <c r="K185" s="369"/>
      <c r="L185" s="369"/>
      <c r="M185" s="369"/>
      <c r="N185" s="369" t="str">
        <f>M161</f>
        <v>mm</v>
      </c>
      <c r="O185" s="369"/>
      <c r="P185" s="229"/>
      <c r="Q185" s="56"/>
      <c r="R185" s="56"/>
      <c r="S185" s="56"/>
      <c r="T185" s="56"/>
      <c r="U185" s="56"/>
      <c r="V185" s="56"/>
      <c r="W185" s="56"/>
      <c r="X185" s="56"/>
      <c r="Y185" s="56"/>
      <c r="AD185" s="228"/>
      <c r="AE185" s="228"/>
      <c r="AF185" s="228"/>
      <c r="AG185" s="228"/>
      <c r="AH185" s="228"/>
      <c r="AI185" s="226"/>
      <c r="AJ185" s="226"/>
      <c r="AK185" s="226"/>
      <c r="AL185" s="226"/>
      <c r="AM185" s="226"/>
      <c r="AN185" s="226"/>
      <c r="AO185" s="226"/>
      <c r="AP185" s="226"/>
      <c r="AQ185" s="226"/>
      <c r="AR185" s="226"/>
      <c r="AS185" s="228"/>
      <c r="AT185" s="228"/>
      <c r="AU185" s="228"/>
      <c r="AV185" s="228"/>
      <c r="AW185" s="228"/>
      <c r="AX185" s="228"/>
      <c r="AY185" s="226"/>
      <c r="AZ185" s="226"/>
      <c r="BA185" s="226"/>
      <c r="BB185" s="226"/>
      <c r="BC185" s="226"/>
      <c r="BD185" s="226"/>
      <c r="BE185" s="226"/>
      <c r="BF185" s="226"/>
      <c r="BG185" s="226"/>
    </row>
    <row r="186" spans="2:59" s="133" customFormat="1" ht="18.75" customHeight="1">
      <c r="B186" s="226"/>
      <c r="C186" s="228" t="s">
        <v>355</v>
      </c>
      <c r="D186" s="228"/>
      <c r="E186" s="228"/>
      <c r="F186" s="228"/>
      <c r="G186" s="228"/>
      <c r="H186" s="228"/>
      <c r="I186" s="226"/>
      <c r="J186" s="228" t="s">
        <v>455</v>
      </c>
      <c r="K186" s="228"/>
      <c r="L186" s="228"/>
      <c r="M186" s="228"/>
      <c r="N186" s="228"/>
      <c r="O186" s="228"/>
      <c r="P186" s="228"/>
      <c r="Q186" s="228"/>
      <c r="R186" s="228"/>
      <c r="S186" s="228"/>
      <c r="T186" s="228"/>
      <c r="U186" s="135"/>
      <c r="V186" s="241"/>
      <c r="W186" s="241"/>
      <c r="X186" s="241"/>
      <c r="Y186" s="241"/>
      <c r="Z186" s="241"/>
      <c r="AD186" s="228"/>
      <c r="AE186" s="228"/>
      <c r="AF186" s="226"/>
      <c r="AG186" s="226"/>
      <c r="AH186" s="226"/>
      <c r="AI186" s="226"/>
      <c r="AJ186" s="226"/>
      <c r="AK186" s="226"/>
      <c r="AL186" s="226"/>
      <c r="AM186" s="226"/>
      <c r="AN186" s="228"/>
      <c r="AO186" s="228"/>
      <c r="AP186" s="228"/>
      <c r="AQ186" s="228"/>
      <c r="AR186" s="228"/>
      <c r="AS186" s="228"/>
      <c r="AT186" s="228"/>
      <c r="AU186" s="228"/>
      <c r="AV186" s="228"/>
      <c r="AW186" s="228"/>
      <c r="AX186" s="228"/>
      <c r="AY186" s="226"/>
      <c r="AZ186" s="226"/>
      <c r="BA186" s="226"/>
      <c r="BB186" s="226"/>
      <c r="BC186" s="226"/>
      <c r="BD186" s="226"/>
      <c r="BE186" s="226"/>
      <c r="BF186" s="226"/>
      <c r="BG186" s="226"/>
    </row>
    <row r="187" spans="2:59" s="133" customFormat="1" ht="18.75" customHeight="1">
      <c r="B187" s="226"/>
      <c r="C187" s="228"/>
      <c r="D187" s="228"/>
      <c r="E187" s="228"/>
      <c r="F187" s="228"/>
      <c r="G187" s="228"/>
      <c r="H187" s="228"/>
      <c r="I187" s="468" t="s">
        <v>456</v>
      </c>
      <c r="J187" s="468"/>
      <c r="K187" s="468"/>
      <c r="L187" s="468"/>
      <c r="M187" s="226"/>
      <c r="N187" s="391" t="s">
        <v>457</v>
      </c>
      <c r="O187" s="391"/>
      <c r="P187" s="371" t="s">
        <v>117</v>
      </c>
      <c r="Q187" s="469" t="e">
        <f ca="1">Calcu!G50</f>
        <v>#DIV/0!</v>
      </c>
      <c r="R187" s="469"/>
      <c r="S187" s="469"/>
      <c r="T187" s="469"/>
      <c r="U187" s="382" t="s">
        <v>342</v>
      </c>
      <c r="V187" s="470" t="e">
        <f ca="1">Q187/Q188</f>
        <v>#DIV/0!</v>
      </c>
      <c r="W187" s="470"/>
      <c r="X187" s="470"/>
      <c r="Y187" s="470"/>
      <c r="Z187" s="470"/>
      <c r="AA187" s="228"/>
      <c r="AB187" s="226"/>
      <c r="AC187" s="226"/>
      <c r="AD187" s="226"/>
      <c r="AE187" s="226"/>
      <c r="AF187" s="226"/>
      <c r="AG187" s="226"/>
      <c r="AH187" s="226"/>
      <c r="AI187" s="226"/>
      <c r="AJ187" s="226"/>
      <c r="AK187" s="226"/>
      <c r="AL187" s="226"/>
      <c r="AM187" s="226"/>
      <c r="AN187" s="226"/>
      <c r="AO187" s="228"/>
      <c r="AP187" s="228"/>
      <c r="AQ187" s="228"/>
      <c r="AR187" s="228"/>
      <c r="AS187" s="228"/>
      <c r="AT187" s="228"/>
      <c r="AU187" s="228"/>
      <c r="AV187" s="228"/>
      <c r="AW187" s="226"/>
      <c r="AX187" s="226"/>
      <c r="AY187" s="226"/>
      <c r="AZ187" s="226"/>
      <c r="BA187" s="226"/>
      <c r="BB187" s="226"/>
      <c r="BC187" s="226"/>
      <c r="BD187" s="226"/>
      <c r="BE187" s="226"/>
    </row>
    <row r="188" spans="2:59" s="133" customFormat="1" ht="18.75" customHeight="1">
      <c r="B188" s="226"/>
      <c r="C188" s="228"/>
      <c r="D188" s="228"/>
      <c r="E188" s="228"/>
      <c r="F188" s="228"/>
      <c r="G188" s="228"/>
      <c r="H188" s="228"/>
      <c r="I188" s="468"/>
      <c r="J188" s="468"/>
      <c r="K188" s="468"/>
      <c r="L188" s="468"/>
      <c r="M188" s="226"/>
      <c r="N188" s="471" t="s">
        <v>458</v>
      </c>
      <c r="O188" s="471"/>
      <c r="P188" s="371"/>
      <c r="Q188" s="376" t="e">
        <f ca="1">Calcu!I50</f>
        <v>#DIV/0!</v>
      </c>
      <c r="R188" s="376"/>
      <c r="S188" s="376"/>
      <c r="T188" s="376"/>
      <c r="U188" s="382"/>
      <c r="V188" s="470"/>
      <c r="W188" s="470"/>
      <c r="X188" s="470"/>
      <c r="Y188" s="470"/>
      <c r="Z188" s="470"/>
      <c r="AA188" s="228"/>
      <c r="AB188" s="226"/>
      <c r="AC188" s="226"/>
      <c r="AD188" s="226"/>
      <c r="AE188" s="226"/>
      <c r="AF188" s="226"/>
      <c r="AG188" s="226"/>
      <c r="AH188" s="226"/>
      <c r="AI188" s="226"/>
      <c r="AJ188" s="226"/>
      <c r="AK188" s="226"/>
      <c r="AL188" s="226"/>
      <c r="AM188" s="226"/>
      <c r="AN188" s="226"/>
      <c r="AO188" s="228"/>
      <c r="AP188" s="228"/>
      <c r="AQ188" s="228"/>
      <c r="AR188" s="228"/>
      <c r="AS188" s="228"/>
      <c r="AT188" s="228"/>
      <c r="AU188" s="228"/>
      <c r="AV188" s="228"/>
      <c r="AW188" s="226"/>
      <c r="AX188" s="226"/>
      <c r="AY188" s="226"/>
      <c r="AZ188" s="226"/>
      <c r="BA188" s="226"/>
      <c r="BB188" s="226"/>
      <c r="BC188" s="226"/>
      <c r="BD188" s="226"/>
      <c r="BE188" s="226"/>
    </row>
    <row r="189" spans="2:59" s="133" customFormat="1" ht="18.75" customHeight="1">
      <c r="B189" s="226"/>
      <c r="C189" s="228" t="s">
        <v>363</v>
      </c>
      <c r="D189" s="228"/>
      <c r="E189" s="228"/>
      <c r="F189" s="228"/>
      <c r="G189" s="228"/>
      <c r="H189" s="228"/>
      <c r="I189" s="374" t="str">
        <f>V161</f>
        <v>정규</v>
      </c>
      <c r="J189" s="374"/>
      <c r="K189" s="374"/>
      <c r="L189" s="374"/>
      <c r="M189" s="374"/>
      <c r="N189" s="374"/>
      <c r="O189" s="374"/>
      <c r="P189" s="374"/>
      <c r="Q189" s="228"/>
      <c r="R189" s="228"/>
      <c r="S189" s="228"/>
      <c r="T189" s="228"/>
      <c r="U189" s="228"/>
      <c r="V189" s="228"/>
      <c r="W189" s="228"/>
      <c r="X189" s="228"/>
      <c r="Y189" s="228"/>
      <c r="Z189" s="226"/>
      <c r="AA189" s="226"/>
      <c r="AB189" s="226"/>
      <c r="AC189" s="226"/>
      <c r="AD189" s="226"/>
      <c r="AE189" s="226"/>
      <c r="AF189" s="226"/>
      <c r="AG189" s="226"/>
      <c r="AH189" s="228"/>
      <c r="AI189" s="228"/>
      <c r="AJ189" s="228"/>
      <c r="AK189" s="228"/>
      <c r="AL189" s="228"/>
      <c r="AM189" s="228"/>
      <c r="AN189" s="228"/>
      <c r="AO189" s="228"/>
      <c r="AP189" s="228"/>
      <c r="AQ189" s="228"/>
      <c r="AR189" s="228"/>
      <c r="AS189" s="228"/>
      <c r="AT189" s="228"/>
      <c r="AU189" s="228"/>
      <c r="AV189" s="228"/>
      <c r="AW189" s="228"/>
      <c r="AX189" s="228"/>
      <c r="AY189" s="226"/>
      <c r="AZ189" s="226"/>
      <c r="BA189" s="226"/>
      <c r="BB189" s="226"/>
      <c r="BC189" s="226"/>
      <c r="BD189" s="226"/>
      <c r="BE189" s="226"/>
      <c r="BF189" s="226"/>
      <c r="BG189" s="226"/>
    </row>
    <row r="190" spans="2:59" s="133" customFormat="1" ht="18.75" customHeight="1">
      <c r="B190" s="226"/>
      <c r="C190" s="377" t="s">
        <v>459</v>
      </c>
      <c r="D190" s="377"/>
      <c r="E190" s="377"/>
      <c r="F190" s="377"/>
      <c r="G190" s="377"/>
      <c r="H190" s="377"/>
      <c r="I190" s="228"/>
      <c r="J190" s="228"/>
      <c r="K190" s="228"/>
      <c r="L190" s="228"/>
      <c r="M190" s="228"/>
      <c r="N190" s="374">
        <f>AA161</f>
        <v>-1</v>
      </c>
      <c r="O190" s="374"/>
      <c r="S190" s="228"/>
      <c r="T190" s="228"/>
      <c r="U190" s="228"/>
      <c r="V190" s="228"/>
      <c r="W190" s="228"/>
      <c r="X190" s="228"/>
      <c r="Y190" s="228"/>
      <c r="Z190" s="138"/>
      <c r="AA190" s="138"/>
      <c r="AB190" s="228"/>
      <c r="AC190" s="228"/>
      <c r="AD190" s="228"/>
      <c r="AE190" s="228"/>
      <c r="AF190" s="228"/>
      <c r="AG190" s="228"/>
      <c r="AH190" s="228"/>
      <c r="AI190" s="228"/>
      <c r="AJ190" s="228"/>
      <c r="AK190" s="228"/>
      <c r="AL190" s="226"/>
      <c r="AM190" s="226"/>
      <c r="AN190" s="226"/>
      <c r="AO190" s="228"/>
      <c r="AP190" s="228"/>
      <c r="AQ190" s="228"/>
      <c r="AR190" s="228"/>
      <c r="AS190" s="228"/>
      <c r="AT190" s="228"/>
      <c r="AU190" s="228"/>
      <c r="AV190" s="228"/>
      <c r="AW190" s="228"/>
      <c r="AX190" s="228"/>
      <c r="AY190" s="226"/>
      <c r="AZ190" s="226"/>
      <c r="BA190" s="226"/>
      <c r="BB190" s="226"/>
      <c r="BC190" s="226"/>
      <c r="BD190" s="226"/>
      <c r="BE190" s="226"/>
      <c r="BF190" s="226"/>
      <c r="BG190" s="226"/>
    </row>
    <row r="191" spans="2:59" s="133" customFormat="1" ht="18.75" customHeight="1">
      <c r="B191" s="226"/>
      <c r="C191" s="377"/>
      <c r="D191" s="377"/>
      <c r="E191" s="377"/>
      <c r="F191" s="377"/>
      <c r="G191" s="377"/>
      <c r="H191" s="377"/>
      <c r="I191" s="228"/>
      <c r="J191" s="228"/>
      <c r="K191" s="228"/>
      <c r="L191" s="228"/>
      <c r="M191" s="228"/>
      <c r="N191" s="374"/>
      <c r="O191" s="374"/>
      <c r="S191" s="228"/>
      <c r="T191" s="228"/>
      <c r="U191" s="228"/>
      <c r="V191" s="228"/>
      <c r="W191" s="228"/>
      <c r="X191" s="228"/>
      <c r="Y191" s="228"/>
      <c r="Z191" s="138"/>
      <c r="AA191" s="138"/>
      <c r="AB191" s="228"/>
      <c r="AC191" s="228"/>
      <c r="AD191" s="228"/>
      <c r="AE191" s="228"/>
      <c r="AF191" s="228"/>
      <c r="AG191" s="228"/>
      <c r="AH191" s="228"/>
      <c r="AI191" s="228"/>
      <c r="AJ191" s="228"/>
      <c r="AK191" s="228"/>
      <c r="AL191" s="226"/>
      <c r="AM191" s="226"/>
      <c r="AN191" s="226"/>
      <c r="AO191" s="228"/>
      <c r="AP191" s="228"/>
      <c r="AQ191" s="228"/>
      <c r="AR191" s="228"/>
      <c r="AS191" s="228"/>
      <c r="AT191" s="228"/>
      <c r="AU191" s="228"/>
      <c r="AV191" s="228"/>
      <c r="AW191" s="228"/>
      <c r="AX191" s="228"/>
      <c r="AY191" s="226"/>
      <c r="AZ191" s="226"/>
      <c r="BA191" s="226"/>
      <c r="BB191" s="226"/>
      <c r="BC191" s="226"/>
      <c r="BD191" s="226"/>
      <c r="BE191" s="226"/>
      <c r="BF191" s="226"/>
      <c r="BG191" s="226"/>
    </row>
    <row r="192" spans="2:59" s="133" customFormat="1" ht="18.75" customHeight="1">
      <c r="B192" s="226"/>
      <c r="C192" s="228" t="s">
        <v>460</v>
      </c>
      <c r="D192" s="228"/>
      <c r="E192" s="228"/>
      <c r="F192" s="228"/>
      <c r="G192" s="228"/>
      <c r="H192" s="228"/>
      <c r="I192" s="228"/>
      <c r="J192" s="226"/>
      <c r="K192" s="226" t="s">
        <v>139</v>
      </c>
      <c r="L192" s="371">
        <f>N190</f>
        <v>-1</v>
      </c>
      <c r="M192" s="371"/>
      <c r="N192" s="135" t="s">
        <v>461</v>
      </c>
      <c r="O192" s="472" t="e">
        <f ca="1">V187</f>
        <v>#DIV/0!</v>
      </c>
      <c r="P192" s="472"/>
      <c r="Q192" s="472"/>
      <c r="R192" s="472"/>
      <c r="S192" s="472"/>
      <c r="T192" s="226" t="s">
        <v>139</v>
      </c>
      <c r="U192" s="226" t="s">
        <v>117</v>
      </c>
      <c r="V192" s="470" t="e">
        <f ca="1">ABS(L192*O192)</f>
        <v>#DIV/0!</v>
      </c>
      <c r="W192" s="470"/>
      <c r="X192" s="470"/>
      <c r="Y192" s="470"/>
      <c r="Z192" s="470"/>
      <c r="AA192" s="139"/>
      <c r="AB192" s="139"/>
      <c r="AC192" s="134"/>
      <c r="AD192" s="226"/>
      <c r="AE192" s="228"/>
      <c r="AF192" s="226"/>
      <c r="AG192" s="226"/>
      <c r="AH192" s="226"/>
      <c r="AI192" s="226"/>
      <c r="AJ192" s="226"/>
      <c r="AK192" s="228"/>
      <c r="AL192" s="226"/>
      <c r="AM192" s="226"/>
      <c r="AN192" s="226"/>
      <c r="AO192" s="228"/>
      <c r="AP192" s="228"/>
      <c r="AQ192" s="228"/>
      <c r="AR192" s="228"/>
      <c r="AS192" s="228"/>
      <c r="AT192" s="228"/>
      <c r="AU192" s="228"/>
      <c r="AV192" s="228"/>
      <c r="AW192" s="228"/>
      <c r="AX192" s="228"/>
      <c r="AY192" s="226"/>
      <c r="AZ192" s="226"/>
      <c r="BA192" s="226"/>
      <c r="BB192" s="226"/>
      <c r="BC192" s="226"/>
      <c r="BD192" s="226"/>
      <c r="BE192" s="226"/>
      <c r="BF192" s="226"/>
      <c r="BG192" s="226"/>
    </row>
    <row r="193" spans="1:59" s="133" customFormat="1" ht="18.75" customHeight="1">
      <c r="B193" s="226"/>
      <c r="C193" s="228" t="s">
        <v>462</v>
      </c>
      <c r="D193" s="228"/>
      <c r="E193" s="228"/>
      <c r="F193" s="228"/>
      <c r="G193" s="228"/>
      <c r="H193" s="55"/>
      <c r="I193" s="106" t="s">
        <v>463</v>
      </c>
      <c r="J193" s="56"/>
      <c r="K193" s="56"/>
      <c r="L193" s="56"/>
      <c r="M193" s="56"/>
      <c r="N193" s="56"/>
      <c r="O193" s="56"/>
      <c r="P193" s="56"/>
      <c r="Q193" s="56"/>
      <c r="R193" s="56"/>
      <c r="S193" s="168"/>
      <c r="T193" s="168"/>
      <c r="U193" s="56"/>
      <c r="V193" s="56"/>
      <c r="W193" s="56"/>
      <c r="X193" s="56"/>
      <c r="Y193" s="228"/>
      <c r="Z193" s="228"/>
      <c r="AA193" s="228"/>
      <c r="AB193" s="228"/>
      <c r="AC193" s="228"/>
      <c r="AD193" s="228"/>
      <c r="AE193" s="226"/>
      <c r="AF193" s="226"/>
      <c r="AG193" s="226"/>
      <c r="AH193" s="226"/>
      <c r="AI193" s="226"/>
      <c r="AJ193" s="226"/>
      <c r="AK193" s="226"/>
      <c r="AL193" s="226"/>
      <c r="AM193" s="226"/>
      <c r="AN193" s="226"/>
      <c r="AO193" s="226"/>
      <c r="AP193" s="226"/>
      <c r="AQ193" s="226"/>
      <c r="AR193" s="226"/>
      <c r="AS193" s="226"/>
      <c r="AT193" s="226"/>
      <c r="AU193" s="226"/>
      <c r="AV193" s="226"/>
      <c r="AW193" s="226"/>
      <c r="AX193" s="226"/>
      <c r="AY193" s="226"/>
      <c r="AZ193" s="226"/>
      <c r="BA193" s="226"/>
      <c r="BB193" s="226"/>
      <c r="BC193" s="226"/>
      <c r="BD193" s="226"/>
      <c r="BE193" s="226"/>
      <c r="BF193" s="226"/>
      <c r="BG193" s="226"/>
    </row>
    <row r="194" spans="1:59" s="133" customFormat="1" ht="18.75" customHeight="1">
      <c r="B194" s="226"/>
      <c r="C194" s="228"/>
      <c r="D194" s="228"/>
      <c r="E194" s="228"/>
      <c r="F194" s="228"/>
      <c r="G194" s="226"/>
      <c r="H194" s="228"/>
      <c r="I194" s="228"/>
      <c r="J194" s="228"/>
      <c r="K194" s="228"/>
      <c r="L194" s="228"/>
      <c r="M194" s="228"/>
      <c r="N194" s="228"/>
      <c r="O194" s="228"/>
      <c r="P194" s="228"/>
      <c r="Q194" s="228"/>
      <c r="R194" s="228"/>
      <c r="S194" s="228"/>
      <c r="T194" s="228"/>
      <c r="U194" s="228"/>
      <c r="V194" s="228"/>
      <c r="W194" s="228"/>
      <c r="X194" s="226"/>
      <c r="Y194" s="228"/>
      <c r="Z194" s="228"/>
      <c r="AA194" s="228"/>
      <c r="AB194" s="228"/>
      <c r="AC194" s="228"/>
      <c r="AD194" s="228"/>
      <c r="AE194" s="226"/>
      <c r="AF194" s="226"/>
      <c r="AG194" s="226"/>
      <c r="AH194" s="226"/>
      <c r="AI194" s="226"/>
      <c r="AJ194" s="226"/>
      <c r="AK194" s="226"/>
      <c r="AL194" s="226"/>
      <c r="AM194" s="226"/>
      <c r="AN194" s="226"/>
      <c r="AO194" s="226"/>
      <c r="AP194" s="226"/>
      <c r="AQ194" s="226"/>
      <c r="AR194" s="226"/>
      <c r="AS194" s="226"/>
      <c r="AT194" s="226"/>
      <c r="AU194" s="226"/>
      <c r="AV194" s="226"/>
      <c r="AW194" s="226"/>
      <c r="AX194" s="226"/>
      <c r="AY194" s="226"/>
      <c r="AZ194" s="226"/>
      <c r="BA194" s="226"/>
      <c r="BB194" s="226"/>
      <c r="BC194" s="226"/>
      <c r="BD194" s="226"/>
      <c r="BE194" s="226"/>
      <c r="BF194" s="226"/>
      <c r="BG194" s="226"/>
    </row>
    <row r="195" spans="1:59" ht="18.75" customHeight="1">
      <c r="A195" s="56"/>
      <c r="B195" s="196" t="str">
        <f>"3. "&amp;T5&amp;"의 표준불확도,"</f>
        <v>3. 측정 투영기의 표준불확도,</v>
      </c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197" t="s">
        <v>353</v>
      </c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</row>
    <row r="196" spans="1:59" ht="18.75" customHeight="1">
      <c r="A196" s="56"/>
      <c r="B196" s="60"/>
      <c r="C196" s="56" t="str">
        <f>"※ 교정성적서에 주어진 "&amp;T5&amp;"의 측정불확도를 포함인자로 나누어 구한다."</f>
        <v>※ 교정성적서에 주어진 측정 투영기의 측정불확도를 포함인자로 나누어 구한다.</v>
      </c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</row>
    <row r="197" spans="1:59" ht="18.75" customHeight="1">
      <c r="A197" s="56"/>
      <c r="B197" s="56"/>
      <c r="C197" s="56" t="s">
        <v>464</v>
      </c>
      <c r="D197" s="56"/>
      <c r="E197" s="56"/>
      <c r="F197" s="56"/>
      <c r="G197" s="56"/>
      <c r="H197" s="56"/>
      <c r="I197" s="452" t="e">
        <f>H162</f>
        <v>#DIV/0!</v>
      </c>
      <c r="J197" s="452"/>
      <c r="K197" s="452"/>
      <c r="L197" s="452"/>
      <c r="M197" s="452"/>
      <c r="N197" s="369" t="str">
        <f>M160</f>
        <v>mm</v>
      </c>
      <c r="O197" s="369"/>
      <c r="P197" s="229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</row>
    <row r="198" spans="1:59" ht="18.75" customHeight="1">
      <c r="A198" s="56"/>
      <c r="B198" s="56"/>
      <c r="C198" s="56" t="s">
        <v>371</v>
      </c>
      <c r="D198" s="56"/>
      <c r="E198" s="56"/>
      <c r="F198" s="56"/>
      <c r="G198" s="56"/>
      <c r="H198" s="56"/>
      <c r="I198" s="235"/>
      <c r="J198" s="236" t="str">
        <f>"※ "&amp;T5&amp;"의 측정불확도가"</f>
        <v>※ 측정 투영기의 측정불확도가</v>
      </c>
      <c r="K198" s="236"/>
      <c r="L198" s="236"/>
      <c r="M198" s="236"/>
      <c r="N198" s="236"/>
      <c r="O198" s="236"/>
      <c r="P198" s="236"/>
      <c r="Q198" s="236"/>
      <c r="R198" s="236"/>
      <c r="S198" s="236"/>
      <c r="T198" s="236"/>
      <c r="U198" s="236"/>
      <c r="V198" s="236"/>
      <c r="W198" s="236"/>
      <c r="X198" s="453">
        <f>Calcu!G51</f>
        <v>0</v>
      </c>
      <c r="Y198" s="453"/>
      <c r="Z198" s="453"/>
      <c r="AB198" s="454">
        <f>Calcu!H51</f>
        <v>0</v>
      </c>
      <c r="AC198" s="454"/>
      <c r="AD198" s="454"/>
      <c r="AE198" s="236"/>
      <c r="AF198" s="236"/>
      <c r="AH198" s="236" t="s">
        <v>357</v>
      </c>
      <c r="AI198" s="68"/>
      <c r="AJ198" s="236"/>
      <c r="AK198" s="236"/>
      <c r="AL198" s="236"/>
      <c r="AM198" s="236"/>
      <c r="AN198" s="236"/>
      <c r="AO198" s="236"/>
      <c r="AP198" s="236"/>
      <c r="AQ198" s="236"/>
      <c r="AR198" s="236"/>
      <c r="AS198" s="236"/>
      <c r="AT198" s="236"/>
      <c r="AU198" s="236"/>
      <c r="AV198" s="236"/>
      <c r="AW198" s="236"/>
      <c r="AX198" s="236"/>
      <c r="AY198" s="236"/>
    </row>
    <row r="199" spans="1:59" ht="18.75" customHeight="1">
      <c r="A199" s="56"/>
      <c r="B199" s="56"/>
      <c r="C199" s="56"/>
      <c r="D199" s="56"/>
      <c r="E199" s="56"/>
      <c r="F199" s="56"/>
      <c r="G199" s="56"/>
      <c r="H199" s="56"/>
      <c r="I199" s="235"/>
      <c r="J199" s="236"/>
      <c r="K199" s="236" t="s">
        <v>358</v>
      </c>
      <c r="L199" s="236"/>
      <c r="M199" s="236"/>
      <c r="N199" s="236"/>
      <c r="O199" s="236"/>
      <c r="P199" s="236"/>
      <c r="Q199" s="236"/>
      <c r="R199" s="236"/>
      <c r="S199" s="236"/>
      <c r="T199" s="236"/>
      <c r="U199" s="236"/>
      <c r="V199" s="236"/>
      <c r="W199" s="236"/>
      <c r="X199" s="236"/>
      <c r="Y199" s="236"/>
      <c r="Z199" s="236"/>
      <c r="AA199" s="236"/>
      <c r="AB199" s="236"/>
      <c r="AC199" s="236"/>
      <c r="AD199" s="236"/>
      <c r="AE199" s="236"/>
      <c r="AF199" s="236"/>
      <c r="AG199" s="236"/>
      <c r="AH199" s="236"/>
      <c r="AI199" s="236"/>
      <c r="AJ199" s="236"/>
      <c r="AK199" s="236"/>
      <c r="AL199" s="236"/>
      <c r="AM199" s="236"/>
      <c r="AN199" s="236"/>
      <c r="AO199" s="236"/>
      <c r="AP199" s="236"/>
      <c r="AQ199" s="236"/>
      <c r="AR199" s="236"/>
      <c r="AS199" s="236"/>
      <c r="AT199" s="236"/>
      <c r="AU199" s="236"/>
      <c r="AV199" s="236"/>
      <c r="AW199" s="236"/>
      <c r="AX199" s="236"/>
      <c r="AY199" s="236"/>
    </row>
    <row r="200" spans="1:59" ht="18.75" customHeight="1">
      <c r="A200" s="56"/>
      <c r="B200" s="56"/>
      <c r="C200" s="56"/>
      <c r="D200" s="56"/>
      <c r="E200" s="56"/>
      <c r="F200" s="56"/>
      <c r="G200" s="56"/>
      <c r="H200" s="56"/>
      <c r="I200" s="235"/>
      <c r="J200" s="236"/>
      <c r="K200" s="236"/>
      <c r="L200" s="236"/>
      <c r="M200" s="426">
        <f>SQRT(SUMSQ(X198,AB198*Calcu!F42))</f>
        <v>0</v>
      </c>
      <c r="N200" s="426"/>
      <c r="O200" s="426"/>
      <c r="P200" s="236" t="s">
        <v>465</v>
      </c>
      <c r="Q200" s="236"/>
      <c r="R200" s="236"/>
      <c r="S200" s="236"/>
      <c r="T200" s="236"/>
      <c r="U200" s="236"/>
      <c r="V200" s="236"/>
      <c r="W200" s="236"/>
      <c r="X200" s="237"/>
      <c r="Y200" s="237"/>
      <c r="Z200" s="237"/>
      <c r="AB200" s="33"/>
      <c r="AC200" s="33"/>
      <c r="AD200" s="33"/>
      <c r="AE200" s="236"/>
      <c r="AF200" s="236"/>
      <c r="AH200" s="236"/>
      <c r="AI200" s="68"/>
      <c r="AJ200" s="236"/>
      <c r="AK200" s="236"/>
      <c r="AL200" s="236"/>
      <c r="AM200" s="236"/>
      <c r="AN200" s="236"/>
      <c r="AO200" s="236"/>
      <c r="AP200" s="236"/>
      <c r="AQ200" s="236"/>
      <c r="AR200" s="236"/>
      <c r="AS200" s="236"/>
      <c r="AT200" s="236"/>
      <c r="AU200" s="236"/>
      <c r="AV200" s="236"/>
      <c r="AW200" s="236"/>
      <c r="AX200" s="236"/>
      <c r="AY200" s="236"/>
    </row>
    <row r="201" spans="1:59" ht="18.75" customHeight="1">
      <c r="A201" s="56"/>
      <c r="B201" s="56"/>
      <c r="D201" s="56"/>
      <c r="E201" s="56"/>
      <c r="F201" s="56"/>
      <c r="G201" s="56"/>
      <c r="H201" s="56"/>
      <c r="I201" s="56"/>
      <c r="J201" s="427" t="s">
        <v>360</v>
      </c>
      <c r="K201" s="427"/>
      <c r="L201" s="427"/>
      <c r="M201" s="427"/>
      <c r="N201" s="408" t="s">
        <v>457</v>
      </c>
      <c r="O201" s="408"/>
      <c r="P201" s="380" t="s">
        <v>342</v>
      </c>
      <c r="Q201" s="428">
        <f>M200</f>
        <v>0</v>
      </c>
      <c r="R201" s="428"/>
      <c r="S201" s="428"/>
      <c r="T201" s="198" t="s">
        <v>109</v>
      </c>
      <c r="U201" s="198"/>
      <c r="V201" s="198"/>
      <c r="W201" s="380" t="s">
        <v>117</v>
      </c>
      <c r="X201" s="367" t="e">
        <f>Q201/Q202</f>
        <v>#DIV/0!</v>
      </c>
      <c r="Y201" s="367"/>
      <c r="Z201" s="367"/>
      <c r="AA201" s="368" t="str">
        <f>T201</f>
        <v>μm</v>
      </c>
      <c r="AB201" s="368"/>
      <c r="AC201" s="229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</row>
    <row r="202" spans="1:59" ht="18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427"/>
      <c r="K202" s="427"/>
      <c r="L202" s="427"/>
      <c r="M202" s="427"/>
      <c r="N202" s="451" t="s">
        <v>131</v>
      </c>
      <c r="O202" s="451"/>
      <c r="P202" s="380"/>
      <c r="Q202" s="442">
        <f>Calcu!I51</f>
        <v>0</v>
      </c>
      <c r="R202" s="442"/>
      <c r="S202" s="442"/>
      <c r="T202" s="442"/>
      <c r="U202" s="442"/>
      <c r="V202" s="442"/>
      <c r="W202" s="380"/>
      <c r="X202" s="367"/>
      <c r="Y202" s="367"/>
      <c r="Z202" s="367"/>
      <c r="AA202" s="368"/>
      <c r="AB202" s="368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</row>
    <row r="203" spans="1:59" ht="18.75" customHeight="1">
      <c r="A203" s="56"/>
      <c r="B203" s="56"/>
      <c r="C203" s="56" t="s">
        <v>377</v>
      </c>
      <c r="D203" s="56"/>
      <c r="E203" s="56"/>
      <c r="F203" s="56"/>
      <c r="G203" s="56"/>
      <c r="H203" s="56"/>
      <c r="I203" s="374" t="str">
        <f>V162</f>
        <v>정규</v>
      </c>
      <c r="J203" s="374"/>
      <c r="K203" s="374"/>
      <c r="L203" s="374"/>
      <c r="M203" s="374"/>
      <c r="N203" s="374"/>
      <c r="O203" s="374"/>
      <c r="P203" s="374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</row>
    <row r="204" spans="1:59" ht="18.75" customHeight="1">
      <c r="A204" s="56"/>
      <c r="B204" s="56"/>
      <c r="C204" s="377" t="s">
        <v>137</v>
      </c>
      <c r="D204" s="377"/>
      <c r="E204" s="377"/>
      <c r="F204" s="377"/>
      <c r="G204" s="377"/>
      <c r="H204" s="377"/>
      <c r="I204" s="228"/>
      <c r="J204" s="228"/>
      <c r="K204" s="56"/>
      <c r="L204" s="56"/>
      <c r="N204" s="374">
        <f>AA162</f>
        <v>1</v>
      </c>
      <c r="O204" s="374"/>
      <c r="P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</row>
    <row r="205" spans="1:59" ht="18.75" customHeight="1">
      <c r="A205" s="56"/>
      <c r="B205" s="56"/>
      <c r="C205" s="377"/>
      <c r="D205" s="377"/>
      <c r="E205" s="377"/>
      <c r="F205" s="377"/>
      <c r="G205" s="377"/>
      <c r="H205" s="377"/>
      <c r="I205" s="227"/>
      <c r="J205" s="227"/>
      <c r="K205" s="56"/>
      <c r="L205" s="56"/>
      <c r="N205" s="374"/>
      <c r="O205" s="374"/>
      <c r="P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</row>
    <row r="206" spans="1:59" s="56" customFormat="1" ht="18.75" customHeight="1">
      <c r="C206" s="56" t="s">
        <v>466</v>
      </c>
      <c r="K206" s="233" t="s">
        <v>79</v>
      </c>
      <c r="L206" s="400">
        <f>N204</f>
        <v>1</v>
      </c>
      <c r="M206" s="400"/>
      <c r="N206" s="228" t="s">
        <v>349</v>
      </c>
      <c r="O206" s="367" t="e">
        <f>X201</f>
        <v>#DIV/0!</v>
      </c>
      <c r="P206" s="367"/>
      <c r="Q206" s="367"/>
      <c r="R206" s="368" t="str">
        <f>AA201</f>
        <v>μm</v>
      </c>
      <c r="S206" s="369"/>
      <c r="T206" s="233" t="s">
        <v>79</v>
      </c>
      <c r="U206" s="72" t="s">
        <v>117</v>
      </c>
      <c r="V206" s="367" t="e">
        <f>O206</f>
        <v>#DIV/0!</v>
      </c>
      <c r="W206" s="367"/>
      <c r="X206" s="367"/>
      <c r="Y206" s="368" t="str">
        <f>R206</f>
        <v>μm</v>
      </c>
      <c r="Z206" s="369"/>
      <c r="AA206" s="229"/>
      <c r="AB206" s="228"/>
      <c r="AC206" s="228"/>
    </row>
    <row r="207" spans="1:59" ht="18.75" customHeight="1">
      <c r="A207" s="56"/>
      <c r="B207" s="56"/>
      <c r="C207" s="228" t="s">
        <v>467</v>
      </c>
      <c r="D207" s="228"/>
      <c r="E207" s="228"/>
      <c r="F207" s="228"/>
      <c r="G207" s="228"/>
      <c r="I207" s="106" t="s">
        <v>368</v>
      </c>
      <c r="J207" s="56"/>
      <c r="K207" s="56"/>
      <c r="L207" s="56"/>
      <c r="M207" s="56"/>
      <c r="N207" s="56"/>
      <c r="O207" s="56"/>
      <c r="P207" s="56"/>
      <c r="Q207" s="56"/>
      <c r="R207" s="56"/>
      <c r="S207" s="168"/>
      <c r="T207" s="168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</row>
    <row r="208" spans="1:59" s="133" customFormat="1" ht="18.75" customHeight="1">
      <c r="B208" s="226"/>
      <c r="C208" s="228"/>
      <c r="D208" s="228"/>
      <c r="E208" s="228"/>
      <c r="F208" s="228"/>
      <c r="G208" s="226"/>
      <c r="H208" s="228"/>
      <c r="I208" s="228"/>
      <c r="J208" s="228"/>
      <c r="K208" s="228"/>
      <c r="L208" s="228"/>
      <c r="M208" s="228"/>
      <c r="N208" s="228"/>
      <c r="O208" s="228"/>
      <c r="P208" s="228"/>
      <c r="Q208" s="228"/>
      <c r="R208" s="228"/>
      <c r="S208" s="228"/>
      <c r="T208" s="228"/>
      <c r="U208" s="228"/>
      <c r="V208" s="228"/>
      <c r="W208" s="228"/>
      <c r="X208" s="226"/>
      <c r="Y208" s="226"/>
      <c r="Z208" s="226"/>
      <c r="AA208" s="226"/>
      <c r="AB208" s="226"/>
      <c r="AC208" s="226"/>
      <c r="AD208" s="226"/>
      <c r="AE208" s="226"/>
      <c r="AF208" s="226"/>
      <c r="AG208" s="226"/>
      <c r="AH208" s="226"/>
      <c r="AI208" s="226"/>
      <c r="AJ208" s="226"/>
      <c r="AK208" s="226"/>
      <c r="AL208" s="226"/>
      <c r="AM208" s="226"/>
      <c r="AN208" s="226"/>
      <c r="AO208" s="226"/>
      <c r="AP208" s="226"/>
      <c r="AQ208" s="226"/>
      <c r="AR208" s="226"/>
      <c r="AS208" s="226"/>
      <c r="AT208" s="226"/>
      <c r="AU208" s="226"/>
      <c r="AV208" s="226"/>
      <c r="AW208" s="226"/>
      <c r="AX208" s="226"/>
      <c r="AY208" s="226"/>
      <c r="AZ208" s="226"/>
      <c r="BA208" s="226"/>
      <c r="BB208" s="226"/>
      <c r="BC208" s="226"/>
      <c r="BD208" s="226"/>
      <c r="BE208" s="226"/>
      <c r="BF208" s="226"/>
      <c r="BG208" s="226"/>
    </row>
    <row r="209" spans="2:59" s="133" customFormat="1" ht="18.75" customHeight="1">
      <c r="B209" s="57" t="s">
        <v>468</v>
      </c>
      <c r="C209" s="228"/>
      <c r="E209" s="228"/>
      <c r="F209" s="228"/>
      <c r="G209" s="226"/>
      <c r="H209" s="228"/>
      <c r="I209" s="228"/>
      <c r="J209" s="228"/>
      <c r="K209" s="228"/>
      <c r="L209" s="228"/>
      <c r="M209" s="228"/>
      <c r="N209" s="228"/>
      <c r="O209" s="228"/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  <c r="AC209" s="228"/>
      <c r="AD209" s="228"/>
      <c r="AE209" s="226"/>
      <c r="AF209" s="228"/>
      <c r="AG209" s="226"/>
      <c r="AH209" s="226"/>
      <c r="AI209" s="226"/>
      <c r="AJ209" s="226"/>
      <c r="AK209" s="226"/>
      <c r="AL209" s="226"/>
      <c r="AM209" s="226"/>
      <c r="AN209" s="226"/>
      <c r="AO209" s="226"/>
      <c r="AP209" s="226"/>
      <c r="AQ209" s="226"/>
      <c r="AR209" s="226"/>
      <c r="AS209" s="226"/>
      <c r="AT209" s="226"/>
      <c r="AU209" s="226"/>
      <c r="AV209" s="226"/>
      <c r="AW209" s="226"/>
      <c r="AX209" s="226"/>
      <c r="AY209" s="226"/>
      <c r="AZ209" s="226"/>
      <c r="BA209" s="226"/>
      <c r="BB209" s="226"/>
      <c r="BC209" s="226"/>
      <c r="BD209" s="226"/>
      <c r="BE209" s="226"/>
      <c r="BF209" s="226"/>
      <c r="BG209" s="226"/>
    </row>
    <row r="210" spans="2:59" s="133" customFormat="1" ht="18.75" customHeight="1">
      <c r="B210" s="57"/>
      <c r="C210" s="238" t="s">
        <v>604</v>
      </c>
      <c r="E210" s="228"/>
      <c r="F210" s="228"/>
      <c r="G210" s="226"/>
      <c r="H210" s="228"/>
      <c r="I210" s="228"/>
      <c r="J210" s="228"/>
      <c r="K210" s="228"/>
      <c r="L210" s="228"/>
      <c r="M210" s="228"/>
      <c r="N210" s="228"/>
      <c r="O210" s="228"/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  <c r="AC210" s="228"/>
      <c r="AD210" s="228"/>
      <c r="AE210" s="226"/>
      <c r="AF210" s="228"/>
      <c r="AG210" s="226"/>
      <c r="AH210" s="226"/>
      <c r="AI210" s="226"/>
      <c r="AJ210" s="226"/>
      <c r="AK210" s="226"/>
      <c r="AL210" s="226"/>
      <c r="AM210" s="226"/>
      <c r="AN210" s="226"/>
      <c r="AO210" s="226"/>
      <c r="AP210" s="226"/>
      <c r="AQ210" s="226"/>
      <c r="AR210" s="226"/>
      <c r="AS210" s="226"/>
      <c r="AT210" s="226"/>
      <c r="AU210" s="226"/>
      <c r="AV210" s="226"/>
      <c r="AW210" s="226"/>
      <c r="AX210" s="226"/>
      <c r="AY210" s="226"/>
      <c r="AZ210" s="226"/>
      <c r="BA210" s="226"/>
      <c r="BB210" s="226"/>
      <c r="BC210" s="226"/>
      <c r="BD210" s="226"/>
      <c r="BE210" s="226"/>
      <c r="BF210" s="226"/>
      <c r="BG210" s="226"/>
    </row>
    <row r="211" spans="2:59" s="133" customFormat="1" ht="18.75" customHeight="1">
      <c r="B211" s="226"/>
      <c r="C211" s="227" t="s">
        <v>140</v>
      </c>
      <c r="D211" s="226"/>
      <c r="E211" s="226"/>
      <c r="F211" s="226"/>
      <c r="G211" s="226"/>
      <c r="H211" s="375">
        <f>H163</f>
        <v>0</v>
      </c>
      <c r="I211" s="375"/>
      <c r="J211" s="375"/>
      <c r="K211" s="375"/>
      <c r="L211" s="375"/>
      <c r="M211" s="375"/>
      <c r="N211" s="375"/>
      <c r="O211" s="375"/>
      <c r="P211" s="229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  <c r="AC211" s="228"/>
      <c r="AD211" s="228"/>
      <c r="AE211" s="228"/>
      <c r="AF211" s="228"/>
      <c r="AG211" s="228"/>
      <c r="AH211" s="228"/>
      <c r="AI211" s="228"/>
      <c r="AJ211" s="228"/>
      <c r="AK211" s="228"/>
      <c r="AL211" s="228"/>
      <c r="AM211" s="228"/>
      <c r="AN211" s="228"/>
      <c r="AO211" s="228"/>
      <c r="AP211" s="228"/>
      <c r="AQ211" s="228"/>
      <c r="AR211" s="228"/>
      <c r="AS211" s="228"/>
      <c r="AT211" s="228"/>
      <c r="AU211" s="228"/>
      <c r="AV211" s="228"/>
      <c r="AW211" s="228"/>
      <c r="AX211" s="228"/>
      <c r="AY211" s="226"/>
      <c r="AZ211" s="226"/>
      <c r="BA211" s="226"/>
      <c r="BB211" s="226"/>
      <c r="BC211" s="226"/>
      <c r="BD211" s="226"/>
      <c r="BE211" s="226"/>
      <c r="BF211" s="226"/>
      <c r="BG211" s="226"/>
    </row>
    <row r="212" spans="2:59" s="133" customFormat="1" ht="18.75" customHeight="1">
      <c r="B212" s="226"/>
      <c r="C212" s="228" t="s">
        <v>382</v>
      </c>
      <c r="D212" s="228"/>
      <c r="E212" s="228"/>
      <c r="F212" s="228"/>
      <c r="G212" s="228"/>
      <c r="H212" s="228"/>
      <c r="I212" s="226"/>
      <c r="J212" s="228" t="s">
        <v>372</v>
      </c>
      <c r="K212" s="228"/>
      <c r="L212" s="228"/>
      <c r="M212" s="228"/>
      <c r="N212" s="228"/>
      <c r="O212" s="228"/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  <c r="AC212" s="228"/>
      <c r="AD212" s="228"/>
      <c r="AE212" s="228"/>
      <c r="AF212" s="228"/>
      <c r="AG212" s="228"/>
      <c r="AH212" s="228"/>
      <c r="AI212" s="228"/>
      <c r="AJ212" s="228"/>
      <c r="AK212" s="228"/>
      <c r="AL212" s="228"/>
      <c r="AM212" s="228"/>
      <c r="AN212" s="228"/>
      <c r="AO212" s="228"/>
      <c r="AP212" s="228"/>
      <c r="AQ212" s="228"/>
      <c r="AR212" s="228"/>
      <c r="AS212" s="228"/>
      <c r="AT212" s="228"/>
      <c r="AU212" s="228"/>
      <c r="AV212" s="228"/>
      <c r="AW212" s="228"/>
      <c r="AX212" s="228"/>
      <c r="AY212" s="228"/>
      <c r="AZ212" s="228"/>
      <c r="BA212" s="228"/>
      <c r="BB212" s="226"/>
      <c r="BC212" s="226"/>
      <c r="BD212" s="226"/>
      <c r="BE212" s="226"/>
      <c r="BF212" s="226"/>
      <c r="BG212" s="226"/>
    </row>
    <row r="213" spans="2:59" s="133" customFormat="1" ht="18.75" customHeight="1">
      <c r="B213" s="226"/>
      <c r="C213" s="228"/>
      <c r="D213" s="228"/>
      <c r="E213" s="228"/>
      <c r="F213" s="228"/>
      <c r="G213" s="228"/>
      <c r="H213" s="228"/>
      <c r="I213" s="226"/>
      <c r="J213" s="228"/>
      <c r="K213" s="228" t="s">
        <v>469</v>
      </c>
      <c r="L213" s="228"/>
      <c r="M213" s="228"/>
      <c r="N213" s="228"/>
      <c r="O213" s="228"/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  <c r="AA213" s="228"/>
      <c r="AB213" s="228"/>
      <c r="AC213" s="228"/>
      <c r="AD213" s="228"/>
      <c r="AE213" s="228"/>
      <c r="AF213" s="228"/>
      <c r="AG213" s="228"/>
      <c r="AH213" s="228"/>
      <c r="AI213" s="228"/>
      <c r="AJ213" s="228"/>
      <c r="AK213" s="228"/>
      <c r="AL213" s="228"/>
      <c r="AM213" s="228"/>
      <c r="AN213" s="228"/>
      <c r="AO213" s="228"/>
      <c r="AP213" s="228"/>
      <c r="AQ213" s="228"/>
      <c r="AR213" s="228"/>
      <c r="AS213" s="228"/>
      <c r="AT213" s="228"/>
      <c r="AU213" s="228"/>
      <c r="AV213" s="228"/>
      <c r="AW213" s="228"/>
      <c r="AX213" s="228"/>
      <c r="AY213" s="228"/>
      <c r="AZ213" s="228"/>
      <c r="BA213" s="228"/>
      <c r="BB213" s="226"/>
      <c r="BC213" s="226"/>
      <c r="BD213" s="226"/>
      <c r="BE213" s="226"/>
      <c r="BF213" s="226"/>
      <c r="BG213" s="226"/>
    </row>
    <row r="214" spans="2:59" s="133" customFormat="1" ht="18.75" customHeight="1">
      <c r="B214" s="226"/>
      <c r="C214" s="228"/>
      <c r="D214" s="228"/>
      <c r="E214" s="228"/>
      <c r="F214" s="228"/>
      <c r="G214" s="228"/>
      <c r="H214" s="228"/>
      <c r="I214" s="226"/>
      <c r="J214" s="228"/>
      <c r="K214" s="228" t="str">
        <f>"측정결과가 ± "&amp;N216&amp;" μm 구간내에서 같은 확률로 존재한다고 추정하여 직사각형 확률분포를"</f>
        <v>측정결과가 ± 1 μm 구간내에서 같은 확률로 존재한다고 추정하여 직사각형 확률분포를</v>
      </c>
      <c r="L214" s="228"/>
      <c r="M214" s="228"/>
      <c r="N214" s="228"/>
      <c r="O214" s="228"/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  <c r="AC214" s="228"/>
      <c r="AD214" s="228"/>
      <c r="AE214" s="228"/>
      <c r="AF214" s="228"/>
      <c r="AG214" s="228"/>
      <c r="AH214" s="228"/>
      <c r="AI214" s="228"/>
      <c r="AJ214" s="228"/>
      <c r="AK214" s="228"/>
      <c r="AL214" s="228"/>
      <c r="AM214" s="228"/>
      <c r="AN214" s="228"/>
      <c r="AO214" s="228"/>
      <c r="AP214" s="228"/>
      <c r="AQ214" s="228"/>
      <c r="AR214" s="228"/>
      <c r="AS214" s="228"/>
      <c r="AT214" s="228"/>
      <c r="AU214" s="228"/>
      <c r="AV214" s="228"/>
      <c r="AW214" s="228"/>
      <c r="AX214" s="228"/>
      <c r="AY214" s="228"/>
      <c r="AZ214" s="228"/>
      <c r="BA214" s="228"/>
      <c r="BB214" s="226"/>
      <c r="BC214" s="226"/>
      <c r="BD214" s="226"/>
      <c r="BE214" s="226"/>
      <c r="BF214" s="226"/>
      <c r="BG214" s="226"/>
    </row>
    <row r="215" spans="2:59" s="133" customFormat="1" ht="18.75" customHeight="1">
      <c r="B215" s="226"/>
      <c r="C215" s="228"/>
      <c r="D215" s="228"/>
      <c r="E215" s="228"/>
      <c r="F215" s="228"/>
      <c r="G215" s="228"/>
      <c r="H215" s="228"/>
      <c r="I215" s="226"/>
      <c r="J215" s="227"/>
      <c r="K215" s="227" t="s">
        <v>375</v>
      </c>
      <c r="L215" s="140"/>
      <c r="M215" s="140"/>
      <c r="N215" s="140"/>
      <c r="O215" s="239"/>
      <c r="P215" s="239"/>
      <c r="Q215" s="239"/>
      <c r="R215" s="239"/>
      <c r="S215" s="239"/>
      <c r="T215" s="239"/>
      <c r="U215" s="140"/>
      <c r="V215" s="140"/>
      <c r="W215" s="140"/>
      <c r="X215" s="140"/>
      <c r="Y215" s="140"/>
      <c r="Z215" s="140"/>
      <c r="AA215" s="140"/>
      <c r="AB215" s="140"/>
      <c r="AC215" s="140"/>
      <c r="AD215" s="140"/>
      <c r="AE215" s="140"/>
      <c r="AF215" s="140"/>
      <c r="AG215" s="140"/>
      <c r="AH215" s="140"/>
      <c r="AI215" s="140"/>
      <c r="AJ215" s="140"/>
      <c r="AK215" s="140"/>
      <c r="AL215" s="140"/>
      <c r="AM215" s="140"/>
      <c r="AN215" s="140"/>
      <c r="AO215" s="140"/>
      <c r="AP215" s="140"/>
      <c r="AQ215" s="140"/>
      <c r="AR215" s="140"/>
      <c r="AS215" s="140"/>
      <c r="AT215" s="140"/>
      <c r="AU215" s="140"/>
      <c r="AV215" s="140"/>
      <c r="AW215" s="140"/>
      <c r="AX215" s="140"/>
      <c r="AY215" s="140"/>
      <c r="AZ215" s="140"/>
      <c r="BA215" s="140"/>
      <c r="BB215" s="226"/>
      <c r="BC215" s="226"/>
      <c r="BD215" s="226"/>
      <c r="BE215" s="226"/>
      <c r="BF215" s="226"/>
      <c r="BG215" s="226"/>
    </row>
    <row r="216" spans="2:59" s="133" customFormat="1" ht="18.75" customHeight="1">
      <c r="B216" s="226"/>
      <c r="C216" s="228"/>
      <c r="D216" s="228"/>
      <c r="E216" s="228"/>
      <c r="F216" s="228"/>
      <c r="G216" s="228"/>
      <c r="H216" s="228"/>
      <c r="I216" s="468" t="s">
        <v>605</v>
      </c>
      <c r="J216" s="468"/>
      <c r="K216" s="468"/>
      <c r="L216" s="468"/>
      <c r="M216" s="226"/>
      <c r="N216" s="474">
        <f>Calcu!G53</f>
        <v>1</v>
      </c>
      <c r="O216" s="474"/>
      <c r="P216" s="474"/>
      <c r="Q216" s="474"/>
      <c r="R216" s="382" t="s">
        <v>117</v>
      </c>
      <c r="S216" s="470">
        <f>N216/SQRT(3)</f>
        <v>0.57735026918962584</v>
      </c>
      <c r="T216" s="470"/>
      <c r="U216" s="470"/>
      <c r="V216" s="470"/>
      <c r="W216" s="470"/>
      <c r="X216" s="136"/>
      <c r="Y216" s="136"/>
      <c r="Z216" s="136"/>
      <c r="AA216" s="228"/>
      <c r="AB216" s="228"/>
      <c r="AC216" s="228"/>
      <c r="AD216" s="228"/>
      <c r="AE216" s="228"/>
      <c r="AF216" s="228"/>
      <c r="AG216" s="228"/>
      <c r="AH216" s="228"/>
      <c r="AI216" s="228"/>
      <c r="AJ216" s="228"/>
      <c r="AK216" s="228"/>
      <c r="AL216" s="228"/>
      <c r="AM216" s="226"/>
      <c r="AN216" s="226"/>
      <c r="AO216" s="226"/>
      <c r="AP216" s="226"/>
      <c r="AQ216" s="228"/>
      <c r="AR216" s="228"/>
      <c r="AS216" s="228"/>
      <c r="AT216" s="228"/>
      <c r="AU216" s="228"/>
      <c r="AV216" s="228"/>
      <c r="AW216" s="228"/>
      <c r="AX216" s="228"/>
      <c r="AY216" s="226"/>
      <c r="AZ216" s="226"/>
      <c r="BA216" s="226"/>
      <c r="BB216" s="226"/>
      <c r="BC216" s="226"/>
      <c r="BD216" s="226"/>
      <c r="BE216" s="226"/>
      <c r="BF216" s="226"/>
      <c r="BG216" s="226"/>
    </row>
    <row r="217" spans="2:59" s="133" customFormat="1" ht="18.75" customHeight="1">
      <c r="B217" s="226"/>
      <c r="C217" s="228"/>
      <c r="D217" s="228"/>
      <c r="E217" s="228"/>
      <c r="F217" s="228"/>
      <c r="G217" s="228"/>
      <c r="H217" s="228"/>
      <c r="I217" s="468"/>
      <c r="J217" s="468"/>
      <c r="K217" s="468"/>
      <c r="L217" s="468"/>
      <c r="M217" s="226"/>
      <c r="N217" s="376"/>
      <c r="O217" s="376"/>
      <c r="P217" s="376"/>
      <c r="Q217" s="376"/>
      <c r="R217" s="382"/>
      <c r="S217" s="470"/>
      <c r="T217" s="470"/>
      <c r="U217" s="470"/>
      <c r="V217" s="470"/>
      <c r="W217" s="470"/>
      <c r="X217" s="136"/>
      <c r="Y217" s="136"/>
      <c r="Z217" s="136"/>
      <c r="AA217" s="228"/>
      <c r="AB217" s="228"/>
      <c r="AC217" s="228"/>
      <c r="AD217" s="228"/>
      <c r="AE217" s="228"/>
      <c r="AF217" s="228"/>
      <c r="AG217" s="228"/>
      <c r="AH217" s="228"/>
      <c r="AI217" s="228"/>
      <c r="AJ217" s="228"/>
      <c r="AK217" s="228"/>
      <c r="AL217" s="228"/>
      <c r="AM217" s="226"/>
      <c r="AN217" s="226"/>
      <c r="AO217" s="226"/>
      <c r="AP217" s="226"/>
      <c r="AQ217" s="228"/>
      <c r="AR217" s="228"/>
      <c r="AS217" s="228"/>
      <c r="AT217" s="228"/>
      <c r="AU217" s="228"/>
      <c r="AV217" s="228"/>
      <c r="AW217" s="228"/>
      <c r="AX217" s="228"/>
      <c r="AY217" s="226"/>
      <c r="AZ217" s="226"/>
      <c r="BA217" s="226"/>
      <c r="BB217" s="226"/>
      <c r="BC217" s="226"/>
      <c r="BD217" s="226"/>
      <c r="BE217" s="226"/>
      <c r="BF217" s="226"/>
      <c r="BG217" s="226"/>
    </row>
    <row r="218" spans="2:59" s="133" customFormat="1" ht="18.75" customHeight="1">
      <c r="B218" s="226"/>
      <c r="C218" s="228" t="s">
        <v>384</v>
      </c>
      <c r="D218" s="228"/>
      <c r="E218" s="228"/>
      <c r="F218" s="228"/>
      <c r="G218" s="228"/>
      <c r="H218" s="228"/>
      <c r="I218" s="374" t="str">
        <f>V163</f>
        <v>직사각형</v>
      </c>
      <c r="J218" s="374"/>
      <c r="K218" s="374"/>
      <c r="L218" s="374"/>
      <c r="M218" s="374"/>
      <c r="N218" s="374"/>
      <c r="O218" s="374"/>
      <c r="P218" s="374"/>
      <c r="Q218" s="228"/>
      <c r="R218" s="228"/>
      <c r="S218" s="228"/>
      <c r="T218" s="228"/>
      <c r="U218" s="228"/>
      <c r="V218" s="228"/>
      <c r="W218" s="228"/>
      <c r="X218" s="228"/>
      <c r="Y218" s="228"/>
      <c r="Z218" s="226"/>
      <c r="AA218" s="226"/>
      <c r="AB218" s="226"/>
      <c r="AC218" s="226"/>
      <c r="AD218" s="226"/>
      <c r="AE218" s="226"/>
      <c r="AF218" s="226"/>
      <c r="AG218" s="226"/>
      <c r="AH218" s="228"/>
      <c r="AI218" s="228"/>
      <c r="AJ218" s="228"/>
      <c r="AK218" s="228"/>
      <c r="AL218" s="226"/>
      <c r="AM218" s="226"/>
      <c r="AN218" s="226"/>
      <c r="AO218" s="226"/>
      <c r="AP218" s="226"/>
      <c r="AQ218" s="226"/>
      <c r="AR218" s="226"/>
      <c r="AS218" s="228"/>
      <c r="AT218" s="228"/>
      <c r="AU218" s="228"/>
      <c r="AV218" s="228"/>
      <c r="AW218" s="228"/>
      <c r="AX218" s="228"/>
      <c r="AY218" s="226"/>
      <c r="AZ218" s="226"/>
      <c r="BA218" s="226"/>
      <c r="BB218" s="226"/>
      <c r="BC218" s="226"/>
      <c r="BD218" s="226"/>
      <c r="BE218" s="226"/>
      <c r="BF218" s="226"/>
      <c r="BG218" s="226"/>
    </row>
    <row r="219" spans="2:59" s="133" customFormat="1" ht="18.75" customHeight="1">
      <c r="B219" s="226"/>
      <c r="C219" s="377" t="s">
        <v>141</v>
      </c>
      <c r="D219" s="377"/>
      <c r="E219" s="377"/>
      <c r="F219" s="377"/>
      <c r="G219" s="377"/>
      <c r="H219" s="377"/>
      <c r="I219" s="228"/>
      <c r="J219" s="228"/>
      <c r="K219" s="228"/>
      <c r="L219" s="228"/>
      <c r="M219" s="228"/>
      <c r="N219" s="228"/>
      <c r="O219" s="374">
        <f>AA163</f>
        <v>1</v>
      </c>
      <c r="P219" s="374"/>
      <c r="Q219" s="137"/>
      <c r="R219" s="137"/>
      <c r="S219" s="228"/>
      <c r="T219" s="228"/>
      <c r="U219" s="228"/>
      <c r="V219" s="228"/>
      <c r="W219" s="228"/>
      <c r="X219" s="228"/>
      <c r="Y219" s="228"/>
      <c r="Z219" s="138"/>
      <c r="AA219" s="138"/>
      <c r="AB219" s="228"/>
      <c r="AC219" s="228"/>
      <c r="AD219" s="228"/>
      <c r="AE219" s="228"/>
      <c r="AF219" s="228"/>
      <c r="AG219" s="228"/>
      <c r="AH219" s="228"/>
      <c r="AI219" s="228"/>
      <c r="AJ219" s="228"/>
      <c r="AK219" s="228"/>
      <c r="AL219" s="226"/>
      <c r="AM219" s="226"/>
      <c r="AN219" s="226"/>
      <c r="AO219" s="228"/>
      <c r="AP219" s="228"/>
      <c r="AQ219" s="228"/>
      <c r="AR219" s="228"/>
      <c r="AS219" s="228"/>
      <c r="AT219" s="228"/>
      <c r="AU219" s="228"/>
      <c r="AV219" s="228"/>
      <c r="AW219" s="228"/>
      <c r="AX219" s="228"/>
      <c r="AY219" s="226"/>
      <c r="AZ219" s="226"/>
      <c r="BA219" s="226"/>
      <c r="BB219" s="226"/>
      <c r="BC219" s="226"/>
      <c r="BD219" s="226"/>
      <c r="BE219" s="226"/>
      <c r="BF219" s="226"/>
      <c r="BG219" s="226"/>
    </row>
    <row r="220" spans="2:59" s="133" customFormat="1" ht="18.75" customHeight="1">
      <c r="B220" s="226"/>
      <c r="C220" s="377"/>
      <c r="D220" s="377"/>
      <c r="E220" s="377"/>
      <c r="F220" s="377"/>
      <c r="G220" s="377"/>
      <c r="H220" s="377"/>
      <c r="I220" s="228"/>
      <c r="J220" s="228"/>
      <c r="K220" s="228"/>
      <c r="L220" s="228"/>
      <c r="M220" s="228"/>
      <c r="N220" s="228"/>
      <c r="O220" s="374"/>
      <c r="P220" s="374"/>
      <c r="Q220" s="137"/>
      <c r="R220" s="137"/>
      <c r="S220" s="228"/>
      <c r="T220" s="228"/>
      <c r="U220" s="228"/>
      <c r="V220" s="228"/>
      <c r="W220" s="228"/>
      <c r="X220" s="228"/>
      <c r="Y220" s="228"/>
      <c r="Z220" s="138"/>
      <c r="AA220" s="138"/>
      <c r="AB220" s="228"/>
      <c r="AC220" s="228"/>
      <c r="AD220" s="228"/>
      <c r="AE220" s="228"/>
      <c r="AF220" s="228"/>
      <c r="AG220" s="228"/>
      <c r="AH220" s="228"/>
      <c r="AI220" s="228"/>
      <c r="AJ220" s="228"/>
      <c r="AK220" s="228"/>
      <c r="AL220" s="226"/>
      <c r="AM220" s="226"/>
      <c r="AN220" s="226"/>
      <c r="AO220" s="228"/>
      <c r="AP220" s="228"/>
      <c r="AQ220" s="228"/>
      <c r="AR220" s="228"/>
      <c r="AS220" s="228"/>
      <c r="AT220" s="228"/>
      <c r="AU220" s="228"/>
      <c r="AV220" s="228"/>
      <c r="AW220" s="228"/>
      <c r="AX220" s="228"/>
      <c r="AY220" s="226"/>
      <c r="AZ220" s="226"/>
      <c r="BA220" s="226"/>
      <c r="BB220" s="226"/>
      <c r="BC220" s="226"/>
      <c r="BD220" s="226"/>
      <c r="BE220" s="226"/>
      <c r="BF220" s="226"/>
      <c r="BG220" s="226"/>
    </row>
    <row r="221" spans="2:59" s="133" customFormat="1" ht="18.75" customHeight="1">
      <c r="B221" s="226"/>
      <c r="C221" s="228" t="s">
        <v>386</v>
      </c>
      <c r="D221" s="228"/>
      <c r="E221" s="228"/>
      <c r="F221" s="228"/>
      <c r="G221" s="228"/>
      <c r="H221" s="228"/>
      <c r="I221" s="228"/>
      <c r="J221" s="226"/>
      <c r="K221" s="226" t="s">
        <v>139</v>
      </c>
      <c r="L221" s="371">
        <f>O219</f>
        <v>1</v>
      </c>
      <c r="M221" s="371"/>
      <c r="N221" s="135" t="s">
        <v>470</v>
      </c>
      <c r="O221" s="472">
        <f>S216</f>
        <v>0.57735026918962584</v>
      </c>
      <c r="P221" s="472"/>
      <c r="Q221" s="472"/>
      <c r="R221" s="472"/>
      <c r="S221" s="472"/>
      <c r="T221" s="226" t="s">
        <v>139</v>
      </c>
      <c r="U221" s="226" t="s">
        <v>117</v>
      </c>
      <c r="V221" s="470">
        <f>L221*O221</f>
        <v>0.57735026918962584</v>
      </c>
      <c r="W221" s="470"/>
      <c r="X221" s="470"/>
      <c r="Y221" s="470"/>
      <c r="Z221" s="470"/>
      <c r="AA221" s="139"/>
      <c r="AB221" s="139"/>
      <c r="AC221" s="134"/>
      <c r="AD221" s="226"/>
      <c r="AE221" s="228"/>
      <c r="AF221" s="226"/>
      <c r="AG221" s="226"/>
      <c r="AH221" s="226"/>
      <c r="AI221" s="226"/>
      <c r="AJ221" s="226"/>
      <c r="AK221" s="228"/>
      <c r="AL221" s="226"/>
      <c r="AM221" s="226"/>
      <c r="AN221" s="226"/>
      <c r="AO221" s="228"/>
      <c r="AP221" s="228"/>
      <c r="AQ221" s="228"/>
      <c r="AR221" s="228"/>
      <c r="AS221" s="228"/>
      <c r="AT221" s="228"/>
      <c r="AU221" s="228"/>
      <c r="AV221" s="228"/>
      <c r="AW221" s="228"/>
      <c r="AX221" s="228"/>
      <c r="AY221" s="226"/>
      <c r="AZ221" s="226"/>
      <c r="BA221" s="226"/>
      <c r="BB221" s="226"/>
      <c r="BC221" s="226"/>
      <c r="BD221" s="226"/>
      <c r="BE221" s="226"/>
      <c r="BF221" s="226"/>
      <c r="BG221" s="226"/>
    </row>
    <row r="222" spans="2:59" s="133" customFormat="1" ht="18.75" customHeight="1">
      <c r="B222" s="226"/>
      <c r="C222" s="377" t="s">
        <v>81</v>
      </c>
      <c r="D222" s="377"/>
      <c r="E222" s="377"/>
      <c r="F222" s="377"/>
      <c r="G222" s="377"/>
      <c r="H222" s="228"/>
      <c r="J222" s="228"/>
      <c r="K222" s="228"/>
      <c r="L222" s="228"/>
      <c r="M222" s="228"/>
      <c r="N222" s="228"/>
      <c r="O222" s="228"/>
      <c r="P222" s="228"/>
      <c r="Q222" s="228"/>
      <c r="R222" s="134"/>
      <c r="S222" s="228"/>
      <c r="T222" s="228"/>
      <c r="U222" s="228"/>
      <c r="W222" s="228"/>
      <c r="X222" s="56" t="s">
        <v>471</v>
      </c>
      <c r="Y222" s="228"/>
      <c r="Z222" s="228"/>
      <c r="AA222" s="228"/>
      <c r="AB222" s="228"/>
      <c r="AC222" s="228"/>
      <c r="AD222" s="228"/>
      <c r="AE222" s="226"/>
      <c r="AF222" s="226"/>
      <c r="AG222" s="226"/>
      <c r="AH222" s="226"/>
      <c r="AI222" s="226"/>
      <c r="AJ222" s="226"/>
      <c r="AK222" s="226"/>
      <c r="AL222" s="226"/>
      <c r="AM222" s="226"/>
      <c r="AN222" s="226"/>
      <c r="AO222" s="226"/>
      <c r="AP222" s="226"/>
      <c r="AQ222" s="226"/>
      <c r="AR222" s="226"/>
      <c r="AS222" s="226"/>
      <c r="AT222" s="226"/>
      <c r="AU222" s="226"/>
      <c r="AV222" s="226"/>
      <c r="AW222" s="226"/>
      <c r="AX222" s="226"/>
      <c r="AY222" s="226"/>
      <c r="AZ222" s="226"/>
      <c r="BA222" s="226"/>
      <c r="BB222" s="226"/>
      <c r="BC222" s="226"/>
      <c r="BD222" s="226"/>
      <c r="BE222" s="226"/>
      <c r="BF222" s="226"/>
      <c r="BG222" s="226"/>
    </row>
    <row r="223" spans="2:59" s="133" customFormat="1" ht="18.75" customHeight="1">
      <c r="B223" s="226"/>
      <c r="C223" s="377"/>
      <c r="D223" s="377"/>
      <c r="E223" s="377"/>
      <c r="F223" s="377"/>
      <c r="G223" s="377"/>
      <c r="H223" s="228"/>
      <c r="I223" s="228"/>
      <c r="J223" s="228"/>
      <c r="K223" s="228"/>
      <c r="L223" s="228"/>
      <c r="M223" s="228"/>
      <c r="N223" s="228"/>
      <c r="O223" s="228"/>
      <c r="P223" s="228"/>
      <c r="Q223" s="228"/>
      <c r="R223" s="134"/>
      <c r="S223" s="228"/>
      <c r="T223" s="228"/>
      <c r="U223" s="228"/>
      <c r="V223" s="228"/>
      <c r="W223" s="228"/>
      <c r="X223" s="228"/>
      <c r="Y223" s="228"/>
      <c r="Z223" s="228"/>
      <c r="AA223" s="228"/>
      <c r="AB223" s="228"/>
      <c r="AC223" s="228"/>
      <c r="AD223" s="228"/>
      <c r="AE223" s="226"/>
      <c r="AF223" s="226"/>
      <c r="AG223" s="226"/>
      <c r="AH223" s="226"/>
      <c r="AI223" s="226"/>
      <c r="AJ223" s="226"/>
      <c r="AK223" s="226"/>
      <c r="AL223" s="226"/>
      <c r="AM223" s="226"/>
      <c r="AN223" s="226"/>
      <c r="AO223" s="226"/>
      <c r="AP223" s="226"/>
      <c r="AQ223" s="226"/>
      <c r="AR223" s="226"/>
      <c r="AS223" s="226"/>
      <c r="AT223" s="226"/>
      <c r="AU223" s="226"/>
      <c r="AV223" s="226"/>
      <c r="AW223" s="226"/>
      <c r="AX223" s="226"/>
      <c r="AY223" s="226"/>
      <c r="AZ223" s="226"/>
      <c r="BA223" s="226"/>
      <c r="BB223" s="226"/>
      <c r="BC223" s="226"/>
      <c r="BD223" s="226"/>
      <c r="BE223" s="226"/>
      <c r="BF223" s="226"/>
      <c r="BG223" s="226"/>
    </row>
    <row r="224" spans="2:59" s="133" customFormat="1" ht="18.75" customHeight="1">
      <c r="B224" s="226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  <c r="N224" s="228"/>
      <c r="O224" s="228"/>
      <c r="P224" s="228"/>
      <c r="Q224" s="228"/>
      <c r="R224" s="134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  <c r="AC224" s="228"/>
      <c r="AD224" s="228"/>
      <c r="AE224" s="226"/>
      <c r="AF224" s="228"/>
      <c r="AG224" s="226"/>
      <c r="AH224" s="226"/>
      <c r="AI224" s="226"/>
      <c r="AJ224" s="226"/>
      <c r="AK224" s="226"/>
      <c r="AL224" s="226"/>
      <c r="AM224" s="226"/>
      <c r="AN224" s="226"/>
      <c r="AO224" s="226"/>
      <c r="AP224" s="226"/>
      <c r="AQ224" s="226"/>
      <c r="AR224" s="226"/>
      <c r="AS224" s="226"/>
      <c r="AT224" s="226"/>
      <c r="AU224" s="226"/>
      <c r="AV224" s="226"/>
      <c r="AW224" s="226"/>
      <c r="AX224" s="226"/>
      <c r="AY224" s="226"/>
      <c r="AZ224" s="226"/>
      <c r="BA224" s="226"/>
      <c r="BB224" s="226"/>
      <c r="BC224" s="226"/>
      <c r="BD224" s="226"/>
      <c r="BE224" s="226"/>
      <c r="BF224" s="226"/>
      <c r="BG224" s="226"/>
    </row>
    <row r="225" spans="1:60" s="133" customFormat="1" ht="18.75" customHeight="1">
      <c r="B225" s="57" t="str">
        <f>"5. "&amp;T5&amp;"의 분해능에 의한 표준불확도 :"</f>
        <v>5. 측정 투영기의 분해능에 의한 표준불확도 :</v>
      </c>
      <c r="D225" s="228"/>
      <c r="E225" s="228"/>
      <c r="F225" s="228"/>
      <c r="G225" s="226"/>
      <c r="H225" s="228"/>
      <c r="I225" s="228"/>
      <c r="J225" s="228"/>
      <c r="K225" s="228"/>
      <c r="L225" s="228"/>
      <c r="M225" s="228"/>
      <c r="N225" s="228"/>
      <c r="O225" s="228"/>
      <c r="P225" s="228"/>
      <c r="Q225" s="228"/>
      <c r="R225" s="228"/>
      <c r="S225" s="199" t="s">
        <v>606</v>
      </c>
      <c r="T225" s="228"/>
      <c r="V225" s="228"/>
      <c r="W225" s="228"/>
      <c r="X225" s="228"/>
      <c r="Y225" s="228"/>
      <c r="Z225" s="228"/>
      <c r="AA225" s="228"/>
      <c r="AB225" s="228"/>
      <c r="AC225" s="228"/>
      <c r="AD225" s="228"/>
      <c r="AE225" s="226"/>
      <c r="AF225" s="228"/>
      <c r="AG225" s="226"/>
      <c r="AH225" s="226"/>
      <c r="AI225" s="226"/>
      <c r="AJ225" s="226"/>
      <c r="AK225" s="226"/>
      <c r="AL225" s="226"/>
      <c r="AM225" s="226"/>
      <c r="AN225" s="226"/>
      <c r="AO225" s="226"/>
      <c r="AP225" s="226"/>
      <c r="AQ225" s="226"/>
      <c r="AR225" s="226"/>
      <c r="AS225" s="226"/>
      <c r="AT225" s="226"/>
      <c r="AU225" s="226"/>
      <c r="AV225" s="226"/>
      <c r="AW225" s="226"/>
      <c r="AX225" s="226"/>
      <c r="AY225" s="226"/>
      <c r="AZ225" s="226"/>
      <c r="BA225" s="226"/>
      <c r="BB225" s="226"/>
      <c r="BC225" s="226"/>
      <c r="BD225" s="226"/>
      <c r="BE225" s="226"/>
      <c r="BF225" s="226"/>
      <c r="BG225" s="226"/>
    </row>
    <row r="226" spans="1:60" s="133" customFormat="1" ht="18.75" customHeight="1">
      <c r="B226" s="226"/>
      <c r="C226" s="227" t="s">
        <v>472</v>
      </c>
      <c r="D226" s="226"/>
      <c r="E226" s="226"/>
      <c r="F226" s="226"/>
      <c r="G226" s="226"/>
      <c r="H226" s="375">
        <f>H164</f>
        <v>0</v>
      </c>
      <c r="I226" s="375"/>
      <c r="J226" s="375"/>
      <c r="K226" s="375"/>
      <c r="L226" s="375"/>
      <c r="M226" s="375"/>
      <c r="N226" s="375"/>
      <c r="O226" s="375"/>
      <c r="P226" s="229"/>
      <c r="Q226" s="228"/>
      <c r="R226" s="228"/>
      <c r="S226" s="228"/>
      <c r="T226" s="228"/>
      <c r="U226" s="228"/>
      <c r="V226" s="228"/>
      <c r="W226" s="228"/>
      <c r="AD226" s="228"/>
      <c r="AE226" s="228"/>
      <c r="AF226" s="228"/>
      <c r="AG226" s="228"/>
      <c r="AH226" s="228"/>
      <c r="AI226" s="226"/>
      <c r="AJ226" s="226"/>
      <c r="AK226" s="226"/>
      <c r="AL226" s="226"/>
      <c r="AM226" s="226"/>
      <c r="AN226" s="226"/>
      <c r="AO226" s="226"/>
      <c r="AP226" s="226"/>
      <c r="AQ226" s="226"/>
      <c r="AR226" s="226"/>
      <c r="AS226" s="228"/>
      <c r="AT226" s="228"/>
      <c r="AU226" s="228"/>
      <c r="AV226" s="228"/>
      <c r="AW226" s="228"/>
      <c r="AX226" s="228"/>
      <c r="AY226" s="226"/>
      <c r="AZ226" s="226"/>
      <c r="BA226" s="226"/>
      <c r="BB226" s="226"/>
      <c r="BC226" s="226"/>
      <c r="BD226" s="226"/>
      <c r="BE226" s="226"/>
      <c r="BF226" s="226"/>
      <c r="BG226" s="226"/>
    </row>
    <row r="227" spans="1:60" s="133" customFormat="1" ht="18.75" customHeight="1">
      <c r="B227" s="226"/>
      <c r="C227" s="228" t="s">
        <v>473</v>
      </c>
      <c r="D227" s="228"/>
      <c r="E227" s="228"/>
      <c r="F227" s="228"/>
      <c r="G227" s="228"/>
      <c r="H227" s="228"/>
      <c r="I227" s="226"/>
      <c r="J227" s="228" t="str">
        <f>"※ "&amp;T5&amp;"의 분해능 :"</f>
        <v>※ 측정 투영기의 분해능 :</v>
      </c>
      <c r="K227" s="228"/>
      <c r="L227" s="228"/>
      <c r="M227" s="228"/>
      <c r="N227" s="228"/>
      <c r="O227" s="228"/>
      <c r="P227" s="228"/>
      <c r="Q227" s="228"/>
      <c r="R227" s="228"/>
      <c r="S227" s="228"/>
      <c r="T227" s="228"/>
      <c r="U227" s="135" t="s">
        <v>474</v>
      </c>
      <c r="V227" s="473">
        <f>Calcu!I3</f>
        <v>0</v>
      </c>
      <c r="W227" s="473"/>
      <c r="X227" s="473"/>
      <c r="Y227" s="473"/>
      <c r="Z227" s="473"/>
      <c r="AD227" s="228"/>
      <c r="AE227" s="228"/>
      <c r="AF227" s="226"/>
      <c r="AG227" s="226"/>
      <c r="AH227" s="226"/>
      <c r="AI227" s="226"/>
      <c r="AJ227" s="226"/>
      <c r="AK227" s="226"/>
      <c r="AL227" s="226"/>
      <c r="AM227" s="226"/>
      <c r="AN227" s="228"/>
      <c r="AO227" s="228"/>
      <c r="AP227" s="228"/>
      <c r="AQ227" s="228"/>
      <c r="AR227" s="228"/>
      <c r="AS227" s="228"/>
      <c r="AT227" s="228"/>
      <c r="AU227" s="228"/>
      <c r="AV227" s="228"/>
      <c r="AW227" s="228"/>
      <c r="AX227" s="228"/>
      <c r="AY227" s="226"/>
      <c r="AZ227" s="226"/>
      <c r="BA227" s="226"/>
      <c r="BB227" s="226"/>
      <c r="BC227" s="226"/>
      <c r="BD227" s="226"/>
      <c r="BE227" s="226"/>
      <c r="BF227" s="226"/>
      <c r="BG227" s="226"/>
    </row>
    <row r="228" spans="1:60" s="133" customFormat="1" ht="18.75" customHeight="1">
      <c r="B228" s="226"/>
      <c r="C228" s="228"/>
      <c r="D228" s="228"/>
      <c r="E228" s="228"/>
      <c r="F228" s="228"/>
      <c r="G228" s="228"/>
      <c r="H228" s="228"/>
      <c r="I228" s="468" t="s">
        <v>608</v>
      </c>
      <c r="J228" s="468"/>
      <c r="K228" s="468"/>
      <c r="L228" s="468"/>
      <c r="M228" s="371" t="s">
        <v>607</v>
      </c>
      <c r="N228" s="391" t="s">
        <v>136</v>
      </c>
      <c r="O228" s="392"/>
      <c r="P228" s="392"/>
      <c r="Q228" s="392"/>
      <c r="R228" s="371" t="s">
        <v>401</v>
      </c>
      <c r="S228" s="469">
        <f>V227*1000</f>
        <v>0</v>
      </c>
      <c r="T228" s="469"/>
      <c r="U228" s="469"/>
      <c r="V228" s="469"/>
      <c r="W228" s="382" t="s">
        <v>475</v>
      </c>
      <c r="X228" s="470">
        <f>S228/2/SQRT(3)</f>
        <v>0</v>
      </c>
      <c r="Y228" s="470"/>
      <c r="Z228" s="470"/>
      <c r="AA228" s="470"/>
      <c r="AB228" s="470"/>
      <c r="AC228" s="228"/>
      <c r="AD228" s="226"/>
      <c r="AE228" s="226"/>
      <c r="AF228" s="226"/>
      <c r="AG228" s="226"/>
      <c r="AH228" s="226"/>
      <c r="AI228" s="226"/>
      <c r="AJ228" s="226"/>
      <c r="AK228" s="226"/>
      <c r="AL228" s="226"/>
      <c r="AM228" s="226"/>
      <c r="AN228" s="226"/>
      <c r="AO228" s="226"/>
      <c r="AP228" s="226"/>
      <c r="AQ228" s="228"/>
      <c r="AR228" s="228"/>
      <c r="AS228" s="228"/>
      <c r="AT228" s="228"/>
      <c r="AU228" s="228"/>
      <c r="AV228" s="228"/>
      <c r="AW228" s="228"/>
      <c r="AX228" s="228"/>
      <c r="AY228" s="226"/>
      <c r="AZ228" s="226"/>
      <c r="BA228" s="226"/>
      <c r="BB228" s="226"/>
      <c r="BC228" s="226"/>
      <c r="BD228" s="226"/>
      <c r="BE228" s="226"/>
      <c r="BF228" s="226"/>
      <c r="BG228" s="226"/>
    </row>
    <row r="229" spans="1:60" s="133" customFormat="1" ht="18.75" customHeight="1">
      <c r="B229" s="226"/>
      <c r="C229" s="228"/>
      <c r="D229" s="228"/>
      <c r="E229" s="228"/>
      <c r="F229" s="228"/>
      <c r="G229" s="228"/>
      <c r="H229" s="228"/>
      <c r="I229" s="468"/>
      <c r="J229" s="468"/>
      <c r="K229" s="468"/>
      <c r="L229" s="468"/>
      <c r="M229" s="371"/>
      <c r="N229" s="376"/>
      <c r="O229" s="376"/>
      <c r="P229" s="376"/>
      <c r="Q229" s="376"/>
      <c r="R229" s="371"/>
      <c r="S229" s="376"/>
      <c r="T229" s="376"/>
      <c r="U229" s="376"/>
      <c r="V229" s="376"/>
      <c r="W229" s="382"/>
      <c r="X229" s="470"/>
      <c r="Y229" s="470"/>
      <c r="Z229" s="470"/>
      <c r="AA229" s="470"/>
      <c r="AB229" s="470"/>
      <c r="AC229" s="228"/>
      <c r="AD229" s="226"/>
      <c r="AE229" s="226"/>
      <c r="AF229" s="226"/>
      <c r="AG229" s="226"/>
      <c r="AH229" s="226"/>
      <c r="AI229" s="226"/>
      <c r="AJ229" s="226"/>
      <c r="AK229" s="226"/>
      <c r="AL229" s="226"/>
      <c r="AM229" s="226"/>
      <c r="AN229" s="226"/>
      <c r="AO229" s="226"/>
      <c r="AP229" s="226"/>
      <c r="AQ229" s="228"/>
      <c r="AR229" s="228"/>
      <c r="AS229" s="228"/>
      <c r="AT229" s="228"/>
      <c r="AU229" s="228"/>
      <c r="AV229" s="228"/>
      <c r="AW229" s="228"/>
      <c r="AX229" s="228"/>
      <c r="AY229" s="226"/>
      <c r="AZ229" s="226"/>
      <c r="BA229" s="226"/>
      <c r="BB229" s="226"/>
      <c r="BC229" s="226"/>
      <c r="BD229" s="226"/>
      <c r="BE229" s="226"/>
      <c r="BF229" s="226"/>
      <c r="BG229" s="226"/>
    </row>
    <row r="230" spans="1:60" s="133" customFormat="1" ht="18.75" customHeight="1">
      <c r="B230" s="226"/>
      <c r="C230" s="228" t="s">
        <v>142</v>
      </c>
      <c r="D230" s="228"/>
      <c r="E230" s="228"/>
      <c r="F230" s="228"/>
      <c r="G230" s="228"/>
      <c r="H230" s="228"/>
      <c r="I230" s="374" t="str">
        <f>V164</f>
        <v>직사각형</v>
      </c>
      <c r="J230" s="374"/>
      <c r="K230" s="374"/>
      <c r="L230" s="374"/>
      <c r="M230" s="374"/>
      <c r="N230" s="374"/>
      <c r="O230" s="374"/>
      <c r="P230" s="374"/>
      <c r="Q230" s="228"/>
      <c r="R230" s="228"/>
      <c r="S230" s="228"/>
      <c r="T230" s="228"/>
      <c r="U230" s="228"/>
      <c r="V230" s="228"/>
      <c r="W230" s="228"/>
      <c r="X230" s="228"/>
      <c r="Y230" s="228"/>
      <c r="Z230" s="226"/>
      <c r="AA230" s="226"/>
      <c r="AB230" s="226"/>
      <c r="AC230" s="226"/>
      <c r="AD230" s="226"/>
      <c r="AE230" s="226"/>
      <c r="AF230" s="226"/>
      <c r="AG230" s="226"/>
      <c r="AH230" s="228"/>
      <c r="AI230" s="228"/>
      <c r="AJ230" s="228"/>
      <c r="AK230" s="228"/>
      <c r="AL230" s="228"/>
      <c r="AM230" s="228"/>
      <c r="AN230" s="228"/>
      <c r="AO230" s="228"/>
      <c r="AP230" s="228"/>
      <c r="AQ230" s="228"/>
      <c r="AR230" s="228"/>
      <c r="AS230" s="228"/>
      <c r="AT230" s="228"/>
      <c r="AU230" s="228"/>
      <c r="AV230" s="228"/>
      <c r="AW230" s="228"/>
      <c r="AX230" s="228"/>
      <c r="AY230" s="226"/>
      <c r="AZ230" s="226"/>
      <c r="BA230" s="226"/>
      <c r="BB230" s="226"/>
      <c r="BC230" s="226"/>
      <c r="BD230" s="226"/>
      <c r="BE230" s="226"/>
      <c r="BF230" s="226"/>
      <c r="BG230" s="226"/>
    </row>
    <row r="231" spans="1:60" s="133" customFormat="1" ht="18.75" customHeight="1">
      <c r="B231" s="226"/>
      <c r="C231" s="377" t="s">
        <v>476</v>
      </c>
      <c r="D231" s="377"/>
      <c r="E231" s="377"/>
      <c r="F231" s="377"/>
      <c r="G231" s="377"/>
      <c r="H231" s="377"/>
      <c r="I231" s="228"/>
      <c r="J231" s="228"/>
      <c r="K231" s="228"/>
      <c r="L231" s="228"/>
      <c r="M231" s="228"/>
      <c r="N231" s="228"/>
      <c r="O231" s="374">
        <f>AA164</f>
        <v>1</v>
      </c>
      <c r="P231" s="374"/>
      <c r="Q231" s="137"/>
      <c r="R231" s="137"/>
      <c r="S231" s="228"/>
      <c r="T231" s="228"/>
      <c r="U231" s="228"/>
      <c r="V231" s="228"/>
      <c r="W231" s="228"/>
      <c r="X231" s="228"/>
      <c r="Y231" s="228"/>
      <c r="Z231" s="138"/>
      <c r="AA231" s="138"/>
      <c r="AB231" s="228"/>
      <c r="AC231" s="228"/>
      <c r="AD231" s="228"/>
      <c r="AE231" s="228"/>
      <c r="AF231" s="228"/>
      <c r="AG231" s="228"/>
      <c r="AH231" s="228"/>
      <c r="AI231" s="228"/>
      <c r="AJ231" s="228"/>
      <c r="AK231" s="228"/>
      <c r="AL231" s="226"/>
      <c r="AM231" s="226"/>
      <c r="AN231" s="226"/>
      <c r="AO231" s="228"/>
      <c r="AP231" s="228"/>
      <c r="AQ231" s="228"/>
      <c r="AR231" s="228"/>
      <c r="AS231" s="228"/>
      <c r="AT231" s="228"/>
      <c r="AU231" s="228"/>
      <c r="AV231" s="228"/>
      <c r="AW231" s="228"/>
      <c r="AX231" s="228"/>
      <c r="AY231" s="226"/>
      <c r="AZ231" s="226"/>
      <c r="BA231" s="226"/>
      <c r="BB231" s="226"/>
      <c r="BC231" s="226"/>
      <c r="BD231" s="226"/>
      <c r="BE231" s="226"/>
      <c r="BF231" s="226"/>
      <c r="BG231" s="226"/>
    </row>
    <row r="232" spans="1:60" s="133" customFormat="1" ht="18.75" customHeight="1">
      <c r="B232" s="226"/>
      <c r="C232" s="377"/>
      <c r="D232" s="377"/>
      <c r="E232" s="377"/>
      <c r="F232" s="377"/>
      <c r="G232" s="377"/>
      <c r="H232" s="377"/>
      <c r="I232" s="228"/>
      <c r="J232" s="228"/>
      <c r="K232" s="228"/>
      <c r="L232" s="228"/>
      <c r="M232" s="228"/>
      <c r="N232" s="228"/>
      <c r="O232" s="374"/>
      <c r="P232" s="374"/>
      <c r="Q232" s="137"/>
      <c r="R232" s="137"/>
      <c r="S232" s="228"/>
      <c r="T232" s="228"/>
      <c r="U232" s="228"/>
      <c r="V232" s="228"/>
      <c r="W232" s="228"/>
      <c r="X232" s="228"/>
      <c r="Y232" s="228"/>
      <c r="Z232" s="138"/>
      <c r="AA232" s="138"/>
      <c r="AB232" s="228"/>
      <c r="AC232" s="228"/>
      <c r="AD232" s="228"/>
      <c r="AE232" s="228"/>
      <c r="AF232" s="228"/>
      <c r="AG232" s="228"/>
      <c r="AH232" s="228"/>
      <c r="AI232" s="228"/>
      <c r="AJ232" s="228"/>
      <c r="AK232" s="228"/>
      <c r="AL232" s="226"/>
      <c r="AM232" s="226"/>
      <c r="AN232" s="226"/>
      <c r="AO232" s="228"/>
      <c r="AP232" s="228"/>
      <c r="AQ232" s="228"/>
      <c r="AR232" s="228"/>
      <c r="AS232" s="228"/>
      <c r="AT232" s="228"/>
      <c r="AU232" s="228"/>
      <c r="AV232" s="228"/>
      <c r="AW232" s="228"/>
      <c r="AX232" s="228"/>
      <c r="AY232" s="226"/>
      <c r="AZ232" s="226"/>
      <c r="BA232" s="226"/>
      <c r="BB232" s="226"/>
      <c r="BC232" s="226"/>
      <c r="BD232" s="226"/>
      <c r="BE232" s="226"/>
      <c r="BF232" s="226"/>
      <c r="BG232" s="226"/>
    </row>
    <row r="233" spans="1:60" s="133" customFormat="1" ht="18.75" customHeight="1">
      <c r="B233" s="226"/>
      <c r="C233" s="228" t="s">
        <v>143</v>
      </c>
      <c r="D233" s="228"/>
      <c r="E233" s="228"/>
      <c r="F233" s="228"/>
      <c r="G233" s="228"/>
      <c r="H233" s="228"/>
      <c r="I233" s="228"/>
      <c r="J233" s="226"/>
      <c r="K233" s="226" t="s">
        <v>139</v>
      </c>
      <c r="L233" s="371">
        <f>O231</f>
        <v>1</v>
      </c>
      <c r="M233" s="371"/>
      <c r="N233" s="135" t="s">
        <v>477</v>
      </c>
      <c r="O233" s="472">
        <f>X228</f>
        <v>0</v>
      </c>
      <c r="P233" s="472"/>
      <c r="Q233" s="472"/>
      <c r="R233" s="472"/>
      <c r="S233" s="472"/>
      <c r="T233" s="226" t="s">
        <v>139</v>
      </c>
      <c r="U233" s="226" t="s">
        <v>117</v>
      </c>
      <c r="V233" s="470">
        <f>L233*O233</f>
        <v>0</v>
      </c>
      <c r="W233" s="470"/>
      <c r="X233" s="470"/>
      <c r="Y233" s="470"/>
      <c r="Z233" s="470"/>
      <c r="AA233" s="139"/>
      <c r="AB233" s="139"/>
      <c r="AC233" s="134"/>
      <c r="AD233" s="226"/>
      <c r="AE233" s="228"/>
      <c r="AF233" s="226"/>
      <c r="AG233" s="226"/>
      <c r="AH233" s="226"/>
      <c r="AI233" s="226"/>
      <c r="AJ233" s="226"/>
      <c r="AK233" s="228"/>
      <c r="AL233" s="226"/>
      <c r="AM233" s="226"/>
      <c r="AN233" s="226"/>
      <c r="AO233" s="228"/>
      <c r="AP233" s="228"/>
      <c r="AQ233" s="228"/>
      <c r="AR233" s="228"/>
      <c r="AS233" s="228"/>
      <c r="AT233" s="228"/>
      <c r="AU233" s="228"/>
      <c r="AV233" s="228"/>
      <c r="AW233" s="228"/>
      <c r="AX233" s="228"/>
      <c r="AY233" s="226"/>
      <c r="AZ233" s="226"/>
      <c r="BA233" s="226"/>
      <c r="BB233" s="226"/>
      <c r="BC233" s="226"/>
      <c r="BD233" s="226"/>
      <c r="BE233" s="226"/>
      <c r="BF233" s="226"/>
      <c r="BG233" s="226"/>
    </row>
    <row r="234" spans="1:60" s="133" customFormat="1" ht="18.75" customHeight="1">
      <c r="B234" s="226"/>
      <c r="C234" s="377" t="s">
        <v>478</v>
      </c>
      <c r="D234" s="377"/>
      <c r="E234" s="377"/>
      <c r="F234" s="377"/>
      <c r="G234" s="377"/>
      <c r="H234" s="228"/>
      <c r="J234" s="228"/>
      <c r="K234" s="228"/>
      <c r="L234" s="228"/>
      <c r="M234" s="228"/>
      <c r="N234" s="228"/>
      <c r="O234" s="228"/>
      <c r="P234" s="228"/>
      <c r="Q234" s="228"/>
      <c r="R234" s="134"/>
      <c r="S234" s="228"/>
      <c r="T234" s="228"/>
      <c r="U234" s="228"/>
      <c r="W234" s="228"/>
      <c r="X234" s="56" t="s">
        <v>145</v>
      </c>
      <c r="Y234" s="228"/>
      <c r="Z234" s="228"/>
      <c r="AA234" s="228"/>
      <c r="AB234" s="228"/>
      <c r="AC234" s="228"/>
      <c r="AD234" s="228"/>
      <c r="AE234" s="226"/>
      <c r="AF234" s="226"/>
      <c r="AG234" s="226"/>
      <c r="AH234" s="226"/>
      <c r="AI234" s="226"/>
      <c r="AJ234" s="226"/>
      <c r="AK234" s="226"/>
      <c r="AL234" s="226"/>
      <c r="AM234" s="226"/>
      <c r="AN234" s="226"/>
      <c r="AO234" s="226"/>
      <c r="AP234" s="226"/>
      <c r="AQ234" s="226"/>
      <c r="AR234" s="226"/>
      <c r="AS234" s="226"/>
      <c r="AT234" s="226"/>
      <c r="AU234" s="226"/>
      <c r="AV234" s="226"/>
      <c r="AW234" s="226"/>
      <c r="AX234" s="226"/>
      <c r="AY234" s="226"/>
      <c r="AZ234" s="226"/>
      <c r="BA234" s="226"/>
      <c r="BB234" s="226"/>
      <c r="BC234" s="226"/>
      <c r="BD234" s="226"/>
      <c r="BE234" s="226"/>
      <c r="BF234" s="226"/>
      <c r="BG234" s="226"/>
    </row>
    <row r="235" spans="1:60" s="133" customFormat="1" ht="18.75" customHeight="1">
      <c r="B235" s="226"/>
      <c r="C235" s="377"/>
      <c r="D235" s="377"/>
      <c r="E235" s="377"/>
      <c r="F235" s="377"/>
      <c r="G235" s="377"/>
      <c r="H235" s="228"/>
      <c r="I235" s="228"/>
      <c r="J235" s="228"/>
      <c r="K235" s="228"/>
      <c r="L235" s="228"/>
      <c r="M235" s="228"/>
      <c r="N235" s="228"/>
      <c r="O235" s="228"/>
      <c r="P235" s="228"/>
      <c r="Q235" s="228"/>
      <c r="R235" s="134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  <c r="AC235" s="228"/>
      <c r="AD235" s="228"/>
      <c r="AE235" s="226"/>
      <c r="AF235" s="226"/>
      <c r="AG235" s="226"/>
      <c r="AH235" s="226"/>
      <c r="AI235" s="226"/>
      <c r="AJ235" s="226"/>
      <c r="AK235" s="226"/>
      <c r="AL235" s="226"/>
      <c r="AM235" s="226"/>
      <c r="AN235" s="226"/>
      <c r="AO235" s="226"/>
      <c r="AP235" s="226"/>
      <c r="AQ235" s="226"/>
      <c r="AR235" s="226"/>
      <c r="AS235" s="226"/>
      <c r="AT235" s="226"/>
      <c r="AU235" s="226"/>
      <c r="AV235" s="226"/>
      <c r="AW235" s="226"/>
      <c r="AX235" s="226"/>
      <c r="AY235" s="226"/>
      <c r="AZ235" s="226"/>
      <c r="BA235" s="226"/>
      <c r="BB235" s="226"/>
      <c r="BC235" s="226"/>
      <c r="BD235" s="226"/>
      <c r="BE235" s="226"/>
      <c r="BF235" s="226"/>
      <c r="BG235" s="226"/>
    </row>
    <row r="236" spans="1:60" s="133" customFormat="1" ht="18.75" customHeight="1">
      <c r="B236" s="226"/>
      <c r="C236" s="57"/>
      <c r="D236" s="228"/>
      <c r="E236" s="228"/>
      <c r="F236" s="228"/>
      <c r="G236" s="226"/>
      <c r="H236" s="228"/>
      <c r="I236" s="228"/>
      <c r="J236" s="228"/>
      <c r="K236" s="228"/>
      <c r="L236" s="228"/>
      <c r="M236" s="228"/>
      <c r="N236" s="228"/>
      <c r="O236" s="228"/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  <c r="AC236" s="228"/>
      <c r="AD236" s="228"/>
      <c r="AE236" s="226"/>
      <c r="AF236" s="228"/>
      <c r="AG236" s="226"/>
      <c r="AH236" s="226"/>
      <c r="AI236" s="226"/>
      <c r="AJ236" s="226"/>
      <c r="AK236" s="226"/>
      <c r="AL236" s="226"/>
      <c r="AM236" s="226"/>
      <c r="AN236" s="226"/>
      <c r="AO236" s="226"/>
      <c r="AP236" s="226"/>
      <c r="AQ236" s="226"/>
      <c r="AR236" s="226"/>
      <c r="AS236" s="226"/>
      <c r="AT236" s="226"/>
      <c r="AU236" s="226"/>
      <c r="AV236" s="226"/>
      <c r="AW236" s="226"/>
      <c r="AX236" s="226"/>
      <c r="AY236" s="226"/>
      <c r="AZ236" s="226"/>
      <c r="BA236" s="226"/>
      <c r="BB236" s="226"/>
      <c r="BC236" s="226"/>
      <c r="BD236" s="226"/>
      <c r="BE236" s="226"/>
      <c r="BF236" s="226"/>
      <c r="BG236" s="226"/>
    </row>
    <row r="237" spans="1:60" s="133" customFormat="1" ht="18.75" customHeight="1">
      <c r="A237" s="57" t="s">
        <v>479</v>
      </c>
      <c r="B237" s="226"/>
      <c r="C237" s="226"/>
      <c r="D237" s="226"/>
      <c r="E237" s="226"/>
      <c r="F237" s="226"/>
      <c r="G237" s="226"/>
      <c r="H237" s="226"/>
      <c r="I237" s="226"/>
      <c r="J237" s="226"/>
      <c r="K237" s="226"/>
      <c r="L237" s="226"/>
      <c r="M237" s="226"/>
      <c r="N237" s="226"/>
      <c r="O237" s="226"/>
      <c r="P237" s="226"/>
      <c r="Q237" s="226"/>
      <c r="R237" s="226"/>
      <c r="S237" s="226"/>
      <c r="T237" s="226"/>
      <c r="U237" s="226"/>
      <c r="V237" s="226"/>
      <c r="W237" s="226"/>
      <c r="X237" s="226"/>
      <c r="Y237" s="226"/>
      <c r="Z237" s="226"/>
      <c r="AA237" s="226"/>
      <c r="AB237" s="226"/>
      <c r="AC237" s="226"/>
      <c r="AD237" s="226"/>
      <c r="AE237" s="226"/>
      <c r="AF237" s="226"/>
      <c r="AG237" s="226"/>
      <c r="AH237" s="226"/>
      <c r="AI237" s="226"/>
      <c r="AJ237" s="226"/>
      <c r="AK237" s="226"/>
      <c r="AL237" s="226"/>
      <c r="AM237" s="226"/>
      <c r="AN237" s="226"/>
      <c r="AO237" s="226"/>
      <c r="AP237" s="226"/>
      <c r="AQ237" s="226"/>
      <c r="AR237" s="226"/>
      <c r="AS237" s="226"/>
      <c r="AT237" s="226"/>
      <c r="AU237" s="226"/>
      <c r="AV237" s="226"/>
      <c r="AW237" s="226"/>
      <c r="AX237" s="226"/>
      <c r="AY237" s="226"/>
      <c r="AZ237" s="226"/>
      <c r="BA237" s="226"/>
      <c r="BB237" s="226"/>
      <c r="BC237" s="226"/>
      <c r="BD237" s="226"/>
      <c r="BE237" s="226"/>
      <c r="BF237" s="226"/>
    </row>
    <row r="238" spans="1:60" s="133" customFormat="1" ht="18.75" customHeight="1">
      <c r="A238" s="226"/>
      <c r="B238" s="226"/>
      <c r="C238" s="226"/>
      <c r="D238" s="226"/>
      <c r="E238" s="226"/>
      <c r="F238" s="226"/>
      <c r="G238" s="226"/>
      <c r="H238" s="226"/>
      <c r="I238" s="226"/>
      <c r="J238" s="226"/>
      <c r="K238" s="226"/>
      <c r="L238" s="226"/>
      <c r="M238" s="226"/>
      <c r="N238" s="226"/>
      <c r="O238" s="226"/>
      <c r="P238" s="226"/>
      <c r="Q238" s="226"/>
      <c r="R238" s="226"/>
      <c r="S238" s="226"/>
      <c r="T238" s="226"/>
      <c r="U238" s="226"/>
      <c r="V238" s="226"/>
      <c r="W238" s="226"/>
      <c r="X238" s="226"/>
      <c r="Y238" s="226"/>
      <c r="Z238" s="226"/>
      <c r="AA238" s="226"/>
      <c r="AB238" s="226"/>
      <c r="AC238" s="226"/>
      <c r="AD238" s="226"/>
      <c r="AE238" s="228"/>
      <c r="AF238" s="226"/>
      <c r="AG238" s="226"/>
      <c r="AH238" s="226"/>
      <c r="AI238" s="226"/>
      <c r="AJ238" s="226"/>
      <c r="AK238" s="226"/>
      <c r="AL238" s="226"/>
      <c r="AM238" s="226"/>
      <c r="AN238" s="226"/>
      <c r="AO238" s="226"/>
      <c r="AP238" s="226"/>
      <c r="AQ238" s="226"/>
      <c r="AR238" s="226"/>
      <c r="AS238" s="226"/>
      <c r="AT238" s="226"/>
      <c r="AU238" s="226"/>
      <c r="AV238" s="226"/>
      <c r="AW238" s="226"/>
      <c r="AX238" s="226"/>
      <c r="AY238" s="226"/>
      <c r="AZ238" s="226"/>
      <c r="BA238" s="226"/>
      <c r="BB238" s="226"/>
      <c r="BC238" s="226"/>
      <c r="BD238" s="226"/>
      <c r="BE238" s="226"/>
      <c r="BF238" s="226"/>
    </row>
    <row r="239" spans="1:60" s="58" customFormat="1" ht="18.75" customHeight="1">
      <c r="A239" s="228"/>
      <c r="B239" s="228"/>
      <c r="C239" s="228"/>
      <c r="D239" s="228"/>
      <c r="E239" s="226" t="s">
        <v>117</v>
      </c>
      <c r="F239" s="399">
        <f>AH160</f>
        <v>0</v>
      </c>
      <c r="G239" s="399"/>
      <c r="H239" s="399"/>
      <c r="I239" s="228" t="s">
        <v>480</v>
      </c>
      <c r="J239" s="228"/>
      <c r="K239" s="371" t="s">
        <v>391</v>
      </c>
      <c r="L239" s="371"/>
      <c r="M239" s="399" t="e">
        <f ca="1">AH161</f>
        <v>#DIV/0!</v>
      </c>
      <c r="N239" s="399"/>
      <c r="O239" s="399"/>
      <c r="P239" s="228" t="s">
        <v>109</v>
      </c>
      <c r="Q239" s="228"/>
      <c r="R239" s="371" t="s">
        <v>391</v>
      </c>
      <c r="S239" s="371"/>
      <c r="T239" s="399" t="e">
        <f>AH162</f>
        <v>#DIV/0!</v>
      </c>
      <c r="U239" s="399"/>
      <c r="V239" s="399"/>
      <c r="W239" s="228" t="s">
        <v>109</v>
      </c>
      <c r="X239" s="228"/>
      <c r="Y239" s="371" t="s">
        <v>147</v>
      </c>
      <c r="Z239" s="371"/>
      <c r="AA239" s="399">
        <f>AH163</f>
        <v>0.57735026918962584</v>
      </c>
      <c r="AB239" s="399"/>
      <c r="AC239" s="399"/>
      <c r="AD239" s="228" t="s">
        <v>109</v>
      </c>
      <c r="AE239" s="228"/>
      <c r="AF239" s="371" t="s">
        <v>147</v>
      </c>
      <c r="AG239" s="371"/>
      <c r="AH239" s="399">
        <f>AH164</f>
        <v>0</v>
      </c>
      <c r="AI239" s="399"/>
      <c r="AJ239" s="399"/>
      <c r="AK239" s="228" t="s">
        <v>109</v>
      </c>
      <c r="AL239" s="228"/>
      <c r="AM239" s="228"/>
      <c r="AN239" s="228"/>
      <c r="AO239" s="227"/>
      <c r="AP239" s="228"/>
      <c r="AQ239" s="228"/>
      <c r="AR239" s="228"/>
      <c r="AS239" s="228"/>
      <c r="AT239" s="228"/>
      <c r="AU239" s="228"/>
      <c r="AV239" s="228"/>
      <c r="AW239" s="228"/>
      <c r="AX239" s="228"/>
      <c r="AY239" s="228"/>
      <c r="AZ239" s="228"/>
      <c r="BA239" s="228"/>
      <c r="BB239" s="228"/>
      <c r="BC239" s="228"/>
      <c r="BD239" s="228"/>
      <c r="BE239" s="228"/>
      <c r="BF239" s="228"/>
      <c r="BG239" s="228"/>
      <c r="BH239" s="228"/>
    </row>
    <row r="240" spans="1:60" s="58" customFormat="1" ht="18.75" customHeight="1">
      <c r="A240" s="228"/>
      <c r="B240" s="228"/>
      <c r="C240" s="228"/>
      <c r="D240" s="228"/>
      <c r="E240" s="226" t="s">
        <v>117</v>
      </c>
      <c r="F240" s="399" t="e">
        <f ca="1">AH165</f>
        <v>#DIV/0!</v>
      </c>
      <c r="G240" s="399"/>
      <c r="H240" s="399"/>
      <c r="I240" s="228" t="s">
        <v>481</v>
      </c>
      <c r="J240" s="228"/>
      <c r="K240" s="228"/>
      <c r="L240" s="228"/>
      <c r="M240" s="141"/>
      <c r="N240" s="141"/>
      <c r="O240" s="141"/>
      <c r="P240" s="141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  <c r="AC240" s="228"/>
      <c r="AD240" s="228"/>
      <c r="AE240" s="228"/>
      <c r="AF240" s="228"/>
      <c r="AG240" s="226"/>
      <c r="AH240" s="228"/>
      <c r="AI240" s="228"/>
      <c r="AJ240" s="228"/>
      <c r="AK240" s="228"/>
      <c r="AL240" s="228"/>
      <c r="AM240" s="228"/>
      <c r="AN240" s="228"/>
      <c r="AO240" s="228"/>
      <c r="AP240" s="228"/>
      <c r="AQ240" s="228"/>
      <c r="AR240" s="228"/>
      <c r="AS240" s="228"/>
      <c r="AT240" s="228"/>
      <c r="AU240" s="228"/>
      <c r="AV240" s="228"/>
      <c r="AW240" s="228"/>
      <c r="AX240" s="228"/>
      <c r="AY240" s="228"/>
      <c r="AZ240" s="228"/>
      <c r="BA240" s="228"/>
      <c r="BB240" s="228"/>
      <c r="BC240" s="228"/>
      <c r="BD240" s="228"/>
      <c r="BE240" s="228"/>
      <c r="BF240" s="228"/>
      <c r="BG240" s="228"/>
      <c r="BH240" s="228"/>
    </row>
    <row r="241" spans="1:60" s="58" customFormat="1" ht="18.75" customHeight="1">
      <c r="A241" s="228"/>
      <c r="B241" s="228"/>
      <c r="C241" s="228"/>
      <c r="D241" s="132"/>
      <c r="E241" s="132"/>
      <c r="F241" s="132"/>
      <c r="G241" s="228"/>
      <c r="H241" s="228"/>
      <c r="I241" s="226"/>
      <c r="J241" s="226"/>
      <c r="K241" s="142"/>
      <c r="L241" s="142"/>
      <c r="M241" s="142"/>
      <c r="N241" s="142"/>
      <c r="O241" s="228"/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  <c r="AC241" s="228"/>
      <c r="AD241" s="228"/>
      <c r="AE241" s="228"/>
      <c r="AF241" s="228"/>
      <c r="AG241" s="228"/>
      <c r="AH241" s="228"/>
      <c r="AI241" s="228"/>
      <c r="AJ241" s="228"/>
      <c r="AK241" s="228"/>
      <c r="AL241" s="228"/>
      <c r="AM241" s="228"/>
      <c r="AN241" s="228"/>
      <c r="AO241" s="228"/>
      <c r="AP241" s="228"/>
      <c r="AQ241" s="228"/>
      <c r="AR241" s="228"/>
      <c r="AS241" s="228"/>
      <c r="AT241" s="228"/>
      <c r="AU241" s="228"/>
      <c r="AV241" s="228"/>
      <c r="AW241" s="228"/>
      <c r="AX241" s="228"/>
      <c r="AY241" s="228"/>
      <c r="AZ241" s="228"/>
      <c r="BA241" s="228"/>
      <c r="BB241" s="228"/>
      <c r="BC241" s="228"/>
      <c r="BD241" s="228"/>
      <c r="BE241" s="228"/>
      <c r="BF241" s="228"/>
    </row>
    <row r="242" spans="1:60" s="133" customFormat="1" ht="18.75" customHeight="1">
      <c r="A242" s="226"/>
      <c r="B242" s="226"/>
      <c r="C242" s="226"/>
      <c r="D242" s="135" t="s">
        <v>535</v>
      </c>
      <c r="E242" s="133" t="s">
        <v>536</v>
      </c>
      <c r="F242" s="399" t="e">
        <f ca="1">F240</f>
        <v>#DIV/0!</v>
      </c>
      <c r="G242" s="399"/>
      <c r="H242" s="399"/>
      <c r="I242" s="228" t="s">
        <v>109</v>
      </c>
      <c r="J242" s="141"/>
      <c r="K242" s="141"/>
      <c r="L242" s="141"/>
      <c r="M242" s="141"/>
      <c r="N242" s="226"/>
      <c r="O242" s="226"/>
      <c r="P242" s="228"/>
      <c r="Q242" s="226"/>
      <c r="R242" s="226"/>
      <c r="S242" s="226"/>
      <c r="T242" s="226"/>
      <c r="U242" s="226"/>
      <c r="V242" s="226"/>
      <c r="W242" s="226"/>
      <c r="X242" s="226"/>
      <c r="Y242" s="226"/>
      <c r="Z242" s="226"/>
      <c r="AA242" s="226"/>
      <c r="AB242" s="226"/>
      <c r="AC242" s="226"/>
      <c r="AD242" s="226"/>
      <c r="AE242" s="228"/>
      <c r="AF242" s="226"/>
      <c r="AG242" s="226"/>
      <c r="AH242" s="226"/>
      <c r="AI242" s="226"/>
      <c r="AJ242" s="226"/>
      <c r="AO242" s="226"/>
      <c r="AP242" s="226"/>
      <c r="AQ242" s="226"/>
      <c r="AR242" s="226"/>
      <c r="AS242" s="226"/>
      <c r="AT242" s="226"/>
      <c r="AU242" s="226"/>
      <c r="AV242" s="226"/>
      <c r="AW242" s="226"/>
      <c r="AX242" s="226"/>
      <c r="AY242" s="226"/>
      <c r="AZ242" s="226"/>
      <c r="BA242" s="226"/>
      <c r="BB242" s="226"/>
      <c r="BC242" s="226"/>
      <c r="BD242" s="226"/>
      <c r="BE242" s="226"/>
      <c r="BF242" s="226"/>
    </row>
    <row r="243" spans="1:60" s="228" customFormat="1" ht="18.75" customHeight="1"/>
    <row r="244" spans="1:60" ht="18.75" customHeight="1">
      <c r="A244" s="57" t="s">
        <v>482</v>
      </c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</row>
    <row r="245" spans="1:60" ht="18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370" t="e">
        <f ca="1">F242</f>
        <v>#DIV/0!</v>
      </c>
      <c r="M245" s="370"/>
      <c r="N245" s="370"/>
      <c r="O245" s="370"/>
      <c r="P245" s="370"/>
      <c r="Q245" s="370"/>
      <c r="R245" s="370"/>
      <c r="S245" s="370"/>
      <c r="T245" s="370"/>
      <c r="U245" s="370"/>
      <c r="V245" s="370"/>
      <c r="W245" s="370"/>
      <c r="X245" s="370"/>
      <c r="Y245" s="370"/>
      <c r="Z245" s="370"/>
      <c r="AA245" s="370"/>
      <c r="AB245" s="370"/>
      <c r="AC245" s="370"/>
      <c r="AD245" s="370"/>
      <c r="AE245" s="370"/>
      <c r="AF245" s="370"/>
      <c r="AG245" s="370"/>
      <c r="AH245" s="370"/>
      <c r="AI245" s="370"/>
      <c r="AJ245" s="371" t="s">
        <v>342</v>
      </c>
      <c r="AK245" s="372" t="str">
        <f>TRIM(AP165)</f>
        <v>∞</v>
      </c>
      <c r="AL245" s="372"/>
      <c r="AM245" s="372"/>
      <c r="AN245" s="372"/>
      <c r="AO245" s="372"/>
      <c r="AQ245" s="143"/>
      <c r="AR245" s="143"/>
      <c r="AS245" s="143"/>
      <c r="AT245" s="143"/>
      <c r="AU245" s="143"/>
      <c r="AV245" s="58"/>
      <c r="AW245" s="58"/>
      <c r="AX245" s="58"/>
      <c r="AY245" s="58"/>
      <c r="AZ245" s="58"/>
      <c r="BA245" s="58"/>
      <c r="BB245" s="58"/>
      <c r="BC245" s="58"/>
      <c r="BD245" s="58"/>
      <c r="BE245" s="58"/>
      <c r="BF245" s="58"/>
      <c r="BG245" s="58"/>
      <c r="BH245" s="58"/>
    </row>
    <row r="246" spans="1:60" ht="18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373">
        <f>AH160</f>
        <v>0</v>
      </c>
      <c r="M246" s="373"/>
      <c r="N246" s="373"/>
      <c r="O246" s="373"/>
      <c r="P246" s="371" t="s">
        <v>391</v>
      </c>
      <c r="Q246" s="373" t="e">
        <f ca="1">AH161</f>
        <v>#DIV/0!</v>
      </c>
      <c r="R246" s="373"/>
      <c r="S246" s="373"/>
      <c r="T246" s="373"/>
      <c r="U246" s="371" t="s">
        <v>147</v>
      </c>
      <c r="V246" s="370" t="e">
        <f>AH162</f>
        <v>#DIV/0!</v>
      </c>
      <c r="W246" s="370"/>
      <c r="X246" s="370"/>
      <c r="Y246" s="370"/>
      <c r="Z246" s="371" t="s">
        <v>391</v>
      </c>
      <c r="AA246" s="373">
        <f>AH163</f>
        <v>0.57735026918962584</v>
      </c>
      <c r="AB246" s="373"/>
      <c r="AC246" s="373"/>
      <c r="AD246" s="373"/>
      <c r="AE246" s="371" t="s">
        <v>391</v>
      </c>
      <c r="AF246" s="373">
        <f>AH164</f>
        <v>0</v>
      </c>
      <c r="AG246" s="373"/>
      <c r="AH246" s="373"/>
      <c r="AI246" s="373"/>
      <c r="AJ246" s="371"/>
      <c r="AK246" s="372"/>
      <c r="AL246" s="372"/>
      <c r="AM246" s="372"/>
      <c r="AN246" s="372"/>
      <c r="AO246" s="372"/>
      <c r="AQ246" s="143"/>
      <c r="AR246" s="143"/>
      <c r="AS246" s="143"/>
      <c r="AT246" s="143"/>
      <c r="AU246" s="143"/>
    </row>
    <row r="247" spans="1:60" ht="18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371" t="str">
        <f>AP160</f>
        <v>∞</v>
      </c>
      <c r="M247" s="371"/>
      <c r="N247" s="371"/>
      <c r="O247" s="371"/>
      <c r="P247" s="371"/>
      <c r="Q247" s="371" t="str">
        <f>AP161</f>
        <v>∞</v>
      </c>
      <c r="R247" s="371"/>
      <c r="S247" s="371"/>
      <c r="T247" s="371"/>
      <c r="U247" s="371"/>
      <c r="V247" s="371" t="str">
        <f>AP162</f>
        <v>∞</v>
      </c>
      <c r="W247" s="371"/>
      <c r="X247" s="371"/>
      <c r="Y247" s="371"/>
      <c r="Z247" s="371"/>
      <c r="AA247" s="371" t="str">
        <f>AP163</f>
        <v>∞</v>
      </c>
      <c r="AB247" s="371"/>
      <c r="AC247" s="371"/>
      <c r="AD247" s="371"/>
      <c r="AE247" s="371"/>
      <c r="AF247" s="371" t="str">
        <f>AP164</f>
        <v>∞</v>
      </c>
      <c r="AG247" s="371"/>
      <c r="AH247" s="371"/>
      <c r="AI247" s="371"/>
      <c r="AJ247" s="56"/>
      <c r="AK247" s="56"/>
      <c r="AL247" s="56"/>
      <c r="AM247" s="56"/>
      <c r="AN247" s="56"/>
    </row>
    <row r="248" spans="1:60" ht="18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</row>
    <row r="249" spans="1:60" ht="18.75" customHeight="1">
      <c r="A249" s="57" t="s">
        <v>149</v>
      </c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</row>
    <row r="250" spans="1:60" ht="18.75" customHeight="1">
      <c r="A250" s="57"/>
      <c r="B250" s="56" t="s">
        <v>483</v>
      </c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</row>
    <row r="251" spans="1:60" ht="18.75" customHeight="1">
      <c r="A251" s="57"/>
      <c r="B251" s="56"/>
      <c r="C251" s="56" t="s">
        <v>151</v>
      </c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</row>
    <row r="252" spans="1:60" ht="18.75" customHeight="1">
      <c r="A252" s="57"/>
      <c r="B252" s="56"/>
      <c r="C252" s="55" t="s">
        <v>484</v>
      </c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</row>
    <row r="253" spans="1:60" ht="18.75" customHeight="1">
      <c r="A253" s="57"/>
      <c r="B253" s="56"/>
      <c r="C253" s="228" t="s">
        <v>395</v>
      </c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</row>
    <row r="254" spans="1:60" ht="18.75" customHeight="1">
      <c r="A254" s="57"/>
      <c r="B254" s="56"/>
      <c r="D254" s="56"/>
      <c r="E254" s="135"/>
      <c r="F254" s="56"/>
      <c r="G254" s="234"/>
      <c r="H254" s="226"/>
      <c r="I254" s="226"/>
      <c r="J254" s="226"/>
      <c r="R254" s="135"/>
      <c r="S254" s="144"/>
      <c r="T254" s="144"/>
      <c r="U254" s="144"/>
      <c r="V254" s="144"/>
      <c r="W254" s="144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</row>
    <row r="255" spans="1:60" ht="18.75" customHeight="1">
      <c r="A255" s="57"/>
      <c r="B255" s="56" t="s">
        <v>150</v>
      </c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</row>
    <row r="256" spans="1:60" ht="18.75" customHeight="1">
      <c r="A256" s="57"/>
      <c r="B256" s="56"/>
      <c r="C256" s="56" t="s">
        <v>485</v>
      </c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</row>
    <row r="257" spans="1:56" ht="18.75" customHeight="1">
      <c r="B257" s="56"/>
      <c r="C257" s="56" t="s">
        <v>398</v>
      </c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</row>
    <row r="258" spans="1:56" ht="18.75" customHeight="1">
      <c r="A258" s="56"/>
      <c r="B258" s="56"/>
      <c r="C258" s="55" t="s">
        <v>399</v>
      </c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</row>
    <row r="259" spans="1:56" ht="18.75" customHeight="1">
      <c r="A259" s="56"/>
      <c r="B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</row>
    <row r="260" spans="1:56" ht="18.75" customHeight="1">
      <c r="A260" s="56"/>
      <c r="B260" s="56"/>
      <c r="C260" s="56"/>
      <c r="D260" s="56"/>
      <c r="E260" s="59"/>
      <c r="F260" s="56"/>
      <c r="G260" s="56"/>
      <c r="H260" s="234" t="s">
        <v>486</v>
      </c>
      <c r="I260" s="371" t="e">
        <f ca="1">Calcu!E70</f>
        <v>#DIV/0!</v>
      </c>
      <c r="J260" s="371"/>
      <c r="K260" s="371"/>
      <c r="L260" s="233" t="s">
        <v>118</v>
      </c>
      <c r="M260" s="396" t="e">
        <f ca="1">F242</f>
        <v>#DIV/0!</v>
      </c>
      <c r="N260" s="396"/>
      <c r="O260" s="396"/>
      <c r="P260" s="396"/>
      <c r="Q260" s="55" t="s">
        <v>342</v>
      </c>
      <c r="R260" s="397" t="e">
        <f ca="1">I260*M260</f>
        <v>#DIV/0!</v>
      </c>
      <c r="S260" s="397"/>
      <c r="T260" s="397"/>
      <c r="U260" s="397"/>
      <c r="V260" s="56" t="s">
        <v>487</v>
      </c>
      <c r="W260" s="398" t="e">
        <f ca="1">I260*M260</f>
        <v>#DIV/0!</v>
      </c>
      <c r="X260" s="398"/>
      <c r="Y260" s="398"/>
      <c r="Z260" s="398"/>
      <c r="AL260" s="56"/>
      <c r="AM260" s="56"/>
      <c r="AN260" s="56"/>
      <c r="AO260" s="56"/>
      <c r="AP260" s="56"/>
      <c r="AQ260" s="56"/>
      <c r="AR260" s="56"/>
      <c r="AS260" s="56"/>
      <c r="AT260" s="56"/>
    </row>
  </sheetData>
  <mergeCells count="560">
    <mergeCell ref="B137:F138"/>
    <mergeCell ref="G134:K136"/>
    <mergeCell ref="G137:K137"/>
    <mergeCell ref="G138:K138"/>
    <mergeCell ref="I260:K260"/>
    <mergeCell ref="M260:P260"/>
    <mergeCell ref="R260:U260"/>
    <mergeCell ref="W260:Z260"/>
    <mergeCell ref="I230:P230"/>
    <mergeCell ref="L221:M221"/>
    <mergeCell ref="O221:S221"/>
    <mergeCell ref="V221:Z221"/>
    <mergeCell ref="Y206:Z206"/>
    <mergeCell ref="H211:O211"/>
    <mergeCell ref="I216:L217"/>
    <mergeCell ref="N216:Q216"/>
    <mergeCell ref="R216:R217"/>
    <mergeCell ref="S216:W217"/>
    <mergeCell ref="N217:Q217"/>
    <mergeCell ref="I218:P218"/>
    <mergeCell ref="C231:H232"/>
    <mergeCell ref="O231:P232"/>
    <mergeCell ref="L233:M233"/>
    <mergeCell ref="O233:S233"/>
    <mergeCell ref="V233:Z233"/>
    <mergeCell ref="C234:G235"/>
    <mergeCell ref="M239:O239"/>
    <mergeCell ref="R239:S239"/>
    <mergeCell ref="AF239:AG239"/>
    <mergeCell ref="AH239:AJ239"/>
    <mergeCell ref="F240:H240"/>
    <mergeCell ref="F242:H242"/>
    <mergeCell ref="L245:AI245"/>
    <mergeCell ref="AJ245:AJ246"/>
    <mergeCell ref="AK245:AO246"/>
    <mergeCell ref="L246:O246"/>
    <mergeCell ref="P246:P247"/>
    <mergeCell ref="Q246:T246"/>
    <mergeCell ref="U246:U247"/>
    <mergeCell ref="V246:Y246"/>
    <mergeCell ref="Z246:Z247"/>
    <mergeCell ref="AA246:AD246"/>
    <mergeCell ref="AE246:AE247"/>
    <mergeCell ref="AF246:AI246"/>
    <mergeCell ref="L247:O247"/>
    <mergeCell ref="Q247:T247"/>
    <mergeCell ref="V247:Y247"/>
    <mergeCell ref="AA247:AD247"/>
    <mergeCell ref="AF247:AI247"/>
    <mergeCell ref="F239:H239"/>
    <mergeCell ref="K239:L239"/>
    <mergeCell ref="T239:V239"/>
    <mergeCell ref="Y239:Z239"/>
    <mergeCell ref="C222:G223"/>
    <mergeCell ref="H226:O226"/>
    <mergeCell ref="V227:Z227"/>
    <mergeCell ref="I228:L229"/>
    <mergeCell ref="N228:Q228"/>
    <mergeCell ref="R228:R229"/>
    <mergeCell ref="S228:V228"/>
    <mergeCell ref="W228:W229"/>
    <mergeCell ref="X228:AB229"/>
    <mergeCell ref="N229:Q229"/>
    <mergeCell ref="S229:V229"/>
    <mergeCell ref="AA239:AC239"/>
    <mergeCell ref="M228:M229"/>
    <mergeCell ref="C219:H220"/>
    <mergeCell ref="O219:P220"/>
    <mergeCell ref="N202:O202"/>
    <mergeCell ref="Q202:V202"/>
    <mergeCell ref="I203:P203"/>
    <mergeCell ref="C204:H205"/>
    <mergeCell ref="N204:O205"/>
    <mergeCell ref="L206:M206"/>
    <mergeCell ref="O206:Q206"/>
    <mergeCell ref="R206:S206"/>
    <mergeCell ref="V206:X206"/>
    <mergeCell ref="C190:H191"/>
    <mergeCell ref="N190:O191"/>
    <mergeCell ref="L192:M192"/>
    <mergeCell ref="O192:S192"/>
    <mergeCell ref="V192:Z192"/>
    <mergeCell ref="I197:M197"/>
    <mergeCell ref="N197:O197"/>
    <mergeCell ref="X198:Z198"/>
    <mergeCell ref="AB198:AD198"/>
    <mergeCell ref="I187:L188"/>
    <mergeCell ref="N187:O187"/>
    <mergeCell ref="P187:P188"/>
    <mergeCell ref="Q187:T187"/>
    <mergeCell ref="U187:U188"/>
    <mergeCell ref="V187:Z188"/>
    <mergeCell ref="N188:O188"/>
    <mergeCell ref="Q188:T188"/>
    <mergeCell ref="I189:P189"/>
    <mergeCell ref="I178:P178"/>
    <mergeCell ref="C179:H180"/>
    <mergeCell ref="N179:O180"/>
    <mergeCell ref="L181:M181"/>
    <mergeCell ref="O181:Q181"/>
    <mergeCell ref="R181:S181"/>
    <mergeCell ref="V181:X181"/>
    <mergeCell ref="Y181:Z181"/>
    <mergeCell ref="I185:M185"/>
    <mergeCell ref="N185:O185"/>
    <mergeCell ref="I176:L177"/>
    <mergeCell ref="M176:N176"/>
    <mergeCell ref="O176:O177"/>
    <mergeCell ref="P176:R176"/>
    <mergeCell ref="S176:T176"/>
    <mergeCell ref="U176:U177"/>
    <mergeCell ref="V176:X177"/>
    <mergeCell ref="Y176:Z177"/>
    <mergeCell ref="M177:N177"/>
    <mergeCell ref="P177:T177"/>
    <mergeCell ref="AP165:AS165"/>
    <mergeCell ref="I171:M171"/>
    <mergeCell ref="N171:O171"/>
    <mergeCell ref="Q172:S172"/>
    <mergeCell ref="T172:U172"/>
    <mergeCell ref="I173:L174"/>
    <mergeCell ref="M173:N173"/>
    <mergeCell ref="O173:O174"/>
    <mergeCell ref="P173:R173"/>
    <mergeCell ref="S173:T173"/>
    <mergeCell ref="U173:U174"/>
    <mergeCell ref="V173:X174"/>
    <mergeCell ref="Y173:Z174"/>
    <mergeCell ref="M174:N174"/>
    <mergeCell ref="P174:T174"/>
    <mergeCell ref="B165:C165"/>
    <mergeCell ref="D165:G165"/>
    <mergeCell ref="H165:L165"/>
    <mergeCell ref="M165:N165"/>
    <mergeCell ref="O165:U165"/>
    <mergeCell ref="V165:Z165"/>
    <mergeCell ref="AA165:AG165"/>
    <mergeCell ref="AH165:AL165"/>
    <mergeCell ref="AM165:AO165"/>
    <mergeCell ref="AM163:AO163"/>
    <mergeCell ref="AP163:AS163"/>
    <mergeCell ref="B164:C164"/>
    <mergeCell ref="D164:G164"/>
    <mergeCell ref="H164:L164"/>
    <mergeCell ref="M164:N164"/>
    <mergeCell ref="O164:R164"/>
    <mergeCell ref="S164:U164"/>
    <mergeCell ref="V164:Z164"/>
    <mergeCell ref="AA164:AG164"/>
    <mergeCell ref="AH164:AL164"/>
    <mergeCell ref="AM164:AO164"/>
    <mergeCell ref="AP164:AS164"/>
    <mergeCell ref="B163:C163"/>
    <mergeCell ref="D163:G163"/>
    <mergeCell ref="H163:L163"/>
    <mergeCell ref="M163:N163"/>
    <mergeCell ref="O163:R163"/>
    <mergeCell ref="S163:U163"/>
    <mergeCell ref="V163:Z163"/>
    <mergeCell ref="AA163:AG163"/>
    <mergeCell ref="AH163:AL163"/>
    <mergeCell ref="AM161:AO161"/>
    <mergeCell ref="AP161:AS161"/>
    <mergeCell ref="B162:C162"/>
    <mergeCell ref="D162:G162"/>
    <mergeCell ref="H162:L162"/>
    <mergeCell ref="M162:N162"/>
    <mergeCell ref="O162:R162"/>
    <mergeCell ref="S162:U162"/>
    <mergeCell ref="V162:Z162"/>
    <mergeCell ref="AA162:AG162"/>
    <mergeCell ref="AH162:AL162"/>
    <mergeCell ref="AM162:AO162"/>
    <mergeCell ref="AP162:AS162"/>
    <mergeCell ref="B161:C161"/>
    <mergeCell ref="D161:G161"/>
    <mergeCell ref="H161:L161"/>
    <mergeCell ref="M161:N161"/>
    <mergeCell ref="O161:R161"/>
    <mergeCell ref="S161:U161"/>
    <mergeCell ref="V161:Z161"/>
    <mergeCell ref="AA161:AG161"/>
    <mergeCell ref="AH161:AL161"/>
    <mergeCell ref="B160:C160"/>
    <mergeCell ref="D160:G160"/>
    <mergeCell ref="H160:L160"/>
    <mergeCell ref="M160:N160"/>
    <mergeCell ref="O160:R160"/>
    <mergeCell ref="S160:U160"/>
    <mergeCell ref="V160:Z160"/>
    <mergeCell ref="AA160:AG160"/>
    <mergeCell ref="AH160:AL160"/>
    <mergeCell ref="C147:E147"/>
    <mergeCell ref="C148:E148"/>
    <mergeCell ref="C149:E149"/>
    <mergeCell ref="B157:C159"/>
    <mergeCell ref="D157:G157"/>
    <mergeCell ref="H157:N157"/>
    <mergeCell ref="O157:U157"/>
    <mergeCell ref="V157:Z157"/>
    <mergeCell ref="AA157:AG157"/>
    <mergeCell ref="D158:G158"/>
    <mergeCell ref="H158:N158"/>
    <mergeCell ref="O158:U158"/>
    <mergeCell ref="V158:Z158"/>
    <mergeCell ref="AA158:AG158"/>
    <mergeCell ref="D159:G159"/>
    <mergeCell ref="H159:N159"/>
    <mergeCell ref="O159:U159"/>
    <mergeCell ref="V159:Z159"/>
    <mergeCell ref="AA159:AG159"/>
    <mergeCell ref="Q137:U137"/>
    <mergeCell ref="V137:Z137"/>
    <mergeCell ref="AA137:AE137"/>
    <mergeCell ref="C143:E143"/>
    <mergeCell ref="C144:E144"/>
    <mergeCell ref="C145:E145"/>
    <mergeCell ref="C146:E146"/>
    <mergeCell ref="Q138:U138"/>
    <mergeCell ref="V138:Z138"/>
    <mergeCell ref="AA138:AE138"/>
    <mergeCell ref="L137:P137"/>
    <mergeCell ref="L138:P138"/>
    <mergeCell ref="AF137:AJ138"/>
    <mergeCell ref="B134:F136"/>
    <mergeCell ref="Q134:U135"/>
    <mergeCell ref="V134:Z135"/>
    <mergeCell ref="AA134:AE135"/>
    <mergeCell ref="AF134:AJ135"/>
    <mergeCell ref="Q136:U136"/>
    <mergeCell ref="V136:Z136"/>
    <mergeCell ref="AA136:AE136"/>
    <mergeCell ref="AF136:AJ136"/>
    <mergeCell ref="L134:P136"/>
    <mergeCell ref="AU131:AY131"/>
    <mergeCell ref="G132:K132"/>
    <mergeCell ref="L132:P132"/>
    <mergeCell ref="Q132:U132"/>
    <mergeCell ref="V132:Z132"/>
    <mergeCell ref="AA132:AE132"/>
    <mergeCell ref="AF132:AJ132"/>
    <mergeCell ref="AK132:AO132"/>
    <mergeCell ref="AP132:AT132"/>
    <mergeCell ref="AU132:AY132"/>
    <mergeCell ref="B131:F132"/>
    <mergeCell ref="G131:K131"/>
    <mergeCell ref="L131:P131"/>
    <mergeCell ref="Q131:U131"/>
    <mergeCell ref="V131:Z131"/>
    <mergeCell ref="AA131:AE131"/>
    <mergeCell ref="AF131:AJ131"/>
    <mergeCell ref="AK131:AO131"/>
    <mergeCell ref="AP131:AT131"/>
    <mergeCell ref="G130:K130"/>
    <mergeCell ref="L130:P130"/>
    <mergeCell ref="Q130:U130"/>
    <mergeCell ref="V130:Z130"/>
    <mergeCell ref="AA130:AE130"/>
    <mergeCell ref="AF130:AJ130"/>
    <mergeCell ref="AK130:AO130"/>
    <mergeCell ref="AP130:AT130"/>
    <mergeCell ref="AU130:AY130"/>
    <mergeCell ref="AU128:AY128"/>
    <mergeCell ref="AP126:AT127"/>
    <mergeCell ref="Q129:U129"/>
    <mergeCell ref="V129:Z129"/>
    <mergeCell ref="AA129:AE129"/>
    <mergeCell ref="AF129:AJ129"/>
    <mergeCell ref="AK129:AO129"/>
    <mergeCell ref="AP129:AT129"/>
    <mergeCell ref="AU129:AY129"/>
    <mergeCell ref="B128:F128"/>
    <mergeCell ref="G128:K128"/>
    <mergeCell ref="L128:P128"/>
    <mergeCell ref="Q128:U128"/>
    <mergeCell ref="V128:Z128"/>
    <mergeCell ref="AA128:AE128"/>
    <mergeCell ref="AF128:AJ128"/>
    <mergeCell ref="AK128:AO128"/>
    <mergeCell ref="AP128:AT128"/>
    <mergeCell ref="M77:M78"/>
    <mergeCell ref="J77:L78"/>
    <mergeCell ref="O82:Q82"/>
    <mergeCell ref="R82:S82"/>
    <mergeCell ref="AA101:AC101"/>
    <mergeCell ref="F102:H102"/>
    <mergeCell ref="E104:G104"/>
    <mergeCell ref="AU126:AY127"/>
    <mergeCell ref="Q127:U127"/>
    <mergeCell ref="V127:Z127"/>
    <mergeCell ref="AA127:AE127"/>
    <mergeCell ref="AF127:AJ127"/>
    <mergeCell ref="AK127:AO127"/>
    <mergeCell ref="Y82:Z82"/>
    <mergeCell ref="N77:O77"/>
    <mergeCell ref="S77:U78"/>
    <mergeCell ref="V77:W78"/>
    <mergeCell ref="O95:Q95"/>
    <mergeCell ref="R95:S95"/>
    <mergeCell ref="V95:X95"/>
    <mergeCell ref="Y95:Z95"/>
    <mergeCell ref="C93:H94"/>
    <mergeCell ref="O93:P94"/>
    <mergeCell ref="L95:M95"/>
    <mergeCell ref="I59:M59"/>
    <mergeCell ref="N59:O59"/>
    <mergeCell ref="X60:Z60"/>
    <mergeCell ref="AB60:AD60"/>
    <mergeCell ref="M62:O62"/>
    <mergeCell ref="O63:P63"/>
    <mergeCell ref="Q63:Q64"/>
    <mergeCell ref="R63:T63"/>
    <mergeCell ref="X63:X64"/>
    <mergeCell ref="Y63:AA64"/>
    <mergeCell ref="AB63:AC64"/>
    <mergeCell ref="O64:P64"/>
    <mergeCell ref="R64:W64"/>
    <mergeCell ref="K63:M64"/>
    <mergeCell ref="N63:N64"/>
    <mergeCell ref="O50:P50"/>
    <mergeCell ref="R50:V50"/>
    <mergeCell ref="I51:P51"/>
    <mergeCell ref="C52:H53"/>
    <mergeCell ref="N52:O53"/>
    <mergeCell ref="L54:M54"/>
    <mergeCell ref="O54:Q54"/>
    <mergeCell ref="R54:S54"/>
    <mergeCell ref="V54:X54"/>
    <mergeCell ref="K49:M50"/>
    <mergeCell ref="N49:N50"/>
    <mergeCell ref="I44:M44"/>
    <mergeCell ref="N44:O44"/>
    <mergeCell ref="Q45:S45"/>
    <mergeCell ref="T45:U45"/>
    <mergeCell ref="O46:P46"/>
    <mergeCell ref="Q46:Q47"/>
    <mergeCell ref="R46:T46"/>
    <mergeCell ref="U46:V46"/>
    <mergeCell ref="W46:W47"/>
    <mergeCell ref="O47:P47"/>
    <mergeCell ref="R47:V47"/>
    <mergeCell ref="K46:M47"/>
    <mergeCell ref="N46:N47"/>
    <mergeCell ref="B36:C36"/>
    <mergeCell ref="D36:G36"/>
    <mergeCell ref="H36:L36"/>
    <mergeCell ref="M36:N36"/>
    <mergeCell ref="O36:R36"/>
    <mergeCell ref="S36:U36"/>
    <mergeCell ref="AA36:AG36"/>
    <mergeCell ref="AH36:AL36"/>
    <mergeCell ref="AM36:AO36"/>
    <mergeCell ref="B37:C37"/>
    <mergeCell ref="D37:G37"/>
    <mergeCell ref="H37:L37"/>
    <mergeCell ref="M37:N37"/>
    <mergeCell ref="O37:R37"/>
    <mergeCell ref="S37:U37"/>
    <mergeCell ref="AA37:AG37"/>
    <mergeCell ref="AH37:AL37"/>
    <mergeCell ref="AM37:AO37"/>
    <mergeCell ref="B35:C35"/>
    <mergeCell ref="D35:G35"/>
    <mergeCell ref="H35:L35"/>
    <mergeCell ref="M35:N35"/>
    <mergeCell ref="O35:R35"/>
    <mergeCell ref="S35:U35"/>
    <mergeCell ref="AA35:AG35"/>
    <mergeCell ref="AH35:AL35"/>
    <mergeCell ref="AM35:AO35"/>
    <mergeCell ref="C21:E21"/>
    <mergeCell ref="C22:E22"/>
    <mergeCell ref="C23:E23"/>
    <mergeCell ref="B31:C33"/>
    <mergeCell ref="D31:G31"/>
    <mergeCell ref="H31:N31"/>
    <mergeCell ref="O31:U31"/>
    <mergeCell ref="AA31:AG31"/>
    <mergeCell ref="AP31:AS31"/>
    <mergeCell ref="D32:G32"/>
    <mergeCell ref="H32:N32"/>
    <mergeCell ref="O32:U32"/>
    <mergeCell ref="AA32:AG32"/>
    <mergeCell ref="AH32:AO32"/>
    <mergeCell ref="AP32:AS32"/>
    <mergeCell ref="D33:G33"/>
    <mergeCell ref="H33:N33"/>
    <mergeCell ref="O33:U33"/>
    <mergeCell ref="AA33:AG33"/>
    <mergeCell ref="AH33:AO33"/>
    <mergeCell ref="AP33:AS33"/>
    <mergeCell ref="AH31:AO31"/>
    <mergeCell ref="AP9:AT10"/>
    <mergeCell ref="AU9:AY10"/>
    <mergeCell ref="AP11:AT11"/>
    <mergeCell ref="AU11:AY11"/>
    <mergeCell ref="B12:F13"/>
    <mergeCell ref="AP12:AT12"/>
    <mergeCell ref="AU12:AY12"/>
    <mergeCell ref="AP13:AT13"/>
    <mergeCell ref="AU13:AY13"/>
    <mergeCell ref="AF10:AJ10"/>
    <mergeCell ref="AF13:AJ13"/>
    <mergeCell ref="AK13:AO13"/>
    <mergeCell ref="AF12:AJ12"/>
    <mergeCell ref="AK12:AO12"/>
    <mergeCell ref="AK10:AO10"/>
    <mergeCell ref="AF11:AJ11"/>
    <mergeCell ref="AK11:AO11"/>
    <mergeCell ref="M200:O200"/>
    <mergeCell ref="J201:M202"/>
    <mergeCell ref="N201:O201"/>
    <mergeCell ref="P201:P202"/>
    <mergeCell ref="Q201:S201"/>
    <mergeCell ref="W201:W202"/>
    <mergeCell ref="X201:Z202"/>
    <mergeCell ref="AA201:AB202"/>
    <mergeCell ref="N4:S4"/>
    <mergeCell ref="T4:Y4"/>
    <mergeCell ref="N5:S5"/>
    <mergeCell ref="T5:Y5"/>
    <mergeCell ref="U108:U109"/>
    <mergeCell ref="AA10:AE10"/>
    <mergeCell ref="AA13:AE13"/>
    <mergeCell ref="AA12:AE12"/>
    <mergeCell ref="AA11:AE11"/>
    <mergeCell ref="B126:K127"/>
    <mergeCell ref="L126:P127"/>
    <mergeCell ref="Q126:AO126"/>
    <mergeCell ref="B129:F130"/>
    <mergeCell ref="G129:K129"/>
    <mergeCell ref="L129:P129"/>
    <mergeCell ref="B4:G4"/>
    <mergeCell ref="H4:M4"/>
    <mergeCell ref="B5:G5"/>
    <mergeCell ref="H5:M5"/>
    <mergeCell ref="Q10:U10"/>
    <mergeCell ref="V10:Z10"/>
    <mergeCell ref="G13:K13"/>
    <mergeCell ref="L13:P13"/>
    <mergeCell ref="Q13:U13"/>
    <mergeCell ref="V13:Z13"/>
    <mergeCell ref="G12:K12"/>
    <mergeCell ref="L12:P12"/>
    <mergeCell ref="Q12:U12"/>
    <mergeCell ref="V12:Z12"/>
    <mergeCell ref="B11:F11"/>
    <mergeCell ref="G11:K11"/>
    <mergeCell ref="L11:P11"/>
    <mergeCell ref="Q11:U11"/>
    <mergeCell ref="V11:Z11"/>
    <mergeCell ref="B9:F10"/>
    <mergeCell ref="G9:K10"/>
    <mergeCell ref="L9:P10"/>
    <mergeCell ref="Q9:AO9"/>
    <mergeCell ref="C18:E18"/>
    <mergeCell ref="C19:E19"/>
    <mergeCell ref="V31:Z31"/>
    <mergeCell ref="V33:Z33"/>
    <mergeCell ref="I65:P65"/>
    <mergeCell ref="C66:H67"/>
    <mergeCell ref="N66:O67"/>
    <mergeCell ref="L68:M68"/>
    <mergeCell ref="O68:Q68"/>
    <mergeCell ref="R68:S68"/>
    <mergeCell ref="B34:C34"/>
    <mergeCell ref="D34:G34"/>
    <mergeCell ref="H34:L34"/>
    <mergeCell ref="M34:N34"/>
    <mergeCell ref="O34:R34"/>
    <mergeCell ref="S34:U34"/>
    <mergeCell ref="B38:C38"/>
    <mergeCell ref="D38:G38"/>
    <mergeCell ref="H38:L38"/>
    <mergeCell ref="M38:N38"/>
    <mergeCell ref="O38:U38"/>
    <mergeCell ref="O49:P49"/>
    <mergeCell ref="Q49:Q50"/>
    <mergeCell ref="C20:E20"/>
    <mergeCell ref="I122:K122"/>
    <mergeCell ref="M122:P122"/>
    <mergeCell ref="R122:U122"/>
    <mergeCell ref="W122:Z122"/>
    <mergeCell ref="C96:G97"/>
    <mergeCell ref="F101:H101"/>
    <mergeCell ref="K101:L101"/>
    <mergeCell ref="M101:O101"/>
    <mergeCell ref="R101:S101"/>
    <mergeCell ref="T101:V101"/>
    <mergeCell ref="Y101:Z101"/>
    <mergeCell ref="C83:G84"/>
    <mergeCell ref="H88:O88"/>
    <mergeCell ref="O90:R90"/>
    <mergeCell ref="S90:S91"/>
    <mergeCell ref="Y90:Y91"/>
    <mergeCell ref="O91:R91"/>
    <mergeCell ref="P89:R89"/>
    <mergeCell ref="K90:M91"/>
    <mergeCell ref="N90:N91"/>
    <mergeCell ref="T90:V90"/>
    <mergeCell ref="T91:X91"/>
    <mergeCell ref="AH159:AO159"/>
    <mergeCell ref="AP159:AS159"/>
    <mergeCell ref="AM160:AO160"/>
    <mergeCell ref="AP160:AS160"/>
    <mergeCell ref="V32:Z32"/>
    <mergeCell ref="V34:Z34"/>
    <mergeCell ref="AA34:AG34"/>
    <mergeCell ref="AH34:AL34"/>
    <mergeCell ref="AM34:AO34"/>
    <mergeCell ref="V35:Z35"/>
    <mergeCell ref="V36:Z36"/>
    <mergeCell ref="V37:Z37"/>
    <mergeCell ref="V38:Z38"/>
    <mergeCell ref="AA38:AG38"/>
    <mergeCell ref="AH38:AL38"/>
    <mergeCell ref="AM38:AO38"/>
    <mergeCell ref="AP34:AS34"/>
    <mergeCell ref="AP35:AS35"/>
    <mergeCell ref="AP36:AS36"/>
    <mergeCell ref="AP37:AS37"/>
    <mergeCell ref="AP38:AS38"/>
    <mergeCell ref="X46:Z47"/>
    <mergeCell ref="V82:X82"/>
    <mergeCell ref="AA46:AB47"/>
    <mergeCell ref="Y54:Z54"/>
    <mergeCell ref="R49:T49"/>
    <mergeCell ref="U49:V49"/>
    <mergeCell ref="W49:W50"/>
    <mergeCell ref="X49:Z50"/>
    <mergeCell ref="AA49:AB50"/>
    <mergeCell ref="AH157:AO157"/>
    <mergeCell ref="AP157:AS157"/>
    <mergeCell ref="Z90:AB91"/>
    <mergeCell ref="AC90:AD91"/>
    <mergeCell ref="R77:R78"/>
    <mergeCell ref="AH158:AO158"/>
    <mergeCell ref="AP158:AS158"/>
    <mergeCell ref="V68:X68"/>
    <mergeCell ref="Y68:Z68"/>
    <mergeCell ref="L107:AD107"/>
    <mergeCell ref="AE107:AE108"/>
    <mergeCell ref="AF107:AG108"/>
    <mergeCell ref="L108:O108"/>
    <mergeCell ref="P108:P109"/>
    <mergeCell ref="Q108:T108"/>
    <mergeCell ref="V108:Y108"/>
    <mergeCell ref="Z108:Z109"/>
    <mergeCell ref="AA108:AD108"/>
    <mergeCell ref="L109:O109"/>
    <mergeCell ref="Q109:T109"/>
    <mergeCell ref="V109:Y109"/>
    <mergeCell ref="AA109:AD109"/>
    <mergeCell ref="I92:P92"/>
    <mergeCell ref="H76:O76"/>
    <mergeCell ref="N78:Q78"/>
    <mergeCell ref="I79:P79"/>
    <mergeCell ref="L82:M82"/>
    <mergeCell ref="C80:H81"/>
    <mergeCell ref="O80:P81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91"/>
  <sheetViews>
    <sheetView showGridLines="0" zoomScaleNormal="100" workbookViewId="0"/>
  </sheetViews>
  <sheetFormatPr defaultColWidth="8.77734375" defaultRowHeight="18" customHeight="1"/>
  <cols>
    <col min="1" max="1" width="2.77734375" style="118" customWidth="1"/>
    <col min="2" max="2" width="8.77734375" style="120"/>
    <col min="3" max="3" width="10.77734375" style="120" bestFit="1" customWidth="1"/>
    <col min="4" max="4" width="8.88671875" style="120" bestFit="1" customWidth="1"/>
    <col min="5" max="7" width="8.77734375" style="119"/>
    <col min="8" max="18" width="8.88671875" style="119" bestFit="1" customWidth="1"/>
    <col min="19" max="19" width="9.109375" style="119" bestFit="1" customWidth="1"/>
    <col min="20" max="21" width="8.88671875" style="119" bestFit="1" customWidth="1"/>
    <col min="22" max="24" width="8.88671875" style="118" bestFit="1" customWidth="1"/>
    <col min="25" max="25" width="8.77734375" style="118"/>
    <col min="26" max="26" width="8.88671875" style="118" bestFit="1" customWidth="1"/>
    <col min="27" max="16384" width="8.77734375" style="118"/>
  </cols>
  <sheetData>
    <row r="1" spans="1:30" ht="15" customHeight="1">
      <c r="A1" s="115" t="s">
        <v>184</v>
      </c>
      <c r="B1" s="116"/>
      <c r="C1" s="116"/>
      <c r="D1" s="116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</row>
    <row r="2" spans="1:30" ht="15" customHeight="1">
      <c r="B2" s="222" t="s">
        <v>185</v>
      </c>
      <c r="C2" s="222" t="s">
        <v>186</v>
      </c>
      <c r="D2" s="222" t="s">
        <v>187</v>
      </c>
      <c r="E2" s="222" t="s">
        <v>188</v>
      </c>
      <c r="F2" s="222" t="s">
        <v>189</v>
      </c>
      <c r="G2" s="222" t="s">
        <v>190</v>
      </c>
      <c r="H2" s="222" t="s">
        <v>191</v>
      </c>
      <c r="I2" s="222" t="s">
        <v>192</v>
      </c>
      <c r="J2" s="222" t="s">
        <v>193</v>
      </c>
      <c r="K2" s="222" t="s">
        <v>194</v>
      </c>
      <c r="L2" s="222" t="s">
        <v>195</v>
      </c>
      <c r="M2" s="222" t="s">
        <v>196</v>
      </c>
      <c r="N2" s="172" t="s">
        <v>110</v>
      </c>
      <c r="O2" s="172" t="s">
        <v>111</v>
      </c>
      <c r="P2" s="118"/>
      <c r="Q2" s="118"/>
      <c r="R2" s="118"/>
      <c r="S2" s="118"/>
      <c r="T2" s="118"/>
      <c r="U2" s="118"/>
    </row>
    <row r="3" spans="1:30" ht="15" customHeight="1">
      <c r="B3" s="165" t="e">
        <f>C3</f>
        <v>#DIV/0!</v>
      </c>
      <c r="C3" s="165" t="e">
        <f>AVERAGE(기본정보!B12:B13)</f>
        <v>#DIV/0!</v>
      </c>
      <c r="D3" s="202">
        <f>Length_9!A12</f>
        <v>0</v>
      </c>
      <c r="E3" s="202">
        <f>Length_9!B12</f>
        <v>0</v>
      </c>
      <c r="F3" s="202">
        <f>Length_9!C12</f>
        <v>0</v>
      </c>
      <c r="G3" s="202">
        <f>Length_9!D12</f>
        <v>0</v>
      </c>
      <c r="H3" s="165">
        <f>IF(F3="inch",25.4,IF(F3="μm",0.001,1))</f>
        <v>1</v>
      </c>
      <c r="I3" s="165">
        <f>Length_9!L4</f>
        <v>0</v>
      </c>
      <c r="J3" s="165">
        <f>Length_9!M4</f>
        <v>0</v>
      </c>
      <c r="K3" s="165">
        <f>Length_9!G4</f>
        <v>0</v>
      </c>
      <c r="L3" s="165">
        <f>Length_9!G6</f>
        <v>0</v>
      </c>
      <c r="M3" s="165">
        <f>Length_9!I4</f>
        <v>0</v>
      </c>
      <c r="N3" s="126" t="str">
        <f ca="1">IF(SUM(R23,R59)=0,"","초과")</f>
        <v/>
      </c>
      <c r="O3" s="203" t="str">
        <f ca="1">IF(SUM(AC8,AC41)=0,"PASS","FAIL")</f>
        <v>PASS</v>
      </c>
      <c r="P3" s="118"/>
      <c r="Q3" s="118"/>
      <c r="R3" s="118"/>
      <c r="S3" s="118"/>
      <c r="T3" s="118"/>
      <c r="U3" s="118"/>
    </row>
    <row r="4" spans="1:30" ht="15" customHeight="1">
      <c r="B4" s="116"/>
      <c r="C4" s="116"/>
      <c r="D4" s="116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</row>
    <row r="5" spans="1:30" ht="15" customHeight="1">
      <c r="A5" s="115" t="s">
        <v>197</v>
      </c>
      <c r="E5" s="120"/>
      <c r="F5" s="116"/>
      <c r="G5" s="121"/>
      <c r="H5" s="117"/>
      <c r="I5" s="117"/>
      <c r="J5" s="117"/>
      <c r="K5" s="117"/>
      <c r="L5" s="117"/>
      <c r="M5" s="117"/>
      <c r="N5" s="117"/>
      <c r="O5" s="117"/>
      <c r="P5" s="121"/>
      <c r="Q5" s="121"/>
      <c r="R5" s="121"/>
      <c r="S5" s="121"/>
      <c r="T5" s="121"/>
      <c r="U5" s="121"/>
      <c r="V5" s="121"/>
      <c r="W5" s="121"/>
    </row>
    <row r="6" spans="1:30" ht="15" customHeight="1">
      <c r="B6" s="501" t="s">
        <v>495</v>
      </c>
      <c r="C6" s="501" t="s">
        <v>496</v>
      </c>
      <c r="D6" s="501" t="s">
        <v>497</v>
      </c>
      <c r="E6" s="483" t="s">
        <v>498</v>
      </c>
      <c r="F6" s="491" t="s">
        <v>156</v>
      </c>
      <c r="G6" s="491" t="s">
        <v>499</v>
      </c>
      <c r="H6" s="507" t="s">
        <v>500</v>
      </c>
      <c r="I6" s="507"/>
      <c r="J6" s="507"/>
      <c r="K6" s="507"/>
      <c r="L6" s="507"/>
      <c r="M6" s="507"/>
      <c r="N6" s="493" t="s">
        <v>501</v>
      </c>
      <c r="O6" s="248" t="s">
        <v>502</v>
      </c>
      <c r="P6" s="248" t="s">
        <v>503</v>
      </c>
      <c r="Q6" s="248" t="s">
        <v>504</v>
      </c>
      <c r="R6" s="488" t="s">
        <v>198</v>
      </c>
      <c r="S6" s="490"/>
      <c r="T6" s="509" t="s">
        <v>505</v>
      </c>
      <c r="U6" s="509"/>
      <c r="V6" s="121"/>
      <c r="W6" s="510" t="s">
        <v>90</v>
      </c>
      <c r="X6" s="511"/>
      <c r="Y6" s="488" t="s">
        <v>506</v>
      </c>
      <c r="Z6" s="489"/>
      <c r="AA6" s="489"/>
      <c r="AB6" s="489"/>
      <c r="AC6" s="489"/>
      <c r="AD6" s="490"/>
    </row>
    <row r="7" spans="1:30" ht="15" customHeight="1">
      <c r="B7" s="501"/>
      <c r="C7" s="501"/>
      <c r="D7" s="501"/>
      <c r="E7" s="484"/>
      <c r="F7" s="503"/>
      <c r="G7" s="503"/>
      <c r="H7" s="173" t="s">
        <v>507</v>
      </c>
      <c r="I7" s="173" t="s">
        <v>161</v>
      </c>
      <c r="J7" s="173" t="s">
        <v>162</v>
      </c>
      <c r="K7" s="173" t="s">
        <v>163</v>
      </c>
      <c r="L7" s="173" t="s">
        <v>164</v>
      </c>
      <c r="M7" s="249" t="s">
        <v>508</v>
      </c>
      <c r="N7" s="494"/>
      <c r="O7" s="248" t="s">
        <v>509</v>
      </c>
      <c r="P7" s="248" t="s">
        <v>510</v>
      </c>
      <c r="Q7" s="248" t="s">
        <v>511</v>
      </c>
      <c r="R7" s="258" t="s">
        <v>543</v>
      </c>
      <c r="S7" s="258" t="s">
        <v>544</v>
      </c>
      <c r="T7" s="258" t="s">
        <v>543</v>
      </c>
      <c r="U7" s="258" t="s">
        <v>544</v>
      </c>
      <c r="V7" s="121"/>
      <c r="W7" s="251" t="s">
        <v>512</v>
      </c>
      <c r="X7" s="251" t="s">
        <v>513</v>
      </c>
      <c r="Y7" s="248" t="s">
        <v>514</v>
      </c>
      <c r="Z7" s="248" t="s">
        <v>91</v>
      </c>
      <c r="AA7" s="258" t="s">
        <v>544</v>
      </c>
      <c r="AB7" s="250" t="s">
        <v>515</v>
      </c>
      <c r="AC7" s="250" t="s">
        <v>516</v>
      </c>
      <c r="AD7" s="250" t="s">
        <v>542</v>
      </c>
    </row>
    <row r="8" spans="1:30" ht="15" customHeight="1">
      <c r="B8" s="501"/>
      <c r="C8" s="501"/>
      <c r="D8" s="501"/>
      <c r="E8" s="208">
        <f>F3</f>
        <v>0</v>
      </c>
      <c r="F8" s="492"/>
      <c r="G8" s="492"/>
      <c r="H8" s="173" t="s">
        <v>416</v>
      </c>
      <c r="I8" s="173" t="str">
        <f t="shared" ref="I8:Q8" si="0">H8</f>
        <v>mm</v>
      </c>
      <c r="J8" s="173" t="str">
        <f t="shared" si="0"/>
        <v>mm</v>
      </c>
      <c r="K8" s="173" t="str">
        <f t="shared" si="0"/>
        <v>mm</v>
      </c>
      <c r="L8" s="173" t="str">
        <f t="shared" si="0"/>
        <v>mm</v>
      </c>
      <c r="M8" s="173" t="str">
        <f t="shared" si="0"/>
        <v>mm</v>
      </c>
      <c r="N8" s="173" t="str">
        <f t="shared" si="0"/>
        <v>mm</v>
      </c>
      <c r="O8" s="173" t="str">
        <f t="shared" si="0"/>
        <v>mm</v>
      </c>
      <c r="P8" s="173" t="str">
        <f t="shared" si="0"/>
        <v>mm</v>
      </c>
      <c r="Q8" s="173" t="str">
        <f t="shared" si="0"/>
        <v>mm</v>
      </c>
      <c r="R8" s="208">
        <f>F3</f>
        <v>0</v>
      </c>
      <c r="S8" s="208">
        <f>R8</f>
        <v>0</v>
      </c>
      <c r="T8" s="208">
        <f>S8</f>
        <v>0</v>
      </c>
      <c r="U8" s="208">
        <f>T8</f>
        <v>0</v>
      </c>
      <c r="V8" s="121"/>
      <c r="W8" s="249">
        <f>R8</f>
        <v>0</v>
      </c>
      <c r="X8" s="249">
        <f>W8</f>
        <v>0</v>
      </c>
      <c r="Y8" s="249">
        <f>X8</f>
        <v>0</v>
      </c>
      <c r="Z8" s="249">
        <f>Y8</f>
        <v>0</v>
      </c>
      <c r="AA8" s="257">
        <f>Z8</f>
        <v>0</v>
      </c>
      <c r="AB8" s="249">
        <f>Z8</f>
        <v>0</v>
      </c>
      <c r="AC8" s="203">
        <f ca="1">IF(TYPE(MATCH("FAIL",AC9:AC10,0))=16,0,1)</f>
        <v>0</v>
      </c>
      <c r="AD8" s="250" t="s">
        <v>545</v>
      </c>
    </row>
    <row r="9" spans="1:30" ht="15" customHeight="1">
      <c r="B9" s="504">
        <f>Length_9!A4</f>
        <v>0</v>
      </c>
      <c r="C9" s="200">
        <f>Length_9!B4</f>
        <v>0</v>
      </c>
      <c r="D9" s="200">
        <f>Length_9!C4</f>
        <v>0</v>
      </c>
      <c r="E9" s="506">
        <f>E3</f>
        <v>0</v>
      </c>
      <c r="F9" s="200">
        <f>Length_9!E4</f>
        <v>0</v>
      </c>
      <c r="G9" s="171">
        <f>Length_9!F4</f>
        <v>0</v>
      </c>
      <c r="H9" s="171">
        <f>Length_9!Q4</f>
        <v>0</v>
      </c>
      <c r="I9" s="171">
        <f>Length_9!R4</f>
        <v>0</v>
      </c>
      <c r="J9" s="171">
        <f>Length_9!S4</f>
        <v>0</v>
      </c>
      <c r="K9" s="171">
        <f>Length_9!T4</f>
        <v>0</v>
      </c>
      <c r="L9" s="171">
        <f>Length_9!U4</f>
        <v>0</v>
      </c>
      <c r="M9" s="165">
        <f>AVERAGE(H9:L9)</f>
        <v>0</v>
      </c>
      <c r="N9" s="204">
        <f>STDEV(H9:L9)</f>
        <v>0</v>
      </c>
      <c r="O9" s="175">
        <f>M9</f>
        <v>0</v>
      </c>
      <c r="P9" s="174">
        <f>Length_9!D16</f>
        <v>0</v>
      </c>
      <c r="Q9" s="185">
        <f>O9+P9</f>
        <v>0</v>
      </c>
      <c r="R9" s="495">
        <f>AVERAGE(Q9:Q10)/H3</f>
        <v>0</v>
      </c>
      <c r="S9" s="495">
        <f>AVERAGE(P9:P10)/H3</f>
        <v>0</v>
      </c>
      <c r="T9" s="508" t="e">
        <f ca="1">ROUND(R9,$M$23)</f>
        <v>#DIV/0!</v>
      </c>
      <c r="U9" s="508" t="e">
        <f ca="1">ROUND(S9,$M$23)</f>
        <v>#DIV/0!</v>
      </c>
      <c r="V9" s="121"/>
      <c r="W9" s="165" t="e">
        <f ca="1">IF(Length_9!N4&lt;0,ROUNDUP(Length_9!N4/H3,$M$23),ROUNDDOWN(Length_9!N4/H3,$M$23))</f>
        <v>#DIV/0!</v>
      </c>
      <c r="X9" s="165" t="e">
        <f ca="1">IF(Length_9!O4&lt;0,ROUNDDOWN(Length_9!O4/H3,$M$23),ROUNDUP(Length_9!O4/H3,$M$23))</f>
        <v>#DIV/0!</v>
      </c>
      <c r="Y9" s="165" t="e">
        <f ca="1">TEXT(E9,IF(E9&gt;=1000,"# ##","")&amp;$P$23)</f>
        <v>#DIV/0!</v>
      </c>
      <c r="Z9" s="165" t="e">
        <f ca="1">TEXT(T9,IF(T9&gt;=1000,"# ##","")&amp;$P$23)</f>
        <v>#DIV/0!</v>
      </c>
      <c r="AA9" s="165" t="e">
        <f ca="1">TEXT(U9,IF(U9&gt;=1000,"# ##","")&amp;$P$23)</f>
        <v>#DIV/0!</v>
      </c>
      <c r="AB9" s="165" t="e">
        <f ca="1">"± "&amp;TEXT(X9-E9,P$23)</f>
        <v>#DIV/0!</v>
      </c>
      <c r="AC9" s="165" t="e">
        <f ca="1">IF(AND(W9&lt;=T9,T9&lt;=X9),"PASS","FAIL")</f>
        <v>#DIV/0!</v>
      </c>
      <c r="AD9" s="165" t="e">
        <f ca="1">TEXT(H$23,P$23)</f>
        <v>#DIV/0!</v>
      </c>
    </row>
    <row r="10" spans="1:30" ht="15" customHeight="1">
      <c r="B10" s="505"/>
      <c r="C10" s="200">
        <f>Length_9!B5</f>
        <v>0</v>
      </c>
      <c r="D10" s="200">
        <f>Length_9!C5</f>
        <v>0</v>
      </c>
      <c r="E10" s="505"/>
      <c r="F10" s="200">
        <f>Length_9!E5</f>
        <v>0</v>
      </c>
      <c r="G10" s="171">
        <f>Length_9!F5</f>
        <v>0</v>
      </c>
      <c r="H10" s="171">
        <f>Length_9!Q5</f>
        <v>0</v>
      </c>
      <c r="I10" s="171">
        <f>Length_9!R5</f>
        <v>0</v>
      </c>
      <c r="J10" s="171">
        <f>Length_9!S5</f>
        <v>0</v>
      </c>
      <c r="K10" s="171">
        <f>Length_9!T5</f>
        <v>0</v>
      </c>
      <c r="L10" s="171">
        <f>Length_9!U5</f>
        <v>0</v>
      </c>
      <c r="M10" s="165">
        <f t="shared" ref="M10" si="1">AVERAGE(H10:L10)</f>
        <v>0</v>
      </c>
      <c r="N10" s="204">
        <f>STDEV(H10:L10)</f>
        <v>0</v>
      </c>
      <c r="O10" s="175">
        <f>M10</f>
        <v>0</v>
      </c>
      <c r="P10" s="174">
        <f>Length_9!D17</f>
        <v>0</v>
      </c>
      <c r="Q10" s="185">
        <f>O10+P10</f>
        <v>0</v>
      </c>
      <c r="R10" s="497"/>
      <c r="S10" s="497"/>
      <c r="T10" s="500"/>
      <c r="U10" s="500"/>
      <c r="V10" s="121"/>
      <c r="W10" s="165"/>
      <c r="X10" s="165"/>
      <c r="Y10" s="165"/>
      <c r="Z10" s="165"/>
      <c r="AA10" s="165"/>
      <c r="AB10" s="165"/>
      <c r="AC10" s="165"/>
      <c r="AD10" s="165"/>
    </row>
    <row r="11" spans="1:30" ht="15" customHeight="1"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21"/>
      <c r="U11" s="118"/>
    </row>
    <row r="12" spans="1:30" ht="15" customHeight="1">
      <c r="A12" s="115" t="s">
        <v>199</v>
      </c>
      <c r="C12" s="116"/>
      <c r="D12" s="116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30" ht="15" customHeight="1">
      <c r="A13" s="115"/>
      <c r="B13" s="483"/>
      <c r="C13" s="483" t="s">
        <v>200</v>
      </c>
      <c r="D13" s="491" t="s">
        <v>201</v>
      </c>
      <c r="E13" s="483" t="s">
        <v>202</v>
      </c>
      <c r="F13" s="483" t="s">
        <v>193</v>
      </c>
      <c r="G13" s="488">
        <v>1</v>
      </c>
      <c r="H13" s="489"/>
      <c r="I13" s="489"/>
      <c r="J13" s="489"/>
      <c r="K13" s="490"/>
      <c r="L13" s="222">
        <v>2</v>
      </c>
      <c r="M13" s="488">
        <v>3</v>
      </c>
      <c r="N13" s="489"/>
      <c r="O13" s="489"/>
      <c r="P13" s="490"/>
      <c r="Q13" s="488">
        <v>4</v>
      </c>
      <c r="R13" s="490"/>
      <c r="S13" s="222">
        <v>5</v>
      </c>
      <c r="T13" s="483" t="s">
        <v>571</v>
      </c>
      <c r="U13" s="488" t="s">
        <v>569</v>
      </c>
      <c r="V13" s="490"/>
    </row>
    <row r="14" spans="1:30" ht="15" customHeight="1">
      <c r="A14" s="115"/>
      <c r="B14" s="484"/>
      <c r="C14" s="484"/>
      <c r="D14" s="492"/>
      <c r="E14" s="484"/>
      <c r="F14" s="484"/>
      <c r="G14" s="253" t="s">
        <v>537</v>
      </c>
      <c r="H14" s="253" t="s">
        <v>538</v>
      </c>
      <c r="I14" s="253" t="s">
        <v>539</v>
      </c>
      <c r="J14" s="488" t="s">
        <v>204</v>
      </c>
      <c r="K14" s="490"/>
      <c r="L14" s="222" t="s">
        <v>205</v>
      </c>
      <c r="M14" s="488" t="s">
        <v>203</v>
      </c>
      <c r="N14" s="490"/>
      <c r="O14" s="488" t="s">
        <v>206</v>
      </c>
      <c r="P14" s="490"/>
      <c r="Q14" s="488" t="s">
        <v>207</v>
      </c>
      <c r="R14" s="490"/>
      <c r="S14" s="222" t="s">
        <v>208</v>
      </c>
      <c r="T14" s="512"/>
      <c r="U14" s="273" t="s">
        <v>222</v>
      </c>
      <c r="V14" s="273" t="s">
        <v>570</v>
      </c>
    </row>
    <row r="15" spans="1:30" ht="15" customHeight="1">
      <c r="B15" s="222" t="s">
        <v>209</v>
      </c>
      <c r="C15" s="177" t="s">
        <v>210</v>
      </c>
      <c r="D15" s="178" t="s">
        <v>211</v>
      </c>
      <c r="E15" s="165">
        <f>P9</f>
        <v>0</v>
      </c>
      <c r="F15" s="179" t="s">
        <v>212</v>
      </c>
      <c r="G15" s="165">
        <f>Length_9!F16</f>
        <v>0</v>
      </c>
      <c r="H15" s="165">
        <f>Length_9!G16</f>
        <v>0</v>
      </c>
      <c r="I15" s="165">
        <f>Length_9!I16</f>
        <v>0</v>
      </c>
      <c r="J15" s="188" t="e">
        <f>SQRT(SUMSQ(G15,H15*F9))/I15</f>
        <v>#DIV/0!</v>
      </c>
      <c r="K15" s="167" t="s">
        <v>213</v>
      </c>
      <c r="L15" s="181" t="s">
        <v>214</v>
      </c>
      <c r="M15" s="165"/>
      <c r="N15" s="165"/>
      <c r="O15" s="175">
        <v>1</v>
      </c>
      <c r="P15" s="165"/>
      <c r="Q15" s="182" t="e">
        <f>ABS(J15*O15)</f>
        <v>#DIV/0!</v>
      </c>
      <c r="R15" s="167" t="s">
        <v>213</v>
      </c>
      <c r="S15" s="165" t="s">
        <v>215</v>
      </c>
      <c r="T15" s="185">
        <f>IF(S15="∞",0,Q15^4/S15)</f>
        <v>0</v>
      </c>
      <c r="U15" s="182" t="str">
        <f t="shared" ref="U15:U18" si="2">IF(OR(L15="직사각형",L15="삼각형"),Q15,"")</f>
        <v/>
      </c>
      <c r="V15" s="182" t="e">
        <f>IF(OR(L15="직사각형",L15="삼각형"),"",Q15)</f>
        <v>#DIV/0!</v>
      </c>
    </row>
    <row r="16" spans="1:30" ht="15" customHeight="1">
      <c r="B16" s="222" t="s">
        <v>216</v>
      </c>
      <c r="C16" s="177" t="s">
        <v>217</v>
      </c>
      <c r="D16" s="178" t="s">
        <v>218</v>
      </c>
      <c r="E16" s="165">
        <f>O9</f>
        <v>0</v>
      </c>
      <c r="F16" s="179" t="s">
        <v>219</v>
      </c>
      <c r="G16" s="205">
        <f>IF(MAX(N9:N10)=0,I3*1000,MAX(N9:N10)*1000)</f>
        <v>0</v>
      </c>
      <c r="H16" s="165">
        <f>IF(MAX(N9:N10)=0,2,1)</f>
        <v>2</v>
      </c>
      <c r="I16" s="183">
        <f>IF(MAX(N9:N10)=0,3,5)</f>
        <v>3</v>
      </c>
      <c r="J16" s="188">
        <f>G16/(IF(H16="",1,H16)*SQRT(I16))</f>
        <v>0</v>
      </c>
      <c r="K16" s="167" t="s">
        <v>213</v>
      </c>
      <c r="L16" s="181" t="str">
        <f>IF(MAX(N9:N10)=0,"직사각형","t")</f>
        <v>직사각형</v>
      </c>
      <c r="M16" s="165"/>
      <c r="N16" s="165"/>
      <c r="O16" s="175">
        <v>1</v>
      </c>
      <c r="P16" s="165"/>
      <c r="Q16" s="182">
        <f t="shared" ref="Q16:Q18" si="3">ABS(J16*O16)</f>
        <v>0</v>
      </c>
      <c r="R16" s="167" t="s">
        <v>213</v>
      </c>
      <c r="S16" s="165" t="str">
        <f>IF(MAX(N9:N10)=0,"∞",I16-1)</f>
        <v>∞</v>
      </c>
      <c r="T16" s="185">
        <f>IF(S16="∞",0,Q16^4/S16)</f>
        <v>0</v>
      </c>
      <c r="U16" s="182">
        <f t="shared" si="2"/>
        <v>0</v>
      </c>
      <c r="V16" s="182" t="str">
        <f t="shared" ref="V16:V18" si="4">IF(OR(L16="직사각형",L16="삼각형"),"",Q16)</f>
        <v/>
      </c>
    </row>
    <row r="17" spans="2:22" ht="15" customHeight="1">
      <c r="B17" s="222" t="s">
        <v>220</v>
      </c>
      <c r="C17" s="177" t="s">
        <v>221</v>
      </c>
      <c r="D17" s="178" t="s">
        <v>595</v>
      </c>
      <c r="E17" s="165">
        <v>0</v>
      </c>
      <c r="F17" s="179" t="s">
        <v>212</v>
      </c>
      <c r="G17" s="165">
        <v>1</v>
      </c>
      <c r="H17" s="166"/>
      <c r="I17" s="183">
        <v>3</v>
      </c>
      <c r="J17" s="188">
        <f>G17/(IF(H17="",1,H17)*SQRT(I17))</f>
        <v>0.57735026918962584</v>
      </c>
      <c r="K17" s="167" t="s">
        <v>213</v>
      </c>
      <c r="L17" s="181" t="s">
        <v>222</v>
      </c>
      <c r="M17" s="165"/>
      <c r="N17" s="165"/>
      <c r="O17" s="175">
        <v>1</v>
      </c>
      <c r="P17" s="165"/>
      <c r="Q17" s="182">
        <f t="shared" si="3"/>
        <v>0.57735026918962584</v>
      </c>
      <c r="R17" s="167" t="s">
        <v>213</v>
      </c>
      <c r="S17" s="165" t="s">
        <v>215</v>
      </c>
      <c r="T17" s="185">
        <f>IF(S17="∞",0,Q17^4/S17)</f>
        <v>0</v>
      </c>
      <c r="U17" s="182">
        <f t="shared" si="2"/>
        <v>0.57735026918962584</v>
      </c>
      <c r="V17" s="182" t="str">
        <f t="shared" si="4"/>
        <v/>
      </c>
    </row>
    <row r="18" spans="2:22" ht="15" customHeight="1">
      <c r="B18" s="222" t="s">
        <v>223</v>
      </c>
      <c r="C18" s="177" t="s">
        <v>192</v>
      </c>
      <c r="D18" s="178" t="s">
        <v>594</v>
      </c>
      <c r="E18" s="165">
        <v>0</v>
      </c>
      <c r="F18" s="179" t="s">
        <v>219</v>
      </c>
      <c r="G18" s="165">
        <f>I3*1000</f>
        <v>0</v>
      </c>
      <c r="H18" s="165">
        <v>2</v>
      </c>
      <c r="I18" s="183">
        <v>3</v>
      </c>
      <c r="J18" s="188">
        <f>G18/(IF(H18="",1,H18)*SQRT(I18))</f>
        <v>0</v>
      </c>
      <c r="K18" s="167" t="s">
        <v>213</v>
      </c>
      <c r="L18" s="181" t="s">
        <v>222</v>
      </c>
      <c r="M18" s="165"/>
      <c r="N18" s="165"/>
      <c r="O18" s="175">
        <v>1</v>
      </c>
      <c r="P18" s="165"/>
      <c r="Q18" s="182">
        <f t="shared" si="3"/>
        <v>0</v>
      </c>
      <c r="R18" s="167" t="s">
        <v>213</v>
      </c>
      <c r="S18" s="165" t="s">
        <v>215</v>
      </c>
      <c r="T18" s="185">
        <f>IF(S18="∞",0,Q18^4/S18)</f>
        <v>0</v>
      </c>
      <c r="U18" s="182">
        <f t="shared" si="2"/>
        <v>0</v>
      </c>
      <c r="V18" s="182" t="str">
        <f t="shared" si="4"/>
        <v/>
      </c>
    </row>
    <row r="19" spans="2:22" ht="15" customHeight="1">
      <c r="B19" s="222" t="s">
        <v>224</v>
      </c>
      <c r="C19" s="177" t="s">
        <v>225</v>
      </c>
      <c r="D19" s="178" t="s">
        <v>226</v>
      </c>
      <c r="E19" s="165">
        <f>E16+E15</f>
        <v>0</v>
      </c>
      <c r="F19" s="179" t="s">
        <v>212</v>
      </c>
      <c r="G19" s="480"/>
      <c r="H19" s="481"/>
      <c r="I19" s="481"/>
      <c r="J19" s="481"/>
      <c r="K19" s="481"/>
      <c r="L19" s="481"/>
      <c r="M19" s="481"/>
      <c r="N19" s="481"/>
      <c r="O19" s="481"/>
      <c r="P19" s="482"/>
      <c r="Q19" s="184" t="e">
        <f>SQRT(SUMSQ(Q15:Q18))</f>
        <v>#DIV/0!</v>
      </c>
      <c r="R19" s="167" t="s">
        <v>227</v>
      </c>
      <c r="S19" s="176" t="str">
        <f>IF(T19=0,"∞",ROUNDDOWN(Q19^4/T19,0))</f>
        <v>∞</v>
      </c>
      <c r="T19" s="278">
        <f>SUM(T15:T18)</f>
        <v>0</v>
      </c>
      <c r="U19" s="255">
        <f>SQRT(SUMSQ(U15:U18))</f>
        <v>0.57735026918962584</v>
      </c>
      <c r="V19" s="255" t="e">
        <f>SQRT(SUMSQ(V15:V18))</f>
        <v>#DIV/0!</v>
      </c>
    </row>
    <row r="20" spans="2:22" ht="15" customHeight="1">
      <c r="T20" s="121"/>
      <c r="U20" s="121"/>
    </row>
    <row r="21" spans="2:22" ht="15" customHeight="1">
      <c r="B21" s="223"/>
      <c r="C21" s="488" t="s">
        <v>230</v>
      </c>
      <c r="D21" s="489"/>
      <c r="E21" s="489"/>
      <c r="F21" s="489"/>
      <c r="G21" s="490"/>
      <c r="H21" s="222" t="s">
        <v>231</v>
      </c>
      <c r="I21" s="222" t="s">
        <v>192</v>
      </c>
      <c r="J21" s="488" t="s">
        <v>580</v>
      </c>
      <c r="K21" s="489"/>
      <c r="L21" s="489"/>
      <c r="M21" s="490"/>
      <c r="N21" s="273" t="s">
        <v>232</v>
      </c>
      <c r="O21" s="488" t="s">
        <v>233</v>
      </c>
      <c r="P21" s="489"/>
      <c r="Q21" s="490"/>
      <c r="R21" s="483" t="s">
        <v>579</v>
      </c>
      <c r="S21" s="488" t="s">
        <v>581</v>
      </c>
      <c r="T21" s="490"/>
      <c r="U21" s="118"/>
    </row>
    <row r="22" spans="2:22" ht="15" customHeight="1">
      <c r="B22" s="223"/>
      <c r="C22" s="223">
        <v>1</v>
      </c>
      <c r="D22" s="223">
        <v>2</v>
      </c>
      <c r="E22" s="223" t="s">
        <v>234</v>
      </c>
      <c r="F22" s="223" t="s">
        <v>193</v>
      </c>
      <c r="G22" s="223" t="s">
        <v>235</v>
      </c>
      <c r="H22" s="173">
        <f>F3</f>
        <v>0</v>
      </c>
      <c r="I22" s="173">
        <f>H22</f>
        <v>0</v>
      </c>
      <c r="J22" s="273" t="s">
        <v>236</v>
      </c>
      <c r="K22" s="273" t="s">
        <v>582</v>
      </c>
      <c r="L22" s="273" t="s">
        <v>192</v>
      </c>
      <c r="M22" s="273" t="s">
        <v>231</v>
      </c>
      <c r="N22" s="272"/>
      <c r="O22" s="273" t="s">
        <v>236</v>
      </c>
      <c r="P22" s="273" t="s">
        <v>237</v>
      </c>
      <c r="Q22" s="273" t="s">
        <v>238</v>
      </c>
      <c r="R22" s="484"/>
      <c r="S22" s="280" t="s">
        <v>611</v>
      </c>
      <c r="T22" s="280" t="s">
        <v>612</v>
      </c>
      <c r="U22" s="118"/>
    </row>
    <row r="23" spans="2:22" ht="15" customHeight="1">
      <c r="B23" s="223" t="s">
        <v>230</v>
      </c>
      <c r="C23" s="123" t="e">
        <f ca="1">E34*Q19</f>
        <v>#DIV/0!</v>
      </c>
      <c r="D23" s="123"/>
      <c r="E23" s="123"/>
      <c r="F23" s="125" t="str">
        <f>R19</f>
        <v>μm</v>
      </c>
      <c r="G23" s="156" t="e">
        <f ca="1">C23/1000</f>
        <v>#DIV/0!</v>
      </c>
      <c r="H23" s="128" t="e">
        <f ca="1">MAX(G23:G24)/H3</f>
        <v>#DIV/0!</v>
      </c>
      <c r="I23" s="156">
        <f>I3/H3</f>
        <v>0</v>
      </c>
      <c r="J23" s="122" t="e">
        <f ca="1">IF(H23&lt;0.00001,6,IF(H23&lt;0.0001,5,IF(H23&lt;0.001,4,IF(H23&lt;0.01,3,IF(H23&lt;0.1,2,IF(H23&lt;1,1,IF(H23&lt;10,0,IF(H23&lt;100,-1,-2))))))))+K24</f>
        <v>#DIV/0!</v>
      </c>
      <c r="K23" s="122" t="e">
        <f ca="1">J23+IF(AND(H22="μm",I22="mm"),3,0)</f>
        <v>#DIV/0!</v>
      </c>
      <c r="L23" s="165">
        <f>IFERROR(LEN(I23)-FIND(".",I23),0)</f>
        <v>0</v>
      </c>
      <c r="M23" s="185" t="e">
        <f ca="1">IF(M24=TRUE,MIN(K23:L23),K23)</f>
        <v>#DIV/0!</v>
      </c>
      <c r="N23" s="156" t="e">
        <f ca="1">ABS((H23-ROUND(H23,M23))/H23*100)</f>
        <v>#DIV/0!</v>
      </c>
      <c r="O23" s="165" t="e">
        <f ca="1">OFFSET(P27,MATCH(J23,O28:O37,0),0)</f>
        <v>#DIV/0!</v>
      </c>
      <c r="P23" s="165" t="e">
        <f ca="1">OFFSET(P27,MATCH(M23,O28:O37,0),0)</f>
        <v>#DIV/0!</v>
      </c>
      <c r="Q23" s="165" t="str">
        <f ca="1">OFFSET(P27,MATCH(L23,O28:O37,0),0)</f>
        <v>0</v>
      </c>
      <c r="R23" s="126">
        <f ca="1">IFERROR(IF(H23=G23,0,1),0)</f>
        <v>0</v>
      </c>
      <c r="S23" s="130" t="e">
        <f ca="1">TEXT(IF(N23&gt;5,ROUNDUP(H23,M23),ROUND(H23,M23)),P23)</f>
        <v>#DIV/0!</v>
      </c>
      <c r="T23" s="130" t="e">
        <f ca="1">S23&amp;" "&amp;H22</f>
        <v>#DIV/0!</v>
      </c>
      <c r="U23" s="118"/>
    </row>
    <row r="24" spans="2:22" ht="15" customHeight="1">
      <c r="B24" s="223" t="s">
        <v>243</v>
      </c>
      <c r="C24" s="124">
        <f>$K$3</f>
        <v>0</v>
      </c>
      <c r="D24" s="125"/>
      <c r="E24" s="125"/>
      <c r="F24" s="125">
        <f>$M$3</f>
        <v>0</v>
      </c>
      <c r="G24" s="122">
        <f>SQRT(SUMSQ(C24,D24*E24))/1000</f>
        <v>0</v>
      </c>
      <c r="J24" s="273" t="s">
        <v>583</v>
      </c>
      <c r="K24" s="165">
        <f>IF(O24=TRUE,1,기본정보!$A$47)</f>
        <v>1</v>
      </c>
      <c r="L24" s="273" t="s">
        <v>584</v>
      </c>
      <c r="M24" s="165" t="b">
        <f>IF(O24=TRUE,FALSE,기본정보!$A$52)</f>
        <v>0</v>
      </c>
      <c r="N24" s="273" t="s">
        <v>585</v>
      </c>
      <c r="O24" s="165" t="b">
        <f>기본정보!$A$46=0</f>
        <v>1</v>
      </c>
      <c r="P24" s="121"/>
      <c r="Q24" s="121"/>
      <c r="R24" s="121"/>
      <c r="S24" s="121"/>
      <c r="T24" s="118"/>
      <c r="U24" s="118"/>
    </row>
    <row r="25" spans="2:22" ht="15" customHeight="1">
      <c r="B25" s="119"/>
      <c r="C25" s="119"/>
      <c r="D25" s="119"/>
      <c r="T25" s="118"/>
      <c r="U25" s="118"/>
    </row>
    <row r="26" spans="2:22" ht="15" customHeight="1">
      <c r="B26" s="127" t="s">
        <v>228</v>
      </c>
      <c r="C26" s="119"/>
      <c r="D26" s="119"/>
      <c r="I26" s="177" t="s">
        <v>53</v>
      </c>
      <c r="J26" s="177" t="s">
        <v>250</v>
      </c>
      <c r="K26" s="120"/>
      <c r="N26" s="120"/>
      <c r="O26" s="270" t="s">
        <v>251</v>
      </c>
      <c r="P26" s="270" t="s">
        <v>252</v>
      </c>
      <c r="S26" s="120"/>
      <c r="T26" s="118"/>
      <c r="U26" s="118"/>
    </row>
    <row r="27" spans="2:22" ht="15" customHeight="1">
      <c r="B27" s="513" t="s">
        <v>572</v>
      </c>
      <c r="C27" s="514"/>
      <c r="D27" s="483" t="s">
        <v>573</v>
      </c>
      <c r="E27" s="273" t="s">
        <v>574</v>
      </c>
      <c r="F27" s="273" t="s">
        <v>575</v>
      </c>
      <c r="G27" s="273" t="s">
        <v>576</v>
      </c>
      <c r="I27" s="177"/>
      <c r="J27" s="177">
        <v>95.45</v>
      </c>
      <c r="K27" s="120"/>
      <c r="N27" s="120"/>
      <c r="O27" s="274" t="s">
        <v>253</v>
      </c>
      <c r="P27" s="274" t="s">
        <v>254</v>
      </c>
      <c r="S27" s="120"/>
      <c r="T27" s="118"/>
      <c r="U27" s="118"/>
    </row>
    <row r="28" spans="2:22" ht="15" customHeight="1">
      <c r="B28" s="272" t="s">
        <v>577</v>
      </c>
      <c r="C28" s="279" t="s">
        <v>578</v>
      </c>
      <c r="D28" s="484"/>
      <c r="E28" s="271">
        <f>U19</f>
        <v>0.57735026918962584</v>
      </c>
      <c r="F28" s="271" t="e">
        <f>V19</f>
        <v>#DIV/0!</v>
      </c>
      <c r="G28" s="254" t="e">
        <f>F28/E28</f>
        <v>#DIV/0!</v>
      </c>
      <c r="I28" s="165">
        <v>1</v>
      </c>
      <c r="J28" s="165">
        <v>13.97</v>
      </c>
      <c r="K28" s="120"/>
      <c r="N28" s="120"/>
      <c r="O28" s="186">
        <v>0</v>
      </c>
      <c r="P28" s="187" t="s">
        <v>257</v>
      </c>
      <c r="S28" s="120"/>
      <c r="T28" s="118"/>
      <c r="U28" s="118"/>
    </row>
    <row r="29" spans="2:22" ht="15" customHeight="1">
      <c r="B29" s="165">
        <v>1</v>
      </c>
      <c r="C29" s="182">
        <f>IFERROR(LARGE(U$15:U$18,B29),0)</f>
        <v>0.57735026918962584</v>
      </c>
      <c r="D29" s="253" t="s">
        <v>541</v>
      </c>
      <c r="E29" s="485" t="e">
        <f>SQRT(SUMSQ(C31:C32,V15:V18))</f>
        <v>#DIV/0!</v>
      </c>
      <c r="F29" s="485"/>
      <c r="G29" s="486" t="e">
        <f>E29/SQRT(SUMSQ(E30,F30))</f>
        <v>#DIV/0!</v>
      </c>
      <c r="I29" s="165">
        <v>2</v>
      </c>
      <c r="J29" s="165">
        <v>4.53</v>
      </c>
      <c r="K29" s="120"/>
      <c r="N29" s="120"/>
      <c r="O29" s="186">
        <v>1</v>
      </c>
      <c r="P29" s="187" t="s">
        <v>586</v>
      </c>
      <c r="S29" s="120"/>
      <c r="T29" s="118"/>
      <c r="U29" s="118"/>
    </row>
    <row r="30" spans="2:22" ht="15" customHeight="1">
      <c r="B30" s="165">
        <v>2</v>
      </c>
      <c r="C30" s="182">
        <f>IFERROR(LARGE(U$15:U$18,B30),0)</f>
        <v>0</v>
      </c>
      <c r="D30" s="253" t="s">
        <v>540</v>
      </c>
      <c r="E30" s="256">
        <f>C29</f>
        <v>0.57735026918962584</v>
      </c>
      <c r="F30" s="256">
        <f>C30</f>
        <v>0</v>
      </c>
      <c r="G30" s="487"/>
      <c r="I30" s="165">
        <v>3</v>
      </c>
      <c r="J30" s="165">
        <v>3.31</v>
      </c>
      <c r="K30" s="120"/>
      <c r="N30" s="120"/>
      <c r="O30" s="186">
        <v>2</v>
      </c>
      <c r="P30" s="187" t="s">
        <v>587</v>
      </c>
      <c r="S30" s="120"/>
      <c r="T30" s="118"/>
      <c r="U30" s="118"/>
    </row>
    <row r="31" spans="2:22" ht="15" customHeight="1">
      <c r="B31" s="165">
        <v>3</v>
      </c>
      <c r="C31" s="182">
        <f>IFERROR(LARGE(U$15:U$18,B31),0)</f>
        <v>0</v>
      </c>
      <c r="D31" s="483" t="s">
        <v>229</v>
      </c>
      <c r="E31" s="164" t="s">
        <v>239</v>
      </c>
      <c r="F31" s="164" t="s">
        <v>240</v>
      </c>
      <c r="G31" s="164" t="s">
        <v>241</v>
      </c>
      <c r="I31" s="165">
        <v>4</v>
      </c>
      <c r="J31" s="165">
        <v>2.87</v>
      </c>
      <c r="K31" s="120"/>
      <c r="N31" s="120"/>
      <c r="O31" s="186">
        <v>3</v>
      </c>
      <c r="P31" s="187" t="s">
        <v>269</v>
      </c>
      <c r="S31" s="120"/>
      <c r="T31" s="118"/>
      <c r="U31" s="118"/>
    </row>
    <row r="32" spans="2:22" ht="15" customHeight="1">
      <c r="B32" s="165">
        <v>4</v>
      </c>
      <c r="C32" s="182">
        <f>IFERROR(LARGE(U$15:U$18,B32),0)</f>
        <v>0</v>
      </c>
      <c r="D32" s="484"/>
      <c r="E32" s="165" t="e">
        <f ca="1">OFFSET(G14,MATCH(E30,U15:U18,0),0)/OFFSET(H14,MATCH(E30,U15:U18,0),0)</f>
        <v>#DIV/0!</v>
      </c>
      <c r="F32" s="165">
        <f ca="1">OFFSET(G14,MATCH(F30,U15:U18,0),0)/OFFSET(H14,MATCH(F30,U15:U18,0),0)</f>
        <v>0</v>
      </c>
      <c r="G32" s="220" t="e">
        <f ca="1">ABS(E32-F32)/(E32+F32)</f>
        <v>#DIV/0!</v>
      </c>
      <c r="I32" s="165">
        <v>5</v>
      </c>
      <c r="J32" s="165">
        <v>2.65</v>
      </c>
      <c r="K32" s="120"/>
      <c r="N32" s="120"/>
      <c r="O32" s="186">
        <v>4</v>
      </c>
      <c r="P32" s="187" t="s">
        <v>588</v>
      </c>
      <c r="S32" s="120"/>
      <c r="T32" s="118"/>
      <c r="U32" s="118"/>
    </row>
    <row r="33" spans="1:30" ht="15" customHeight="1">
      <c r="B33" s="165"/>
      <c r="C33" s="182"/>
      <c r="D33" s="222" t="s">
        <v>205</v>
      </c>
      <c r="E33" s="155" t="e">
        <f>IF(AND(G28&lt;0.3,G29&lt;0.3),"사다리꼴","정규")</f>
        <v>#DIV/0!</v>
      </c>
      <c r="I33" s="165">
        <v>6</v>
      </c>
      <c r="J33" s="165">
        <v>2.52</v>
      </c>
      <c r="K33" s="120"/>
      <c r="N33" s="120"/>
      <c r="O33" s="186">
        <v>5</v>
      </c>
      <c r="P33" s="187" t="s">
        <v>589</v>
      </c>
      <c r="S33" s="120"/>
      <c r="T33" s="118"/>
      <c r="U33" s="118"/>
    </row>
    <row r="34" spans="1:30" ht="15" customHeight="1">
      <c r="B34" s="165"/>
      <c r="C34" s="182"/>
      <c r="D34" s="222" t="s">
        <v>242</v>
      </c>
      <c r="E34" s="165" t="e">
        <f ca="1">IF(E33="정규",IF(OR(S19="∞",S19&gt;=10),2,OFFSET(J27,MATCH(S19,I28:I37,0),0)),ROUND((1-SQRT((1-0.95)*(1-G32^2)))/SQRT((1+G32^2)/6),2))</f>
        <v>#DIV/0!</v>
      </c>
      <c r="I34" s="165">
        <v>7</v>
      </c>
      <c r="J34" s="165">
        <v>2.4300000000000002</v>
      </c>
      <c r="K34" s="120"/>
      <c r="N34" s="120"/>
      <c r="O34" s="186">
        <v>6</v>
      </c>
      <c r="P34" s="187" t="s">
        <v>590</v>
      </c>
      <c r="S34" s="120"/>
      <c r="T34" s="118"/>
      <c r="U34" s="118"/>
    </row>
    <row r="35" spans="1:30" ht="15" customHeight="1">
      <c r="B35" s="116"/>
      <c r="C35" s="277"/>
      <c r="D35" s="116"/>
      <c r="E35" s="116"/>
      <c r="I35" s="165">
        <v>8</v>
      </c>
      <c r="J35" s="165">
        <v>2.37</v>
      </c>
      <c r="K35" s="120"/>
      <c r="N35" s="120"/>
      <c r="O35" s="186">
        <v>7</v>
      </c>
      <c r="P35" s="187" t="s">
        <v>591</v>
      </c>
      <c r="S35" s="120"/>
      <c r="T35" s="118"/>
      <c r="U35" s="118"/>
    </row>
    <row r="36" spans="1:30" ht="15" customHeight="1">
      <c r="B36" s="116"/>
      <c r="C36" s="277"/>
      <c r="D36" s="116"/>
      <c r="E36" s="116"/>
      <c r="I36" s="165">
        <v>9</v>
      </c>
      <c r="J36" s="165">
        <v>2.3199999999999998</v>
      </c>
      <c r="K36" s="120"/>
      <c r="N36" s="120"/>
      <c r="O36" s="186">
        <v>8</v>
      </c>
      <c r="P36" s="187" t="s">
        <v>592</v>
      </c>
      <c r="S36" s="120"/>
      <c r="T36" s="118"/>
      <c r="U36" s="118"/>
    </row>
    <row r="37" spans="1:30" ht="15" customHeight="1">
      <c r="B37" s="119"/>
      <c r="C37" s="119"/>
      <c r="D37" s="119"/>
      <c r="I37" s="165" t="s">
        <v>54</v>
      </c>
      <c r="J37" s="165">
        <v>2</v>
      </c>
      <c r="K37" s="120"/>
      <c r="N37" s="120"/>
      <c r="O37" s="186">
        <v>9</v>
      </c>
      <c r="P37" s="187" t="s">
        <v>593</v>
      </c>
      <c r="S37" s="120"/>
      <c r="T37" s="118"/>
      <c r="U37" s="118"/>
    </row>
    <row r="38" spans="1:30" ht="15" customHeight="1">
      <c r="A38" s="115" t="s">
        <v>244</v>
      </c>
      <c r="E38" s="120"/>
      <c r="F38" s="116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</row>
    <row r="39" spans="1:30" ht="15" customHeight="1">
      <c r="B39" s="501" t="s">
        <v>171</v>
      </c>
      <c r="C39" s="501" t="s">
        <v>496</v>
      </c>
      <c r="D39" s="501" t="s">
        <v>247</v>
      </c>
      <c r="E39" s="483" t="s">
        <v>517</v>
      </c>
      <c r="F39" s="491" t="s">
        <v>518</v>
      </c>
      <c r="G39" s="491" t="s">
        <v>519</v>
      </c>
      <c r="H39" s="507" t="s">
        <v>520</v>
      </c>
      <c r="I39" s="507"/>
      <c r="J39" s="507"/>
      <c r="K39" s="507"/>
      <c r="L39" s="507"/>
      <c r="M39" s="507"/>
      <c r="N39" s="493" t="s">
        <v>501</v>
      </c>
      <c r="O39" s="248" t="s">
        <v>502</v>
      </c>
      <c r="P39" s="248" t="s">
        <v>159</v>
      </c>
      <c r="Q39" s="248" t="s">
        <v>521</v>
      </c>
      <c r="R39" s="488" t="s">
        <v>522</v>
      </c>
      <c r="S39" s="490"/>
      <c r="T39" s="509" t="s">
        <v>505</v>
      </c>
      <c r="U39" s="509"/>
      <c r="V39" s="121"/>
      <c r="W39" s="510" t="s">
        <v>523</v>
      </c>
      <c r="X39" s="511"/>
      <c r="Y39" s="488" t="s">
        <v>524</v>
      </c>
      <c r="Z39" s="489"/>
      <c r="AA39" s="489"/>
      <c r="AB39" s="489"/>
      <c r="AC39" s="489"/>
      <c r="AD39" s="490"/>
    </row>
    <row r="40" spans="1:30" ht="15" customHeight="1">
      <c r="B40" s="501"/>
      <c r="C40" s="501"/>
      <c r="D40" s="501"/>
      <c r="E40" s="484"/>
      <c r="F40" s="503"/>
      <c r="G40" s="503"/>
      <c r="H40" s="173" t="s">
        <v>507</v>
      </c>
      <c r="I40" s="173" t="s">
        <v>161</v>
      </c>
      <c r="J40" s="173" t="s">
        <v>162</v>
      </c>
      <c r="K40" s="173" t="s">
        <v>163</v>
      </c>
      <c r="L40" s="173" t="s">
        <v>164</v>
      </c>
      <c r="M40" s="249" t="s">
        <v>525</v>
      </c>
      <c r="N40" s="494"/>
      <c r="O40" s="248" t="s">
        <v>526</v>
      </c>
      <c r="P40" s="248" t="s">
        <v>527</v>
      </c>
      <c r="Q40" s="248" t="s">
        <v>528</v>
      </c>
      <c r="R40" s="258" t="s">
        <v>423</v>
      </c>
      <c r="S40" s="208" t="s">
        <v>546</v>
      </c>
      <c r="T40" s="258" t="s">
        <v>423</v>
      </c>
      <c r="U40" s="258" t="s">
        <v>544</v>
      </c>
      <c r="V40" s="121"/>
      <c r="W40" s="251" t="s">
        <v>529</v>
      </c>
      <c r="X40" s="251" t="s">
        <v>530</v>
      </c>
      <c r="Y40" s="248" t="s">
        <v>531</v>
      </c>
      <c r="Z40" s="248" t="s">
        <v>532</v>
      </c>
      <c r="AA40" s="258" t="s">
        <v>544</v>
      </c>
      <c r="AB40" s="250" t="s">
        <v>90</v>
      </c>
      <c r="AC40" s="250" t="s">
        <v>533</v>
      </c>
      <c r="AD40" s="250" t="s">
        <v>542</v>
      </c>
    </row>
    <row r="41" spans="1:30" ht="15" customHeight="1">
      <c r="B41" s="501"/>
      <c r="C41" s="501"/>
      <c r="D41" s="501"/>
      <c r="E41" s="208">
        <f>F3</f>
        <v>0</v>
      </c>
      <c r="F41" s="492"/>
      <c r="G41" s="492"/>
      <c r="H41" s="173" t="s">
        <v>534</v>
      </c>
      <c r="I41" s="173" t="str">
        <f t="shared" ref="I41:Q41" si="5">H41</f>
        <v>mm</v>
      </c>
      <c r="J41" s="173" t="str">
        <f t="shared" si="5"/>
        <v>mm</v>
      </c>
      <c r="K41" s="173" t="str">
        <f t="shared" si="5"/>
        <v>mm</v>
      </c>
      <c r="L41" s="173" t="str">
        <f t="shared" si="5"/>
        <v>mm</v>
      </c>
      <c r="M41" s="173" t="str">
        <f t="shared" si="5"/>
        <v>mm</v>
      </c>
      <c r="N41" s="173" t="str">
        <f t="shared" si="5"/>
        <v>mm</v>
      </c>
      <c r="O41" s="173" t="str">
        <f t="shared" si="5"/>
        <v>mm</v>
      </c>
      <c r="P41" s="173" t="str">
        <f t="shared" si="5"/>
        <v>mm</v>
      </c>
      <c r="Q41" s="173" t="str">
        <f t="shared" si="5"/>
        <v>mm</v>
      </c>
      <c r="R41" s="208">
        <f>F3</f>
        <v>0</v>
      </c>
      <c r="S41" s="208">
        <f>R41</f>
        <v>0</v>
      </c>
      <c r="T41" s="208">
        <f>S41</f>
        <v>0</v>
      </c>
      <c r="U41" s="208">
        <f>T41</f>
        <v>0</v>
      </c>
      <c r="V41" s="121"/>
      <c r="W41" s="249">
        <f>R41</f>
        <v>0</v>
      </c>
      <c r="X41" s="249">
        <f>W41</f>
        <v>0</v>
      </c>
      <c r="Y41" s="249">
        <f>X41</f>
        <v>0</v>
      </c>
      <c r="Z41" s="249">
        <f>Y41</f>
        <v>0</v>
      </c>
      <c r="AA41" s="257">
        <f>Z41</f>
        <v>0</v>
      </c>
      <c r="AB41" s="249">
        <f>Z41</f>
        <v>0</v>
      </c>
      <c r="AC41" s="203">
        <f ca="1">IF(TYPE(MATCH("FAIL",AC42:AC45,0))=16,0,1)</f>
        <v>0</v>
      </c>
      <c r="AD41" s="250" t="s">
        <v>545</v>
      </c>
    </row>
    <row r="42" spans="1:30" ht="15" customHeight="1">
      <c r="B42" s="504">
        <f>Length_9!A6</f>
        <v>0</v>
      </c>
      <c r="C42" s="504">
        <f>Length_9!B6</f>
        <v>0</v>
      </c>
      <c r="D42" s="200">
        <f>Length_9!C6</f>
        <v>0</v>
      </c>
      <c r="E42" s="506">
        <f>D3</f>
        <v>0</v>
      </c>
      <c r="F42" s="200">
        <f>Length_9!E6</f>
        <v>0</v>
      </c>
      <c r="G42" s="171">
        <f>Length_9!F6</f>
        <v>0</v>
      </c>
      <c r="H42" s="171">
        <f>Length_9!Q6</f>
        <v>0</v>
      </c>
      <c r="I42" s="171">
        <f>Length_9!R6</f>
        <v>0</v>
      </c>
      <c r="J42" s="171">
        <f>Length_9!S6</f>
        <v>0</v>
      </c>
      <c r="K42" s="171">
        <f>Length_9!T6</f>
        <v>0</v>
      </c>
      <c r="L42" s="171">
        <f>Length_9!U6</f>
        <v>0</v>
      </c>
      <c r="M42" s="165">
        <f>AVERAGE(H42:L42)</f>
        <v>0</v>
      </c>
      <c r="N42" s="204">
        <f>STDEV(H42:L42)</f>
        <v>0</v>
      </c>
      <c r="O42" s="175">
        <f t="shared" ref="O42:O45" si="6">M42</f>
        <v>0</v>
      </c>
      <c r="P42" s="174">
        <f>Length_9!D18</f>
        <v>0</v>
      </c>
      <c r="Q42" s="206" t="e">
        <f>(O42+P42)/G$3-R$9*H$3</f>
        <v>#DIV/0!</v>
      </c>
      <c r="R42" s="502" t="e">
        <f>AVERAGE(Q42:Q45)/H3</f>
        <v>#DIV/0!</v>
      </c>
      <c r="S42" s="495">
        <f>AVERAGE(P42:P45)/H3</f>
        <v>0</v>
      </c>
      <c r="T42" s="498" t="e">
        <f ca="1">ROUND(R42,$M$59)</f>
        <v>#DIV/0!</v>
      </c>
      <c r="U42" s="498" t="e">
        <f ca="1">ROUND(S42,$M$59)</f>
        <v>#DIV/0!</v>
      </c>
      <c r="V42" s="121"/>
      <c r="W42" s="165" t="e">
        <f ca="1">IF(Length_9!N6&lt;0,ROUNDUP(Length_9!N6/H3,$M$59),ROUNDDOWN(Length_9!N6/H3,$M$59))</f>
        <v>#DIV/0!</v>
      </c>
      <c r="X42" s="165" t="e">
        <f ca="1">IF(Length_9!O6&lt;0,ROUNDUP(Length_9!O6/H3,$M$59),ROUNDDOWN(Length_9!O6/H3,$M$59))</f>
        <v>#DIV/0!</v>
      </c>
      <c r="Y42" s="165" t="e">
        <f ca="1">TEXT(E42,IF(E42&gt;=1000,"# ##","")&amp;$P$59)</f>
        <v>#DIV/0!</v>
      </c>
      <c r="Z42" s="165" t="e">
        <f ca="1">TEXT(T42,IF(T42&gt;=1000,"# ##","")&amp;$P$59)</f>
        <v>#DIV/0!</v>
      </c>
      <c r="AA42" s="165" t="e">
        <f ca="1">TEXT(U42,IF(U42&gt;=1000,"# ##","")&amp;$P$59)</f>
        <v>#DIV/0!</v>
      </c>
      <c r="AB42" s="165" t="e">
        <f ca="1">"± "&amp;TEXT(X42-E42,P$59)</f>
        <v>#DIV/0!</v>
      </c>
      <c r="AC42" s="165" t="e">
        <f ca="1">IF(AND(W42&lt;=T42,T42&lt;=X42),"PASS","FAIL")</f>
        <v>#DIV/0!</v>
      </c>
      <c r="AD42" s="165" t="e">
        <f ca="1">TEXT(H$59,P$59)</f>
        <v>#DIV/0!</v>
      </c>
    </row>
    <row r="43" spans="1:30" ht="15" customHeight="1">
      <c r="B43" s="515"/>
      <c r="C43" s="505"/>
      <c r="D43" s="200">
        <f>Length_9!C7</f>
        <v>0</v>
      </c>
      <c r="E43" s="515"/>
      <c r="F43" s="200">
        <f>Length_9!E7</f>
        <v>0</v>
      </c>
      <c r="G43" s="171">
        <f>Length_9!F7</f>
        <v>0</v>
      </c>
      <c r="H43" s="171">
        <f>Length_9!Q7</f>
        <v>0</v>
      </c>
      <c r="I43" s="171">
        <f>Length_9!R7</f>
        <v>0</v>
      </c>
      <c r="J43" s="171">
        <f>Length_9!S7</f>
        <v>0</v>
      </c>
      <c r="K43" s="171">
        <f>Length_9!T7</f>
        <v>0</v>
      </c>
      <c r="L43" s="171">
        <f>Length_9!U7</f>
        <v>0</v>
      </c>
      <c r="M43" s="165">
        <f>AVERAGE(H43:L43)</f>
        <v>0</v>
      </c>
      <c r="N43" s="204">
        <f t="shared" ref="N43:N45" si="7">STDEV(H43:L43)</f>
        <v>0</v>
      </c>
      <c r="O43" s="175">
        <f t="shared" si="6"/>
        <v>0</v>
      </c>
      <c r="P43" s="174">
        <f>Length_9!D19</f>
        <v>0</v>
      </c>
      <c r="Q43" s="206" t="e">
        <f t="shared" ref="Q43:Q45" si="8">(O43+P43)/G$3-R$9*H$3</f>
        <v>#DIV/0!</v>
      </c>
      <c r="R43" s="496"/>
      <c r="S43" s="496"/>
      <c r="T43" s="499"/>
      <c r="U43" s="499"/>
      <c r="V43" s="121"/>
      <c r="W43" s="165"/>
      <c r="X43" s="165"/>
      <c r="Y43" s="165"/>
      <c r="Z43" s="165"/>
      <c r="AA43" s="165"/>
      <c r="AB43" s="165"/>
      <c r="AC43" s="165"/>
      <c r="AD43" s="165"/>
    </row>
    <row r="44" spans="1:30" ht="15" customHeight="1">
      <c r="B44" s="515"/>
      <c r="C44" s="504">
        <f>Length_9!B8</f>
        <v>0</v>
      </c>
      <c r="D44" s="200">
        <f>Length_9!C8</f>
        <v>0</v>
      </c>
      <c r="E44" s="515"/>
      <c r="F44" s="200">
        <f>Length_9!E8</f>
        <v>0</v>
      </c>
      <c r="G44" s="171">
        <f>Length_9!F8</f>
        <v>0</v>
      </c>
      <c r="H44" s="171">
        <f>Length_9!Q8</f>
        <v>0</v>
      </c>
      <c r="I44" s="171">
        <f>Length_9!R8</f>
        <v>0</v>
      </c>
      <c r="J44" s="171">
        <f>Length_9!S8</f>
        <v>0</v>
      </c>
      <c r="K44" s="171">
        <f>Length_9!T8</f>
        <v>0</v>
      </c>
      <c r="L44" s="171">
        <f>Length_9!U8</f>
        <v>0</v>
      </c>
      <c r="M44" s="165">
        <f>AVERAGE(H44:L44)</f>
        <v>0</v>
      </c>
      <c r="N44" s="204">
        <f t="shared" si="7"/>
        <v>0</v>
      </c>
      <c r="O44" s="175">
        <f t="shared" si="6"/>
        <v>0</v>
      </c>
      <c r="P44" s="174">
        <f>Length_9!D20</f>
        <v>0</v>
      </c>
      <c r="Q44" s="206" t="e">
        <f t="shared" si="8"/>
        <v>#DIV/0!</v>
      </c>
      <c r="R44" s="496"/>
      <c r="S44" s="496"/>
      <c r="T44" s="499"/>
      <c r="U44" s="499"/>
      <c r="V44" s="121"/>
      <c r="W44" s="165"/>
      <c r="X44" s="165"/>
      <c r="Y44" s="165"/>
      <c r="Z44" s="165"/>
      <c r="AA44" s="165"/>
      <c r="AB44" s="165"/>
      <c r="AC44" s="165"/>
      <c r="AD44" s="165"/>
    </row>
    <row r="45" spans="1:30" ht="15" customHeight="1">
      <c r="B45" s="505"/>
      <c r="C45" s="505"/>
      <c r="D45" s="200">
        <f>Length_9!C9</f>
        <v>0</v>
      </c>
      <c r="E45" s="505"/>
      <c r="F45" s="200">
        <f>Length_9!E9</f>
        <v>0</v>
      </c>
      <c r="G45" s="171">
        <f>Length_9!F9</f>
        <v>0</v>
      </c>
      <c r="H45" s="171">
        <f>Length_9!Q9</f>
        <v>0</v>
      </c>
      <c r="I45" s="171">
        <f>Length_9!R9</f>
        <v>0</v>
      </c>
      <c r="J45" s="171">
        <f>Length_9!S9</f>
        <v>0</v>
      </c>
      <c r="K45" s="171">
        <f>Length_9!T9</f>
        <v>0</v>
      </c>
      <c r="L45" s="171">
        <f>Length_9!U9</f>
        <v>0</v>
      </c>
      <c r="M45" s="165">
        <f>AVERAGE(H45:L45)</f>
        <v>0</v>
      </c>
      <c r="N45" s="204">
        <f t="shared" si="7"/>
        <v>0</v>
      </c>
      <c r="O45" s="175">
        <f t="shared" si="6"/>
        <v>0</v>
      </c>
      <c r="P45" s="174">
        <f>Length_9!D21</f>
        <v>0</v>
      </c>
      <c r="Q45" s="206" t="e">
        <f t="shared" si="8"/>
        <v>#DIV/0!</v>
      </c>
      <c r="R45" s="497"/>
      <c r="S45" s="497"/>
      <c r="T45" s="500"/>
      <c r="U45" s="500"/>
      <c r="V45" s="121"/>
      <c r="W45" s="165"/>
      <c r="X45" s="165"/>
      <c r="Y45" s="165"/>
      <c r="Z45" s="165"/>
      <c r="AA45" s="165"/>
      <c r="AB45" s="165"/>
      <c r="AC45" s="165"/>
      <c r="AD45" s="165"/>
    </row>
    <row r="46" spans="1:30" ht="15" customHeight="1">
      <c r="N46" s="117"/>
      <c r="O46" s="117"/>
      <c r="P46" s="117"/>
      <c r="Q46" s="117"/>
      <c r="R46" s="117"/>
      <c r="S46" s="117"/>
      <c r="T46" s="117"/>
      <c r="X46" s="117"/>
    </row>
    <row r="47" spans="1:30" ht="15" customHeight="1">
      <c r="A47" s="115" t="s">
        <v>249</v>
      </c>
      <c r="C47" s="116"/>
      <c r="D47" s="116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30" ht="15" customHeight="1">
      <c r="A48" s="115"/>
      <c r="B48" s="483"/>
      <c r="C48" s="483" t="s">
        <v>200</v>
      </c>
      <c r="D48" s="491" t="s">
        <v>201</v>
      </c>
      <c r="E48" s="483" t="s">
        <v>202</v>
      </c>
      <c r="F48" s="483" t="s">
        <v>193</v>
      </c>
      <c r="G48" s="488">
        <v>1</v>
      </c>
      <c r="H48" s="489"/>
      <c r="I48" s="489"/>
      <c r="J48" s="489"/>
      <c r="K48" s="490"/>
      <c r="L48" s="222">
        <v>2</v>
      </c>
      <c r="M48" s="488">
        <v>3</v>
      </c>
      <c r="N48" s="489"/>
      <c r="O48" s="489"/>
      <c r="P48" s="490"/>
      <c r="Q48" s="488">
        <v>4</v>
      </c>
      <c r="R48" s="490"/>
      <c r="S48" s="222">
        <v>5</v>
      </c>
      <c r="T48" s="483" t="s">
        <v>571</v>
      </c>
      <c r="U48" s="488" t="s">
        <v>569</v>
      </c>
      <c r="V48" s="490"/>
    </row>
    <row r="49" spans="1:22" ht="15" customHeight="1">
      <c r="A49" s="115"/>
      <c r="B49" s="484"/>
      <c r="C49" s="484"/>
      <c r="D49" s="492"/>
      <c r="E49" s="484"/>
      <c r="F49" s="484"/>
      <c r="G49" s="253" t="s">
        <v>537</v>
      </c>
      <c r="H49" s="253" t="s">
        <v>538</v>
      </c>
      <c r="I49" s="253" t="s">
        <v>539</v>
      </c>
      <c r="J49" s="488" t="s">
        <v>204</v>
      </c>
      <c r="K49" s="490"/>
      <c r="L49" s="222" t="s">
        <v>205</v>
      </c>
      <c r="M49" s="488" t="s">
        <v>203</v>
      </c>
      <c r="N49" s="490"/>
      <c r="O49" s="488" t="s">
        <v>206</v>
      </c>
      <c r="P49" s="490"/>
      <c r="Q49" s="488" t="s">
        <v>207</v>
      </c>
      <c r="R49" s="490"/>
      <c r="S49" s="222" t="s">
        <v>208</v>
      </c>
      <c r="T49" s="512"/>
      <c r="U49" s="273" t="s">
        <v>222</v>
      </c>
      <c r="V49" s="273" t="s">
        <v>570</v>
      </c>
    </row>
    <row r="50" spans="1:22" ht="15" customHeight="1">
      <c r="B50" s="222" t="s">
        <v>209</v>
      </c>
      <c r="C50" s="177" t="s">
        <v>255</v>
      </c>
      <c r="D50" s="178" t="s">
        <v>256</v>
      </c>
      <c r="E50" s="165">
        <f>AVERAGE(Q9:Q10)</f>
        <v>0</v>
      </c>
      <c r="F50" s="179" t="s">
        <v>212</v>
      </c>
      <c r="G50" s="165" t="e">
        <f ca="1">IF(N23&gt;5,ROUNDUP(H23,M23),ROUND(H23,M23))*IF(H22="mm",1000,1)</f>
        <v>#DIV/0!</v>
      </c>
      <c r="H50" s="180"/>
      <c r="I50" s="165" t="e">
        <f ca="1">E34</f>
        <v>#DIV/0!</v>
      </c>
      <c r="J50" s="188" t="e">
        <f ca="1">G50/I50</f>
        <v>#DIV/0!</v>
      </c>
      <c r="K50" s="167" t="s">
        <v>213</v>
      </c>
      <c r="L50" s="181" t="s">
        <v>214</v>
      </c>
      <c r="M50" s="165"/>
      <c r="N50" s="165"/>
      <c r="O50" s="175">
        <v>-1</v>
      </c>
      <c r="P50" s="165"/>
      <c r="Q50" s="182" t="e">
        <f t="shared" ref="Q50:Q51" ca="1" si="9">ABS(J50*O50)</f>
        <v>#DIV/0!</v>
      </c>
      <c r="R50" s="167" t="s">
        <v>213</v>
      </c>
      <c r="S50" s="165" t="s">
        <v>215</v>
      </c>
      <c r="T50" s="185">
        <f>IF(S50="∞",0,Q50^4/S50)</f>
        <v>0</v>
      </c>
      <c r="U50" s="182" t="str">
        <f t="shared" ref="U50:U54" si="10">IF(OR(L50="직사각형",L50="삼각형"),Q50,"")</f>
        <v/>
      </c>
      <c r="V50" s="182" t="e">
        <f ca="1">IF(OR(L50="직사각형",L50="삼각형"),"",Q50)</f>
        <v>#DIV/0!</v>
      </c>
    </row>
    <row r="51" spans="1:22" ht="15" customHeight="1">
      <c r="B51" s="222" t="s">
        <v>258</v>
      </c>
      <c r="C51" s="177" t="s">
        <v>210</v>
      </c>
      <c r="D51" s="178" t="s">
        <v>211</v>
      </c>
      <c r="E51" s="202" t="e">
        <f>P42/G3</f>
        <v>#DIV/0!</v>
      </c>
      <c r="F51" s="179" t="s">
        <v>212</v>
      </c>
      <c r="G51" s="180">
        <f>Length_9!F16</f>
        <v>0</v>
      </c>
      <c r="H51" s="165">
        <f>Length_9!G16</f>
        <v>0</v>
      </c>
      <c r="I51" s="165">
        <f>Length_9!I16</f>
        <v>0</v>
      </c>
      <c r="J51" s="188" t="e">
        <f>SQRT(SUMSQ(G51,H51*F42))/I51</f>
        <v>#DIV/0!</v>
      </c>
      <c r="K51" s="167" t="s">
        <v>213</v>
      </c>
      <c r="L51" s="181" t="s">
        <v>259</v>
      </c>
      <c r="M51" s="165"/>
      <c r="N51" s="165"/>
      <c r="O51" s="175">
        <v>1</v>
      </c>
      <c r="P51" s="165"/>
      <c r="Q51" s="182" t="e">
        <f t="shared" si="9"/>
        <v>#DIV/0!</v>
      </c>
      <c r="R51" s="167" t="s">
        <v>260</v>
      </c>
      <c r="S51" s="165" t="s">
        <v>261</v>
      </c>
      <c r="T51" s="185">
        <f>IF(S51="∞",0,Q51^4/S51)</f>
        <v>0</v>
      </c>
      <c r="U51" s="182" t="str">
        <f t="shared" si="10"/>
        <v/>
      </c>
      <c r="V51" s="182" t="e">
        <f t="shared" ref="V51:V54" si="11">IF(OR(L51="직사각형",L51="삼각형"),"",Q51)</f>
        <v>#DIV/0!</v>
      </c>
    </row>
    <row r="52" spans="1:22" ht="15" customHeight="1">
      <c r="B52" s="222" t="s">
        <v>263</v>
      </c>
      <c r="C52" s="177" t="s">
        <v>248</v>
      </c>
      <c r="D52" s="178" t="s">
        <v>264</v>
      </c>
      <c r="E52" s="202" t="e">
        <f>O42/G3</f>
        <v>#DIV/0!</v>
      </c>
      <c r="F52" s="179" t="s">
        <v>212</v>
      </c>
      <c r="G52" s="167">
        <f>IF(MAX(N42:N45)=0,I3*1000,MAX(N42:N45)*1000)</f>
        <v>0</v>
      </c>
      <c r="H52" s="166">
        <f>IF(MAX(N42:N45)=0,2,1)</f>
        <v>2</v>
      </c>
      <c r="I52" s="183">
        <f>IF(MAX(N42:N45)=0,3,5)</f>
        <v>3</v>
      </c>
      <c r="J52" s="188">
        <f>G52/H52/SQRT(I52)</f>
        <v>0</v>
      </c>
      <c r="K52" s="167" t="s">
        <v>260</v>
      </c>
      <c r="L52" s="181" t="str">
        <f>IF(MAX(N42:N45)=0,"직사각형","t")</f>
        <v>직사각형</v>
      </c>
      <c r="M52" s="165"/>
      <c r="N52" s="165"/>
      <c r="O52" s="175">
        <v>1</v>
      </c>
      <c r="P52" s="165"/>
      <c r="Q52" s="182">
        <f>ABS(J52*O52)</f>
        <v>0</v>
      </c>
      <c r="R52" s="167" t="s">
        <v>213</v>
      </c>
      <c r="S52" s="165" t="str">
        <f>IF(MAX(N42:N45)=0,"∞",I52-1)</f>
        <v>∞</v>
      </c>
      <c r="T52" s="185">
        <f>IF(S52="∞",0,Q52^4/S52)</f>
        <v>0</v>
      </c>
      <c r="U52" s="182">
        <f t="shared" si="10"/>
        <v>0</v>
      </c>
      <c r="V52" s="182" t="str">
        <f t="shared" si="11"/>
        <v/>
      </c>
    </row>
    <row r="53" spans="1:22" ht="15" customHeight="1">
      <c r="B53" s="222" t="s">
        <v>266</v>
      </c>
      <c r="C53" s="177" t="s">
        <v>267</v>
      </c>
      <c r="D53" s="178" t="s">
        <v>609</v>
      </c>
      <c r="E53" s="165">
        <v>0</v>
      </c>
      <c r="F53" s="179" t="s">
        <v>219</v>
      </c>
      <c r="G53" s="165">
        <v>1</v>
      </c>
      <c r="H53" s="166">
        <v>1</v>
      </c>
      <c r="I53" s="183">
        <v>3</v>
      </c>
      <c r="J53" s="188">
        <f>G53/H53/SQRT(I53)</f>
        <v>0.57735026918962584</v>
      </c>
      <c r="K53" s="167" t="s">
        <v>260</v>
      </c>
      <c r="L53" s="181" t="s">
        <v>268</v>
      </c>
      <c r="M53" s="165"/>
      <c r="N53" s="165"/>
      <c r="O53" s="175">
        <v>1</v>
      </c>
      <c r="P53" s="165"/>
      <c r="Q53" s="182">
        <f t="shared" ref="Q53:Q54" si="12">ABS(J53*O53)</f>
        <v>0.57735026918962584</v>
      </c>
      <c r="R53" s="167" t="s">
        <v>213</v>
      </c>
      <c r="S53" s="165" t="s">
        <v>261</v>
      </c>
      <c r="T53" s="185">
        <f>IF(S53="∞",0,Q53^4/S53)</f>
        <v>0</v>
      </c>
      <c r="U53" s="182">
        <f t="shared" si="10"/>
        <v>0.57735026918962584</v>
      </c>
      <c r="V53" s="182" t="str">
        <f t="shared" si="11"/>
        <v/>
      </c>
    </row>
    <row r="54" spans="1:22" ht="15" customHeight="1">
      <c r="B54" s="222" t="s">
        <v>270</v>
      </c>
      <c r="C54" s="177" t="s">
        <v>271</v>
      </c>
      <c r="D54" s="178" t="s">
        <v>610</v>
      </c>
      <c r="E54" s="165">
        <v>0</v>
      </c>
      <c r="F54" s="179" t="s">
        <v>219</v>
      </c>
      <c r="G54" s="165">
        <f>I3*1000</f>
        <v>0</v>
      </c>
      <c r="H54" s="165">
        <v>2</v>
      </c>
      <c r="I54" s="183">
        <v>3</v>
      </c>
      <c r="J54" s="188">
        <f>G54/H54/SQRT(I54)</f>
        <v>0</v>
      </c>
      <c r="K54" s="167" t="s">
        <v>260</v>
      </c>
      <c r="L54" s="181" t="s">
        <v>268</v>
      </c>
      <c r="M54" s="165"/>
      <c r="N54" s="165"/>
      <c r="O54" s="175">
        <v>1</v>
      </c>
      <c r="P54" s="165"/>
      <c r="Q54" s="182">
        <f t="shared" si="12"/>
        <v>0</v>
      </c>
      <c r="R54" s="167" t="s">
        <v>260</v>
      </c>
      <c r="S54" s="165" t="s">
        <v>215</v>
      </c>
      <c r="T54" s="185">
        <f>IF(S54="∞",0,Q54^4/S54)</f>
        <v>0</v>
      </c>
      <c r="U54" s="182">
        <f t="shared" si="10"/>
        <v>0</v>
      </c>
      <c r="V54" s="182" t="str">
        <f t="shared" si="11"/>
        <v/>
      </c>
    </row>
    <row r="55" spans="1:22" ht="15" customHeight="1">
      <c r="B55" s="222" t="s">
        <v>273</v>
      </c>
      <c r="C55" s="177" t="s">
        <v>274</v>
      </c>
      <c r="D55" s="178" t="s">
        <v>275</v>
      </c>
      <c r="E55" s="165" t="e">
        <f>E52-E50+E51</f>
        <v>#DIV/0!</v>
      </c>
      <c r="F55" s="179" t="s">
        <v>219</v>
      </c>
      <c r="G55" s="480"/>
      <c r="H55" s="481"/>
      <c r="I55" s="481"/>
      <c r="J55" s="481"/>
      <c r="K55" s="481"/>
      <c r="L55" s="481"/>
      <c r="M55" s="481"/>
      <c r="N55" s="481"/>
      <c r="O55" s="481"/>
      <c r="P55" s="482"/>
      <c r="Q55" s="184" t="e">
        <f ca="1">SQRT(SUMSQ(Q50:Q54))</f>
        <v>#DIV/0!</v>
      </c>
      <c r="R55" s="167" t="s">
        <v>213</v>
      </c>
      <c r="S55" s="176" t="str">
        <f>IF(T55=0,"∞",ROUNDDOWN(Q55^4/T55,0))</f>
        <v>∞</v>
      </c>
      <c r="T55" s="278">
        <f>SUM(T50:T54)</f>
        <v>0</v>
      </c>
      <c r="U55" s="255">
        <f>SQRT(SUMSQ(U50:U54))</f>
        <v>0.57735026918962584</v>
      </c>
      <c r="V55" s="255" t="e">
        <f ca="1">SQRT(SUMSQ(V50:V54))</f>
        <v>#DIV/0!</v>
      </c>
    </row>
    <row r="56" spans="1:22" ht="15" customHeight="1">
      <c r="T56" s="121"/>
      <c r="U56" s="121"/>
    </row>
    <row r="57" spans="1:22" ht="15" customHeight="1">
      <c r="B57" s="223"/>
      <c r="C57" s="488" t="s">
        <v>230</v>
      </c>
      <c r="D57" s="489"/>
      <c r="E57" s="489"/>
      <c r="F57" s="489"/>
      <c r="G57" s="490"/>
      <c r="H57" s="222" t="s">
        <v>231</v>
      </c>
      <c r="I57" s="222" t="s">
        <v>192</v>
      </c>
      <c r="J57" s="488" t="s">
        <v>580</v>
      </c>
      <c r="K57" s="489"/>
      <c r="L57" s="489"/>
      <c r="M57" s="490"/>
      <c r="N57" s="276" t="s">
        <v>232</v>
      </c>
      <c r="O57" s="488" t="s">
        <v>233</v>
      </c>
      <c r="P57" s="489"/>
      <c r="Q57" s="490"/>
      <c r="R57" s="483" t="s">
        <v>579</v>
      </c>
      <c r="S57" s="488" t="s">
        <v>581</v>
      </c>
      <c r="T57" s="490"/>
      <c r="U57" s="118"/>
    </row>
    <row r="58" spans="1:22" ht="15" customHeight="1">
      <c r="B58" s="223"/>
      <c r="C58" s="223">
        <v>1</v>
      </c>
      <c r="D58" s="223">
        <v>2</v>
      </c>
      <c r="E58" s="223" t="s">
        <v>234</v>
      </c>
      <c r="F58" s="223" t="s">
        <v>193</v>
      </c>
      <c r="G58" s="223" t="s">
        <v>281</v>
      </c>
      <c r="H58" s="173">
        <f>F3</f>
        <v>0</v>
      </c>
      <c r="I58" s="173">
        <f>H58</f>
        <v>0</v>
      </c>
      <c r="J58" s="276" t="s">
        <v>236</v>
      </c>
      <c r="K58" s="276" t="s">
        <v>237</v>
      </c>
      <c r="L58" s="276" t="s">
        <v>75</v>
      </c>
      <c r="M58" s="276" t="s">
        <v>231</v>
      </c>
      <c r="N58" s="275"/>
      <c r="O58" s="276" t="s">
        <v>236</v>
      </c>
      <c r="P58" s="276" t="s">
        <v>237</v>
      </c>
      <c r="Q58" s="276" t="s">
        <v>238</v>
      </c>
      <c r="R58" s="484"/>
      <c r="S58" s="280" t="s">
        <v>611</v>
      </c>
      <c r="T58" s="280" t="s">
        <v>612</v>
      </c>
      <c r="U58" s="118"/>
    </row>
    <row r="59" spans="1:22" ht="15" customHeight="1">
      <c r="B59" s="223" t="s">
        <v>230</v>
      </c>
      <c r="C59" s="123" t="e">
        <f ca="1">E70*Q55</f>
        <v>#DIV/0!</v>
      </c>
      <c r="D59" s="123"/>
      <c r="E59" s="123"/>
      <c r="F59" s="125" t="str">
        <f>R55</f>
        <v>μm</v>
      </c>
      <c r="G59" s="128" t="e">
        <f ca="1">C59/1000</f>
        <v>#DIV/0!</v>
      </c>
      <c r="H59" s="128" t="e">
        <f ca="1">MAX(G59:G60)/H3</f>
        <v>#DIV/0!</v>
      </c>
      <c r="I59" s="156">
        <f>I3/H3</f>
        <v>0</v>
      </c>
      <c r="J59" s="122" t="e">
        <f ca="1">IF(H59&lt;0.00001,6,IF(H59&lt;0.0001,5,IF(H59&lt;0.001,4,IF(H59&lt;0.01,3,IF(H59&lt;0.1,2,IF(H59&lt;1,1,IF(H59&lt;10,0,IF(H59&lt;100,-1,-2))))))))+K60</f>
        <v>#DIV/0!</v>
      </c>
      <c r="K59" s="122" t="e">
        <f ca="1">J59+IF(AND(H58="μm",I58="mm"),3,0)</f>
        <v>#DIV/0!</v>
      </c>
      <c r="L59" s="165">
        <f>IFERROR(LEN(I59)-FIND(".",I59),0)</f>
        <v>0</v>
      </c>
      <c r="M59" s="185" t="e">
        <f ca="1">IF(M60=TRUE,MIN(K59:L59),K59)</f>
        <v>#DIV/0!</v>
      </c>
      <c r="N59" s="156" t="e">
        <f ca="1">ABS((H59-ROUND(H59,M59))/H59*100)</f>
        <v>#DIV/0!</v>
      </c>
      <c r="O59" s="165" t="e">
        <f ca="1">OFFSET(P63,MATCH(J59,O64:O73,0),0)</f>
        <v>#DIV/0!</v>
      </c>
      <c r="P59" s="165" t="e">
        <f ca="1">OFFSET(P63,MATCH(M59,O64:O73,0),0)</f>
        <v>#DIV/0!</v>
      </c>
      <c r="Q59" s="165" t="str">
        <f ca="1">OFFSET(P63,MATCH(L59,O64:O73,0),0)</f>
        <v>0</v>
      </c>
      <c r="R59" s="126">
        <f ca="1">IFERROR(IF(H59=G59,0,1),0)</f>
        <v>0</v>
      </c>
      <c r="S59" s="130" t="e">
        <f ca="1">TEXT(IF(N59&gt;5,ROUNDUP(H59,M59),ROUND(H59,M59)),P59)</f>
        <v>#DIV/0!</v>
      </c>
      <c r="T59" s="130" t="e">
        <f ca="1">S59&amp;" "&amp;H58</f>
        <v>#DIV/0!</v>
      </c>
      <c r="U59" s="118"/>
    </row>
    <row r="60" spans="1:22" ht="15" customHeight="1">
      <c r="B60" s="223" t="s">
        <v>243</v>
      </c>
      <c r="C60" s="125">
        <f>$L$3</f>
        <v>0</v>
      </c>
      <c r="D60" s="125"/>
      <c r="E60" s="125"/>
      <c r="F60" s="125">
        <f>$M$3</f>
        <v>0</v>
      </c>
      <c r="G60" s="129">
        <f>SQRT(SUMSQ(C60,D60*E60))/1000</f>
        <v>0</v>
      </c>
      <c r="J60" s="269" t="s">
        <v>566</v>
      </c>
      <c r="K60" s="165">
        <f>IF(O60=TRUE,1,기본정보!$A$47)</f>
        <v>1</v>
      </c>
      <c r="L60" s="269" t="s">
        <v>567</v>
      </c>
      <c r="M60" s="165" t="b">
        <f>IF(O60=TRUE,FALSE,기본정보!$A$52)</f>
        <v>0</v>
      </c>
      <c r="N60" s="269" t="s">
        <v>568</v>
      </c>
      <c r="O60" s="165" t="b">
        <f>기본정보!$A$46=0</f>
        <v>1</v>
      </c>
      <c r="P60" s="121"/>
      <c r="Q60" s="118"/>
      <c r="R60" s="118"/>
      <c r="S60" s="118"/>
      <c r="T60" s="118"/>
      <c r="U60" s="118"/>
    </row>
    <row r="61" spans="1:22" ht="15" customHeight="1">
      <c r="B61" s="119"/>
      <c r="C61" s="119"/>
      <c r="D61" s="119"/>
      <c r="O61" s="121"/>
      <c r="P61" s="121"/>
      <c r="Q61" s="118"/>
      <c r="R61" s="118"/>
      <c r="S61" s="118"/>
      <c r="T61" s="118"/>
      <c r="U61" s="118"/>
    </row>
    <row r="62" spans="1:22" ht="15" customHeight="1">
      <c r="B62" s="127" t="s">
        <v>228</v>
      </c>
      <c r="C62" s="119"/>
      <c r="D62" s="119"/>
      <c r="I62" s="177" t="s">
        <v>53</v>
      </c>
      <c r="J62" s="177" t="s">
        <v>250</v>
      </c>
      <c r="K62" s="118"/>
      <c r="L62" s="118"/>
      <c r="M62" s="118"/>
      <c r="N62" s="118"/>
      <c r="O62" s="219" t="s">
        <v>251</v>
      </c>
      <c r="P62" s="219" t="s">
        <v>252</v>
      </c>
      <c r="Q62" s="118"/>
      <c r="R62" s="118"/>
      <c r="S62" s="118"/>
      <c r="T62" s="118"/>
      <c r="U62" s="118"/>
    </row>
    <row r="63" spans="1:22" ht="15" customHeight="1">
      <c r="B63" s="513" t="s">
        <v>572</v>
      </c>
      <c r="C63" s="514"/>
      <c r="D63" s="483" t="s">
        <v>573</v>
      </c>
      <c r="E63" s="273" t="s">
        <v>574</v>
      </c>
      <c r="F63" s="273" t="s">
        <v>575</v>
      </c>
      <c r="G63" s="273" t="s">
        <v>576</v>
      </c>
      <c r="I63" s="177"/>
      <c r="J63" s="177">
        <v>95.45</v>
      </c>
      <c r="K63" s="118"/>
      <c r="L63" s="118"/>
      <c r="M63" s="118"/>
      <c r="N63" s="118"/>
      <c r="O63" s="221" t="s">
        <v>253</v>
      </c>
      <c r="P63" s="221" t="s">
        <v>254</v>
      </c>
      <c r="Q63" s="118"/>
      <c r="R63" s="118"/>
      <c r="S63" s="118"/>
      <c r="T63" s="118"/>
      <c r="U63" s="118"/>
    </row>
    <row r="64" spans="1:22" ht="15" customHeight="1">
      <c r="B64" s="272" t="s">
        <v>577</v>
      </c>
      <c r="C64" s="279" t="s">
        <v>578</v>
      </c>
      <c r="D64" s="484"/>
      <c r="E64" s="271">
        <f>U55</f>
        <v>0.57735026918962584</v>
      </c>
      <c r="F64" s="271" t="e">
        <f ca="1">V55</f>
        <v>#DIV/0!</v>
      </c>
      <c r="G64" s="254" t="e">
        <f ca="1">F64/E64</f>
        <v>#DIV/0!</v>
      </c>
      <c r="I64" s="165">
        <v>1</v>
      </c>
      <c r="J64" s="165">
        <v>13.97</v>
      </c>
      <c r="K64" s="118"/>
      <c r="L64" s="118"/>
      <c r="M64" s="118"/>
      <c r="N64" s="118"/>
      <c r="O64" s="186">
        <v>0</v>
      </c>
      <c r="P64" s="187" t="s">
        <v>257</v>
      </c>
      <c r="Q64" s="118"/>
      <c r="R64" s="118"/>
      <c r="S64" s="118"/>
      <c r="T64" s="118"/>
      <c r="U64" s="118"/>
    </row>
    <row r="65" spans="2:21" ht="15" customHeight="1">
      <c r="B65" s="165">
        <v>1</v>
      </c>
      <c r="C65" s="182">
        <f>IFERROR(LARGE(U$50:U$54,B65),0)</f>
        <v>0.57735026918962584</v>
      </c>
      <c r="D65" s="253" t="s">
        <v>541</v>
      </c>
      <c r="E65" s="485" t="e">
        <f ca="1">SQRT(SUMSQ(C67:C69,V50:V54))</f>
        <v>#DIV/0!</v>
      </c>
      <c r="F65" s="485"/>
      <c r="G65" s="486" t="e">
        <f ca="1">E65/SQRT(SUMSQ(E66,F66))</f>
        <v>#DIV/0!</v>
      </c>
      <c r="I65" s="165">
        <v>2</v>
      </c>
      <c r="J65" s="165">
        <v>4.53</v>
      </c>
      <c r="K65" s="118"/>
      <c r="L65" s="118"/>
      <c r="M65" s="118"/>
      <c r="N65" s="118"/>
      <c r="O65" s="186">
        <v>1</v>
      </c>
      <c r="P65" s="187" t="s">
        <v>262</v>
      </c>
      <c r="Q65" s="118"/>
      <c r="R65" s="118"/>
      <c r="S65" s="118"/>
      <c r="T65" s="118"/>
      <c r="U65" s="118"/>
    </row>
    <row r="66" spans="2:21" ht="15" customHeight="1">
      <c r="B66" s="165">
        <v>2</v>
      </c>
      <c r="C66" s="182">
        <f>IFERROR(LARGE(U$50:U$54,B66),0)</f>
        <v>0</v>
      </c>
      <c r="D66" s="253" t="s">
        <v>540</v>
      </c>
      <c r="E66" s="256">
        <f>C65</f>
        <v>0.57735026918962584</v>
      </c>
      <c r="F66" s="256">
        <f>C66</f>
        <v>0</v>
      </c>
      <c r="G66" s="487"/>
      <c r="I66" s="165">
        <v>3</v>
      </c>
      <c r="J66" s="165">
        <v>3.31</v>
      </c>
      <c r="K66" s="118"/>
      <c r="L66" s="118"/>
      <c r="M66" s="118"/>
      <c r="N66" s="118"/>
      <c r="O66" s="186">
        <v>2</v>
      </c>
      <c r="P66" s="187" t="s">
        <v>265</v>
      </c>
      <c r="Q66" s="118"/>
      <c r="R66" s="118"/>
      <c r="S66" s="118"/>
      <c r="T66" s="118"/>
      <c r="U66" s="118"/>
    </row>
    <row r="67" spans="2:21" ht="15" customHeight="1">
      <c r="B67" s="165">
        <v>3</v>
      </c>
      <c r="C67" s="182">
        <f>IFERROR(LARGE(U$50:U$54,B67),0)</f>
        <v>0</v>
      </c>
      <c r="D67" s="483" t="s">
        <v>229</v>
      </c>
      <c r="E67" s="164" t="s">
        <v>239</v>
      </c>
      <c r="F67" s="164" t="s">
        <v>240</v>
      </c>
      <c r="G67" s="164" t="s">
        <v>241</v>
      </c>
      <c r="I67" s="165">
        <v>4</v>
      </c>
      <c r="J67" s="165">
        <v>2.87</v>
      </c>
      <c r="K67" s="118"/>
      <c r="L67" s="118"/>
      <c r="M67" s="118"/>
      <c r="N67" s="118"/>
      <c r="O67" s="186">
        <v>3</v>
      </c>
      <c r="P67" s="187" t="s">
        <v>269</v>
      </c>
      <c r="Q67" s="118"/>
      <c r="R67" s="118"/>
      <c r="S67" s="118"/>
      <c r="T67" s="118"/>
      <c r="U67" s="118"/>
    </row>
    <row r="68" spans="2:21" ht="15" customHeight="1">
      <c r="B68" s="165">
        <v>4</v>
      </c>
      <c r="C68" s="182">
        <f>IFERROR(LARGE(U$50:U$54,B68),0)</f>
        <v>0</v>
      </c>
      <c r="D68" s="484"/>
      <c r="E68" s="165">
        <f ca="1">OFFSET(G49,MATCH(E66,U50:U54,0),0)/OFFSET(H49,MATCH(E66,U50:U54,0),0)</f>
        <v>1</v>
      </c>
      <c r="F68" s="165">
        <f ca="1">OFFSET(G49,MATCH(F66,U50:U54,0),0)/OFFSET(H49,MATCH(F66,U50:U54,0),0)</f>
        <v>0</v>
      </c>
      <c r="G68" s="220">
        <f ca="1">ABS(E68-F68)/(E68+F68)</f>
        <v>1</v>
      </c>
      <c r="I68" s="165">
        <v>5</v>
      </c>
      <c r="J68" s="165">
        <v>2.65</v>
      </c>
      <c r="K68" s="118"/>
      <c r="L68" s="118"/>
      <c r="M68" s="118"/>
      <c r="N68" s="118"/>
      <c r="O68" s="186">
        <v>4</v>
      </c>
      <c r="P68" s="187" t="s">
        <v>272</v>
      </c>
      <c r="Q68" s="118"/>
      <c r="R68" s="118"/>
      <c r="S68" s="118"/>
      <c r="T68" s="118"/>
      <c r="U68" s="118"/>
    </row>
    <row r="69" spans="2:21" ht="15" customHeight="1">
      <c r="B69" s="165">
        <v>5</v>
      </c>
      <c r="C69" s="182">
        <f>IFERROR(LARGE(U$50:U$54,B69),0)</f>
        <v>0</v>
      </c>
      <c r="D69" s="222" t="s">
        <v>205</v>
      </c>
      <c r="E69" s="155" t="e">
        <f ca="1">IF(AND(G64&lt;0.3,G65&lt;0.3),"사다리꼴","정규")</f>
        <v>#DIV/0!</v>
      </c>
      <c r="I69" s="165">
        <v>6</v>
      </c>
      <c r="J69" s="165">
        <v>2.52</v>
      </c>
      <c r="K69" s="118"/>
      <c r="L69" s="118"/>
      <c r="M69" s="118"/>
      <c r="N69" s="118"/>
      <c r="O69" s="186">
        <v>5</v>
      </c>
      <c r="P69" s="187" t="s">
        <v>276</v>
      </c>
      <c r="Q69" s="118"/>
      <c r="R69" s="118"/>
      <c r="S69" s="118"/>
      <c r="T69" s="118"/>
      <c r="U69" s="118"/>
    </row>
    <row r="70" spans="2:21" ht="15" customHeight="1">
      <c r="B70" s="119"/>
      <c r="C70" s="119"/>
      <c r="D70" s="222" t="s">
        <v>242</v>
      </c>
      <c r="E70" s="165" t="e">
        <f ca="1">IF(E69="정규",IF(OR(S55="∞",S55&gt;=10),2,OFFSET(J63,MATCH(S55,I64:I73,0),0)),ROUND((1-SQRT((1-0.95)*(1-G68^2)))/SQRT((1+G68^2)/6),2))</f>
        <v>#DIV/0!</v>
      </c>
      <c r="I70" s="165">
        <v>7</v>
      </c>
      <c r="J70" s="165">
        <v>2.4300000000000002</v>
      </c>
      <c r="K70" s="118"/>
      <c r="L70" s="118"/>
      <c r="M70" s="118"/>
      <c r="N70" s="118"/>
      <c r="O70" s="186">
        <v>6</v>
      </c>
      <c r="P70" s="187" t="s">
        <v>277</v>
      </c>
      <c r="Q70" s="118"/>
      <c r="R70" s="118"/>
      <c r="S70" s="118"/>
      <c r="T70" s="118"/>
      <c r="U70" s="118"/>
    </row>
    <row r="71" spans="2:21" ht="15" customHeight="1">
      <c r="B71" s="119"/>
      <c r="C71" s="119"/>
      <c r="D71" s="119"/>
      <c r="I71" s="165">
        <v>8</v>
      </c>
      <c r="J71" s="165">
        <v>2.37</v>
      </c>
      <c r="K71" s="118"/>
      <c r="L71" s="118"/>
      <c r="M71" s="118"/>
      <c r="N71" s="118"/>
      <c r="O71" s="186">
        <v>7</v>
      </c>
      <c r="P71" s="187" t="s">
        <v>278</v>
      </c>
      <c r="Q71" s="118"/>
      <c r="R71" s="118"/>
      <c r="S71" s="118"/>
      <c r="T71" s="118"/>
      <c r="U71" s="118"/>
    </row>
    <row r="72" spans="2:21" ht="15" customHeight="1">
      <c r="B72" s="119"/>
      <c r="C72" s="119"/>
      <c r="D72" s="119"/>
      <c r="I72" s="165">
        <v>9</v>
      </c>
      <c r="J72" s="165">
        <v>2.3199999999999998</v>
      </c>
      <c r="K72" s="118"/>
      <c r="L72" s="118"/>
      <c r="M72" s="118"/>
      <c r="N72" s="118"/>
      <c r="O72" s="186">
        <v>8</v>
      </c>
      <c r="P72" s="187" t="s">
        <v>279</v>
      </c>
      <c r="Q72" s="118"/>
      <c r="R72" s="118"/>
      <c r="S72" s="118"/>
      <c r="T72" s="118"/>
      <c r="U72" s="118"/>
    </row>
    <row r="73" spans="2:21" ht="15" customHeight="1">
      <c r="B73" s="119"/>
      <c r="C73" s="119"/>
      <c r="D73" s="119"/>
      <c r="I73" s="165" t="s">
        <v>54</v>
      </c>
      <c r="J73" s="165">
        <v>2</v>
      </c>
      <c r="K73" s="118"/>
      <c r="L73" s="118"/>
      <c r="M73" s="118"/>
      <c r="N73" s="118"/>
      <c r="O73" s="186">
        <v>9</v>
      </c>
      <c r="P73" s="187" t="s">
        <v>280</v>
      </c>
      <c r="Q73" s="118"/>
      <c r="R73" s="118"/>
      <c r="S73" s="118"/>
      <c r="T73" s="118"/>
      <c r="U73" s="118"/>
    </row>
    <row r="74" spans="2:21" ht="15" customHeight="1">
      <c r="B74" s="119"/>
      <c r="C74" s="119"/>
      <c r="D74" s="119"/>
      <c r="O74" s="121"/>
      <c r="P74" s="121"/>
      <c r="Q74" s="118"/>
      <c r="R74" s="118"/>
      <c r="S74" s="118"/>
      <c r="T74" s="118"/>
      <c r="U74" s="118"/>
    </row>
    <row r="75" spans="2:21" ht="18" customHeight="1">
      <c r="B75" s="146" t="s">
        <v>282</v>
      </c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</row>
    <row r="76" spans="2:21" ht="18" customHeight="1">
      <c r="B76" s="147"/>
      <c r="C76" s="475" t="s">
        <v>283</v>
      </c>
      <c r="D76" s="476"/>
      <c r="E76" s="113" t="s">
        <v>284</v>
      </c>
      <c r="F76" s="113" t="s">
        <v>285</v>
      </c>
      <c r="G76" s="113" t="s">
        <v>286</v>
      </c>
      <c r="H76" s="147"/>
      <c r="I76" s="113" t="s">
        <v>287</v>
      </c>
      <c r="J76" s="113" t="s">
        <v>285</v>
      </c>
      <c r="K76" s="113" t="s">
        <v>288</v>
      </c>
      <c r="L76" s="113"/>
      <c r="M76" s="157" t="s">
        <v>289</v>
      </c>
      <c r="N76" s="113" t="s">
        <v>285</v>
      </c>
      <c r="O76" s="157" t="s">
        <v>286</v>
      </c>
      <c r="P76" s="113"/>
      <c r="Q76" s="113" t="s">
        <v>290</v>
      </c>
      <c r="R76" s="113" t="s">
        <v>291</v>
      </c>
    </row>
    <row r="77" spans="2:21" ht="18" customHeight="1">
      <c r="B77" s="147"/>
      <c r="C77" s="148"/>
      <c r="D77" s="149"/>
      <c r="E77" s="157"/>
      <c r="F77" s="158">
        <v>40100</v>
      </c>
      <c r="G77" s="190"/>
      <c r="H77" s="147"/>
      <c r="I77" s="113"/>
      <c r="J77" s="159">
        <f ca="1">OFFSET(F77,COUNTIF(C77:C83,"&lt;"&amp;I77),0)</f>
        <v>40100</v>
      </c>
      <c r="K77" s="113">
        <f>MAX(I77-C77,0)</f>
        <v>0</v>
      </c>
      <c r="L77" s="113"/>
      <c r="M77" s="113" t="b">
        <f>J3="inch"</f>
        <v>0</v>
      </c>
      <c r="N77" s="158">
        <f ca="1">J77*IF(M77=TRUE,1.8,1)</f>
        <v>40100</v>
      </c>
      <c r="O77" s="160">
        <f ca="1">N77*(L77*G80)</f>
        <v>0</v>
      </c>
      <c r="P77" s="161"/>
      <c r="Q77" s="161">
        <f ca="1">SUM(N77:P77)</f>
        <v>40100</v>
      </c>
      <c r="R77" s="477">
        <f ca="1">SUM(Q77:Q79)</f>
        <v>40100</v>
      </c>
    </row>
    <row r="78" spans="2:21" ht="18" customHeight="1">
      <c r="B78" s="147"/>
      <c r="C78" s="148"/>
      <c r="D78" s="149"/>
      <c r="E78" s="157"/>
      <c r="F78" s="158"/>
      <c r="G78" s="191"/>
      <c r="H78" s="147"/>
      <c r="I78" s="113"/>
      <c r="J78" s="159"/>
      <c r="K78" s="113"/>
      <c r="L78" s="113"/>
      <c r="M78" s="113"/>
      <c r="N78" s="158"/>
      <c r="O78" s="160"/>
      <c r="P78" s="161"/>
      <c r="Q78" s="161"/>
      <c r="R78" s="478"/>
    </row>
    <row r="79" spans="2:21" ht="18" customHeight="1">
      <c r="B79" s="147"/>
      <c r="C79" s="148"/>
      <c r="D79" s="149"/>
      <c r="E79" s="157"/>
      <c r="F79" s="158"/>
      <c r="G79" s="192"/>
      <c r="H79" s="147"/>
      <c r="I79" s="113"/>
      <c r="J79" s="113"/>
      <c r="K79" s="113"/>
      <c r="L79" s="113"/>
      <c r="M79" s="113"/>
      <c r="N79" s="158"/>
      <c r="O79" s="162"/>
      <c r="P79" s="161"/>
      <c r="Q79" s="161"/>
      <c r="R79" s="479"/>
    </row>
    <row r="80" spans="2:21" ht="18" customHeight="1">
      <c r="B80" s="147"/>
      <c r="C80" s="148"/>
      <c r="D80" s="149"/>
      <c r="E80" s="157"/>
      <c r="F80" s="158"/>
      <c r="G80" s="193"/>
      <c r="H80" s="147"/>
      <c r="I80" s="147"/>
      <c r="J80" s="147"/>
      <c r="K80" s="147"/>
      <c r="L80" s="147"/>
      <c r="M80" s="147"/>
      <c r="N80" s="147"/>
      <c r="O80" s="150"/>
      <c r="P80" s="147"/>
      <c r="Q80" s="147"/>
      <c r="R80" s="147"/>
    </row>
    <row r="81" spans="2:28" ht="18" customHeight="1">
      <c r="B81" s="147"/>
      <c r="C81" s="148"/>
      <c r="D81" s="149"/>
      <c r="E81" s="157"/>
      <c r="F81" s="158"/>
      <c r="G81" s="194"/>
      <c r="H81" s="147"/>
      <c r="I81" s="151" t="s">
        <v>292</v>
      </c>
      <c r="J81" s="147"/>
      <c r="K81" s="147"/>
      <c r="L81" s="147"/>
      <c r="M81" s="147"/>
      <c r="N81" s="147"/>
      <c r="O81" s="147"/>
      <c r="P81" s="147"/>
      <c r="Q81" s="147"/>
      <c r="R81" s="147"/>
    </row>
    <row r="82" spans="2:28" ht="18" customHeight="1">
      <c r="B82" s="147"/>
      <c r="C82" s="148"/>
      <c r="D82" s="149"/>
      <c r="E82" s="157"/>
      <c r="F82" s="158"/>
      <c r="G82" s="192"/>
      <c r="H82" s="147"/>
      <c r="I82" s="152"/>
      <c r="M82" s="147"/>
      <c r="N82" s="147"/>
      <c r="O82" s="147"/>
      <c r="P82" s="147"/>
      <c r="Q82" s="147"/>
      <c r="R82" s="147"/>
    </row>
    <row r="83" spans="2:28" ht="18" customHeight="1">
      <c r="B83" s="147"/>
      <c r="C83" s="148"/>
      <c r="D83" s="153"/>
      <c r="E83" s="113"/>
      <c r="F83" s="113"/>
      <c r="G83" s="207"/>
      <c r="H83" s="147"/>
      <c r="I83" s="152"/>
      <c r="M83" s="147"/>
      <c r="N83" s="147"/>
      <c r="O83" s="147"/>
      <c r="P83" s="147"/>
      <c r="Q83" s="147"/>
      <c r="R83" s="147"/>
    </row>
    <row r="84" spans="2:28" ht="18" customHeight="1">
      <c r="B84" s="71"/>
      <c r="C84" s="71"/>
      <c r="D84" s="71"/>
      <c r="E84" s="71"/>
      <c r="F84" s="71"/>
      <c r="G84" s="71"/>
      <c r="H84" s="71"/>
      <c r="M84" s="71"/>
      <c r="N84" s="71"/>
      <c r="O84" s="71"/>
      <c r="P84" s="147"/>
      <c r="Q84" s="147"/>
      <c r="R84" s="147"/>
    </row>
    <row r="85" spans="2:28" ht="18" customHeight="1">
      <c r="B85" s="119"/>
      <c r="C85" s="119"/>
      <c r="D85" s="119"/>
      <c r="I85" s="152"/>
      <c r="J85" s="147"/>
      <c r="K85" s="147"/>
      <c r="L85" s="147"/>
      <c r="P85" s="118"/>
      <c r="Q85" s="118"/>
      <c r="R85" s="118"/>
    </row>
    <row r="86" spans="2:28" ht="18" customHeight="1">
      <c r="B86" s="119"/>
      <c r="C86" s="119"/>
      <c r="D86" s="119"/>
      <c r="I86" s="152"/>
      <c r="J86" s="147"/>
      <c r="K86" s="147"/>
      <c r="L86" s="147"/>
      <c r="P86" s="118"/>
      <c r="Q86" s="118"/>
      <c r="R86" s="118"/>
      <c r="Z86" s="119"/>
      <c r="AA86" s="119"/>
      <c r="AB86" s="119"/>
    </row>
    <row r="87" spans="2:28" ht="18" customHeight="1">
      <c r="B87" s="119"/>
      <c r="C87" s="119"/>
      <c r="D87" s="119"/>
      <c r="J87" s="71"/>
      <c r="K87" s="71"/>
      <c r="L87" s="71"/>
      <c r="P87" s="118"/>
      <c r="Q87" s="118"/>
      <c r="R87" s="118"/>
      <c r="Z87" s="119"/>
      <c r="AA87" s="119"/>
      <c r="AB87" s="119"/>
    </row>
    <row r="88" spans="2:28" ht="18" customHeight="1">
      <c r="B88" s="119"/>
      <c r="C88" s="119"/>
      <c r="D88" s="119"/>
      <c r="I88" s="152"/>
      <c r="J88" s="121"/>
      <c r="K88" s="121"/>
      <c r="P88" s="118"/>
      <c r="Q88" s="118"/>
      <c r="R88" s="118"/>
      <c r="Z88" s="119"/>
      <c r="AA88" s="119"/>
      <c r="AB88" s="119"/>
    </row>
    <row r="89" spans="2:28" ht="18" customHeight="1">
      <c r="B89" s="119"/>
      <c r="C89" s="119"/>
      <c r="D89" s="119"/>
      <c r="I89" s="152"/>
      <c r="J89" s="121"/>
      <c r="K89" s="121"/>
      <c r="P89" s="118"/>
      <c r="Q89" s="118"/>
      <c r="R89" s="118"/>
      <c r="V89" s="119"/>
      <c r="W89" s="119"/>
      <c r="X89" s="119"/>
      <c r="Y89" s="119"/>
      <c r="Z89" s="119"/>
      <c r="AA89" s="119"/>
      <c r="AB89" s="119"/>
    </row>
    <row r="90" spans="2:28" ht="18" customHeight="1">
      <c r="B90" s="119"/>
      <c r="C90" s="119"/>
      <c r="D90" s="119"/>
      <c r="J90" s="121"/>
      <c r="K90" s="121"/>
      <c r="P90" s="118"/>
      <c r="Q90" s="118"/>
      <c r="R90" s="118"/>
      <c r="V90" s="119"/>
      <c r="W90" s="119"/>
      <c r="X90" s="119"/>
      <c r="Y90" s="119"/>
      <c r="Z90" s="119"/>
      <c r="AA90" s="119"/>
      <c r="AB90" s="119"/>
    </row>
    <row r="91" spans="2:28" ht="18" customHeight="1">
      <c r="B91" s="119"/>
      <c r="C91" s="119"/>
      <c r="D91" s="119"/>
      <c r="P91" s="118"/>
      <c r="Q91" s="118"/>
      <c r="R91" s="118"/>
    </row>
  </sheetData>
  <mergeCells count="90">
    <mergeCell ref="S57:T57"/>
    <mergeCell ref="T48:T49"/>
    <mergeCell ref="U48:V48"/>
    <mergeCell ref="B63:C63"/>
    <mergeCell ref="D63:D64"/>
    <mergeCell ref="Y39:AD39"/>
    <mergeCell ref="S9:S10"/>
    <mergeCell ref="R6:S6"/>
    <mergeCell ref="U9:U10"/>
    <mergeCell ref="T6:U6"/>
    <mergeCell ref="Q13:R13"/>
    <mergeCell ref="W6:X6"/>
    <mergeCell ref="T9:T10"/>
    <mergeCell ref="Y6:AD6"/>
    <mergeCell ref="U13:V13"/>
    <mergeCell ref="T13:T14"/>
    <mergeCell ref="R39:S39"/>
    <mergeCell ref="T39:U39"/>
    <mergeCell ref="W39:X39"/>
    <mergeCell ref="S21:T21"/>
    <mergeCell ref="R21:R22"/>
    <mergeCell ref="G19:P19"/>
    <mergeCell ref="D31:D32"/>
    <mergeCell ref="E29:F29"/>
    <mergeCell ref="G29:G30"/>
    <mergeCell ref="C21:G21"/>
    <mergeCell ref="O21:Q21"/>
    <mergeCell ref="J21:M21"/>
    <mergeCell ref="B27:C27"/>
    <mergeCell ref="D27:D28"/>
    <mergeCell ref="Q14:R14"/>
    <mergeCell ref="M14:N14"/>
    <mergeCell ref="O14:P14"/>
    <mergeCell ref="N6:N7"/>
    <mergeCell ref="R9:R10"/>
    <mergeCell ref="M13:P13"/>
    <mergeCell ref="B6:B8"/>
    <mergeCell ref="F6:F8"/>
    <mergeCell ref="B9:B10"/>
    <mergeCell ref="C13:C14"/>
    <mergeCell ref="G6:G8"/>
    <mergeCell ref="B13:B14"/>
    <mergeCell ref="C6:C8"/>
    <mergeCell ref="D6:D8"/>
    <mergeCell ref="E9:E10"/>
    <mergeCell ref="D13:D14"/>
    <mergeCell ref="E13:E14"/>
    <mergeCell ref="F13:F14"/>
    <mergeCell ref="G13:K13"/>
    <mergeCell ref="E6:E7"/>
    <mergeCell ref="J14:K14"/>
    <mergeCell ref="H6:M6"/>
    <mergeCell ref="N39:N40"/>
    <mergeCell ref="S42:S45"/>
    <mergeCell ref="U42:U45"/>
    <mergeCell ref="B39:B41"/>
    <mergeCell ref="C39:C41"/>
    <mergeCell ref="R42:R45"/>
    <mergeCell ref="C44:C45"/>
    <mergeCell ref="E39:E40"/>
    <mergeCell ref="D39:D41"/>
    <mergeCell ref="F39:F41"/>
    <mergeCell ref="G39:G41"/>
    <mergeCell ref="H39:M39"/>
    <mergeCell ref="B42:B45"/>
    <mergeCell ref="C42:C43"/>
    <mergeCell ref="E42:E45"/>
    <mergeCell ref="T42:T45"/>
    <mergeCell ref="B48:B49"/>
    <mergeCell ref="D48:D49"/>
    <mergeCell ref="E48:E49"/>
    <mergeCell ref="F48:F49"/>
    <mergeCell ref="G48:K48"/>
    <mergeCell ref="C48:C49"/>
    <mergeCell ref="M48:P48"/>
    <mergeCell ref="Q48:R48"/>
    <mergeCell ref="J49:K49"/>
    <mergeCell ref="M49:N49"/>
    <mergeCell ref="O49:P49"/>
    <mergeCell ref="Q49:R49"/>
    <mergeCell ref="C76:D76"/>
    <mergeCell ref="R77:R79"/>
    <mergeCell ref="G55:P55"/>
    <mergeCell ref="D67:D68"/>
    <mergeCell ref="E65:F65"/>
    <mergeCell ref="G65:G66"/>
    <mergeCell ref="C57:G57"/>
    <mergeCell ref="J57:M57"/>
    <mergeCell ref="O57:Q57"/>
    <mergeCell ref="R57:R58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18</vt:i4>
      </vt:variant>
    </vt:vector>
  </HeadingPairs>
  <TitlesOfParts>
    <vt:vector size="29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Length_9</vt:lpstr>
      <vt:lpstr>'교정결과-E'!B_Tag</vt:lpstr>
      <vt:lpstr>'교정결과-HY'!B_Tag</vt:lpstr>
      <vt:lpstr>B_Tag</vt:lpstr>
      <vt:lpstr>판정결과!B_Tag_2</vt:lpstr>
      <vt:lpstr>부록!B_Tag_3</vt:lpstr>
      <vt:lpstr>Length_9_CMC</vt:lpstr>
      <vt:lpstr>Length_9_Condition</vt:lpstr>
      <vt:lpstr>Length_9_Condition_Temp</vt:lpstr>
      <vt:lpstr>Length_9_Resolution</vt:lpstr>
      <vt:lpstr>Length_9_Result</vt:lpstr>
      <vt:lpstr>Length_9_Spec</vt:lpstr>
      <vt:lpstr>Length_9_STD1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2020-11-02T06:59:27Z</cp:lastPrinted>
  <dcterms:created xsi:type="dcterms:W3CDTF">2004-11-10T00:11:43Z</dcterms:created>
  <dcterms:modified xsi:type="dcterms:W3CDTF">2021-12-06T09:11:01Z</dcterms:modified>
</cp:coreProperties>
</file>