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Jey\OneDrive\문서\업무_개발\Calibration Tool Project\MCT v2\Templates\"/>
    </mc:Choice>
  </mc:AlternateContent>
  <bookViews>
    <workbookView xWindow="0" yWindow="90" windowWidth="15225" windowHeight="8550" tabRatio="827"/>
  </bookViews>
  <sheets>
    <sheet name="기본정보" sheetId="13" r:id="rId1"/>
    <sheet name="교정결과" sheetId="11" r:id="rId2"/>
    <sheet name="교정결과-E" sheetId="26" r:id="rId3"/>
    <sheet name="교정결과-HY" sheetId="29" r:id="rId4"/>
    <sheet name="판정결과" sheetId="27" r:id="rId5"/>
    <sheet name="부록" sheetId="23" r:id="rId6"/>
    <sheet name="RAWDATA" sheetId="3" r:id="rId7"/>
    <sheet name="측정불확도추정보고서" sheetId="22" r:id="rId8"/>
    <sheet name="표준압력" sheetId="34" r:id="rId9"/>
    <sheet name="압력교정기" sheetId="35" r:id="rId10"/>
    <sheet name="분동식압력계" sheetId="36" r:id="rId11"/>
    <sheet name="Calcu" sheetId="20" r:id="rId12"/>
    <sheet name="Calcu_ADJ" sheetId="33" r:id="rId13"/>
    <sheet name="STD_Data" sheetId="28" r:id="rId14"/>
    <sheet name="Pressure_2_R1" sheetId="14" r:id="rId15"/>
  </sheets>
  <definedNames>
    <definedName name="_xlnm._FilterDatabase" localSheetId="0" hidden="1">기본정보!#REF!</definedName>
    <definedName name="B_Tag" localSheetId="2">'교정결과-E'!$D$38:$J$38</definedName>
    <definedName name="B_Tag" localSheetId="3">'교정결과-HY'!$B$32:$Q$32</definedName>
    <definedName name="B_Tag">교정결과!$D$38:$J$38</definedName>
    <definedName name="B_Tag_2" localSheetId="4">판정결과!$D$31:$I$31</definedName>
    <definedName name="B_Tag_3">부록!$B$40:$I$40</definedName>
    <definedName name="Pressure_2_R1_CMC">Pressure_2_R1!$L$4:$N$33</definedName>
    <definedName name="Pressure_2_R1_Condition">Pressure_2_R1!$A$4:$K$33</definedName>
    <definedName name="Pressure_2_R1_Resolution">Pressure_2_R1!$O$4:$R$33</definedName>
    <definedName name="Pressure_2_R1_Result">Pressure_2_R1!$V$4:$X$33</definedName>
    <definedName name="Pressure_2_R1_Result_ADJ">Pressure_2_R1!$Z$4:$AB$33</definedName>
    <definedName name="Pressure_2_R1_Spec">Pressure_2_R1!$S$4:$U$33</definedName>
    <definedName name="Pressure_2_R1_STD1">Pressure_2_R1!$A$37</definedName>
    <definedName name="Pressure_2_R1_STD2">Pressure_2_R1!$A$70</definedName>
    <definedName name="Pressure_2_R1_STD3">Pressure_2_R1!$A$103</definedName>
    <definedName name="Pressure_2_R1_STD4">Pressure_2_R1!$A$136</definedName>
    <definedName name="_xlnm.Print_Area" localSheetId="0">기본정보!$A$1:$J$38</definedName>
    <definedName name="_xlnm.Print_Titles" localSheetId="1">교정결과!$1:$5</definedName>
    <definedName name="_xlnm.Print_Titles" localSheetId="2">'교정결과-E'!$1:$5</definedName>
    <definedName name="_xlnm.Print_Titles" localSheetId="3">'교정결과-HY'!$1:$5</definedName>
    <definedName name="_xlnm.Print_Titles" localSheetId="5">부록!$1:$5</definedName>
    <definedName name="_xlnm.Print_Titles" localSheetId="4">판정결과!$1:$5</definedName>
  </definedNames>
  <calcPr calcId="162913"/>
</workbook>
</file>

<file path=xl/calcChain.xml><?xml version="1.0" encoding="utf-8"?>
<calcChain xmlns="http://schemas.openxmlformats.org/spreadsheetml/2006/main">
  <c r="D105" i="20" l="1"/>
  <c r="C105" i="20"/>
  <c r="L21" i="35" l="1"/>
  <c r="L22" i="35"/>
  <c r="L23" i="35"/>
  <c r="L24" i="35"/>
  <c r="L25" i="35"/>
  <c r="L26" i="35"/>
  <c r="L27" i="35"/>
  <c r="L28" i="35"/>
  <c r="L29" i="35"/>
  <c r="L30" i="35"/>
  <c r="L31" i="35"/>
  <c r="L32" i="35"/>
  <c r="L33" i="35"/>
  <c r="L34" i="35"/>
  <c r="L35" i="35"/>
  <c r="L36" i="35"/>
  <c r="L37" i="35"/>
  <c r="L38" i="35"/>
  <c r="L39" i="35"/>
  <c r="L40" i="35"/>
  <c r="L41" i="35"/>
  <c r="L42" i="35"/>
  <c r="L43" i="35"/>
  <c r="L44" i="35"/>
  <c r="L45" i="35"/>
  <c r="L46" i="35"/>
  <c r="L47" i="35"/>
  <c r="L48" i="35"/>
  <c r="L49" i="35"/>
  <c r="L20" i="35"/>
  <c r="AU49" i="35" l="1"/>
  <c r="AU48" i="35"/>
  <c r="AU47" i="35"/>
  <c r="AU46" i="35"/>
  <c r="AU45" i="35"/>
  <c r="AU44" i="35"/>
  <c r="AU43" i="35"/>
  <c r="AU42" i="35"/>
  <c r="AU41" i="35"/>
  <c r="AU40" i="35"/>
  <c r="AU39" i="35"/>
  <c r="AU38" i="35"/>
  <c r="AU37" i="35"/>
  <c r="AU36" i="35"/>
  <c r="AU35" i="35"/>
  <c r="AU34" i="35"/>
  <c r="AU33" i="35"/>
  <c r="AU32" i="35"/>
  <c r="AU31" i="35"/>
  <c r="AU30" i="35"/>
  <c r="AU29" i="35"/>
  <c r="AU28" i="35"/>
  <c r="AU27" i="35"/>
  <c r="AU26" i="35"/>
  <c r="AU25" i="35"/>
  <c r="AU24" i="35"/>
  <c r="AU23" i="35"/>
  <c r="AU22" i="35"/>
  <c r="AU21" i="35"/>
  <c r="AA21" i="35"/>
  <c r="AA22" i="35" s="1"/>
  <c r="AA23" i="35" s="1"/>
  <c r="AA24" i="35" s="1"/>
  <c r="AA25" i="35" s="1"/>
  <c r="AA26" i="35" s="1"/>
  <c r="AA27" i="35" s="1"/>
  <c r="AA28" i="35" s="1"/>
  <c r="AA29" i="35" s="1"/>
  <c r="AA30" i="35" s="1"/>
  <c r="AA31" i="35" s="1"/>
  <c r="AA32" i="35" s="1"/>
  <c r="AA33" i="35" s="1"/>
  <c r="AA34" i="35" s="1"/>
  <c r="AA35" i="35" s="1"/>
  <c r="AA36" i="35" s="1"/>
  <c r="AA37" i="35" s="1"/>
  <c r="AA38" i="35" s="1"/>
  <c r="AA39" i="35" s="1"/>
  <c r="AA40" i="35" s="1"/>
  <c r="AA41" i="35" s="1"/>
  <c r="AA42" i="35" s="1"/>
  <c r="AA43" i="35" s="1"/>
  <c r="AA44" i="35" s="1"/>
  <c r="AA45" i="35" s="1"/>
  <c r="AA46" i="35" s="1"/>
  <c r="AA47" i="35" s="1"/>
  <c r="AA48" i="35" s="1"/>
  <c r="AA49" i="35" s="1"/>
  <c r="AU20" i="35"/>
  <c r="AA20" i="35"/>
  <c r="Y21" i="35" l="1"/>
  <c r="Y22" i="35"/>
  <c r="Y25" i="35"/>
  <c r="Y26" i="35"/>
  <c r="Y29" i="35"/>
  <c r="Y30" i="35"/>
  <c r="Y33" i="35"/>
  <c r="Y34" i="35"/>
  <c r="Y37" i="35"/>
  <c r="Y38" i="35"/>
  <c r="Y41" i="35"/>
  <c r="Y42" i="35"/>
  <c r="Y45" i="35"/>
  <c r="Y46" i="35"/>
  <c r="Y49" i="35"/>
  <c r="Y20" i="35"/>
  <c r="O21" i="35"/>
  <c r="O22" i="35"/>
  <c r="O23" i="35"/>
  <c r="Y23" i="35" s="1"/>
  <c r="O24" i="35"/>
  <c r="Y24" i="35" s="1"/>
  <c r="O25" i="35"/>
  <c r="O26" i="35"/>
  <c r="O27" i="35"/>
  <c r="Y27" i="35" s="1"/>
  <c r="O28" i="35"/>
  <c r="Y28" i="35" s="1"/>
  <c r="O29" i="35"/>
  <c r="O30" i="35"/>
  <c r="O31" i="35"/>
  <c r="Y31" i="35" s="1"/>
  <c r="O32" i="35"/>
  <c r="Y32" i="35" s="1"/>
  <c r="O33" i="35"/>
  <c r="O34" i="35"/>
  <c r="O35" i="35"/>
  <c r="Y35" i="35" s="1"/>
  <c r="O36" i="35"/>
  <c r="Y36" i="35" s="1"/>
  <c r="O37" i="35"/>
  <c r="O38" i="35"/>
  <c r="O39" i="35"/>
  <c r="Y39" i="35" s="1"/>
  <c r="O40" i="35"/>
  <c r="Y40" i="35" s="1"/>
  <c r="O41" i="35"/>
  <c r="O42" i="35"/>
  <c r="O43" i="35"/>
  <c r="Y43" i="35" s="1"/>
  <c r="O44" i="35"/>
  <c r="Y44" i="35" s="1"/>
  <c r="O45" i="35"/>
  <c r="O46" i="35"/>
  <c r="O47" i="35"/>
  <c r="Y47" i="35" s="1"/>
  <c r="O48" i="35"/>
  <c r="Y48" i="35" s="1"/>
  <c r="O49" i="35"/>
  <c r="O20" i="35"/>
  <c r="J19" i="36" l="1"/>
  <c r="G4" i="34" l="1"/>
  <c r="D5" i="34"/>
  <c r="D6" i="34"/>
  <c r="D7" i="34"/>
  <c r="D8" i="34"/>
  <c r="D24" i="35" s="1"/>
  <c r="AA8" i="34" s="1"/>
  <c r="D9" i="34"/>
  <c r="D10" i="34"/>
  <c r="D11" i="34"/>
  <c r="D12" i="34"/>
  <c r="D28" i="35" s="1"/>
  <c r="AA12" i="34" s="1"/>
  <c r="D13" i="34"/>
  <c r="D14" i="34"/>
  <c r="D15" i="34"/>
  <c r="D16" i="34"/>
  <c r="D32" i="35" s="1"/>
  <c r="AA16" i="34" s="1"/>
  <c r="D17" i="34"/>
  <c r="D18" i="34"/>
  <c r="D19" i="34"/>
  <c r="D20" i="34"/>
  <c r="D36" i="35" s="1"/>
  <c r="AA20" i="34" s="1"/>
  <c r="D21" i="34"/>
  <c r="D22" i="34"/>
  <c r="D23" i="34"/>
  <c r="D24" i="34"/>
  <c r="D25" i="34"/>
  <c r="D26" i="34"/>
  <c r="D27" i="34"/>
  <c r="D28" i="34"/>
  <c r="D44" i="35" s="1"/>
  <c r="AA28" i="34" s="1"/>
  <c r="D29" i="34"/>
  <c r="D30" i="34"/>
  <c r="D31" i="34"/>
  <c r="D32" i="34"/>
  <c r="D48" i="35" s="1"/>
  <c r="AA32" i="34" s="1"/>
  <c r="D33" i="34"/>
  <c r="D4" i="34"/>
  <c r="C5" i="34"/>
  <c r="C6" i="34"/>
  <c r="C7" i="34"/>
  <c r="C8" i="34"/>
  <c r="C24" i="35" s="1"/>
  <c r="C9" i="34"/>
  <c r="C10" i="34"/>
  <c r="C11" i="34"/>
  <c r="C12" i="34"/>
  <c r="C28" i="35" s="1"/>
  <c r="C13" i="34"/>
  <c r="C14" i="34"/>
  <c r="C15" i="34"/>
  <c r="C16" i="34"/>
  <c r="C32" i="35" s="1"/>
  <c r="C17" i="34"/>
  <c r="C18" i="34"/>
  <c r="C19" i="34"/>
  <c r="C20" i="34"/>
  <c r="C36" i="35" s="1"/>
  <c r="C21" i="34"/>
  <c r="C22" i="34"/>
  <c r="C23" i="34"/>
  <c r="C24" i="34"/>
  <c r="C40" i="35" s="1"/>
  <c r="C25" i="34"/>
  <c r="C26" i="34"/>
  <c r="C27" i="34"/>
  <c r="C28" i="34"/>
  <c r="C44" i="35" s="1"/>
  <c r="C29" i="34"/>
  <c r="C30" i="34"/>
  <c r="C31" i="34"/>
  <c r="C32" i="34"/>
  <c r="C48" i="35" s="1"/>
  <c r="C33" i="34"/>
  <c r="C4" i="34"/>
  <c r="B4" i="34"/>
  <c r="G61" i="36"/>
  <c r="K61" i="36" s="1"/>
  <c r="BA48" i="36"/>
  <c r="AZ48" i="36"/>
  <c r="AY48" i="36"/>
  <c r="AX48" i="36"/>
  <c r="AW48" i="36"/>
  <c r="AV48" i="36"/>
  <c r="AU48" i="36"/>
  <c r="AT48" i="36"/>
  <c r="AS48" i="36"/>
  <c r="AR48" i="36"/>
  <c r="AQ48" i="36"/>
  <c r="AP48" i="36"/>
  <c r="AO48" i="36"/>
  <c r="AN48" i="36"/>
  <c r="AM48" i="36"/>
  <c r="AL48" i="36"/>
  <c r="N48" i="36" s="1"/>
  <c r="BA47" i="36"/>
  <c r="AZ47" i="36"/>
  <c r="AY47" i="36"/>
  <c r="AX47" i="36"/>
  <c r="AW47" i="36"/>
  <c r="AV47" i="36"/>
  <c r="AU47" i="36"/>
  <c r="AT47" i="36"/>
  <c r="AS47" i="36"/>
  <c r="AR47" i="36"/>
  <c r="AQ47" i="36"/>
  <c r="AP47" i="36"/>
  <c r="AO47" i="36"/>
  <c r="AN47" i="36"/>
  <c r="AM47" i="36"/>
  <c r="AL47" i="36"/>
  <c r="BA46" i="36"/>
  <c r="AZ46" i="36"/>
  <c r="AY46" i="36"/>
  <c r="AX46" i="36"/>
  <c r="AW46" i="36"/>
  <c r="AV46" i="36"/>
  <c r="AU46" i="36"/>
  <c r="AT46" i="36"/>
  <c r="AS46" i="36"/>
  <c r="AR46" i="36"/>
  <c r="AQ46" i="36"/>
  <c r="AP46" i="36"/>
  <c r="AO46" i="36"/>
  <c r="AN46" i="36"/>
  <c r="AM46" i="36"/>
  <c r="AL46" i="36"/>
  <c r="BA45" i="36"/>
  <c r="AZ45" i="36"/>
  <c r="AY45" i="36"/>
  <c r="AX45" i="36"/>
  <c r="AW45" i="36"/>
  <c r="AV45" i="36"/>
  <c r="AU45" i="36"/>
  <c r="AT45" i="36"/>
  <c r="AS45" i="36"/>
  <c r="AR45" i="36"/>
  <c r="AQ45" i="36"/>
  <c r="AP45" i="36"/>
  <c r="AO45" i="36"/>
  <c r="AN45" i="36"/>
  <c r="AM45" i="36"/>
  <c r="AL45" i="36"/>
  <c r="N45" i="36" s="1"/>
  <c r="BA44" i="36"/>
  <c r="AZ44" i="36"/>
  <c r="AY44" i="36"/>
  <c r="AX44" i="36"/>
  <c r="AW44" i="36"/>
  <c r="AV44" i="36"/>
  <c r="AU44" i="36"/>
  <c r="AT44" i="36"/>
  <c r="AS44" i="36"/>
  <c r="AR44" i="36"/>
  <c r="AQ44" i="36"/>
  <c r="AP44" i="36"/>
  <c r="AO44" i="36"/>
  <c r="AN44" i="36"/>
  <c r="AM44" i="36"/>
  <c r="AL44" i="36"/>
  <c r="BA43" i="36"/>
  <c r="AZ43" i="36"/>
  <c r="AY43" i="36"/>
  <c r="AX43" i="36"/>
  <c r="AW43" i="36"/>
  <c r="AV43" i="36"/>
  <c r="AU43" i="36"/>
  <c r="AT43" i="36"/>
  <c r="AS43" i="36"/>
  <c r="AR43" i="36"/>
  <c r="AQ43" i="36"/>
  <c r="AP43" i="36"/>
  <c r="AO43" i="36"/>
  <c r="AN43" i="36"/>
  <c r="AM43" i="36"/>
  <c r="AL43" i="36"/>
  <c r="BA42" i="36"/>
  <c r="AZ42" i="36"/>
  <c r="AY42" i="36"/>
  <c r="AX42" i="36"/>
  <c r="AW42" i="36"/>
  <c r="AV42" i="36"/>
  <c r="AU42" i="36"/>
  <c r="AT42" i="36"/>
  <c r="AS42" i="36"/>
  <c r="AR42" i="36"/>
  <c r="AQ42" i="36"/>
  <c r="AP42" i="36"/>
  <c r="AO42" i="36"/>
  <c r="AN42" i="36"/>
  <c r="AM42" i="36"/>
  <c r="AL42" i="36"/>
  <c r="BA41" i="36"/>
  <c r="AZ41" i="36"/>
  <c r="AY41" i="36"/>
  <c r="AX41" i="36"/>
  <c r="AW41" i="36"/>
  <c r="AV41" i="36"/>
  <c r="AU41" i="36"/>
  <c r="AT41" i="36"/>
  <c r="AS41" i="36"/>
  <c r="AR41" i="36"/>
  <c r="AQ41" i="36"/>
  <c r="AP41" i="36"/>
  <c r="AO41" i="36"/>
  <c r="AN41" i="36"/>
  <c r="AM41" i="36"/>
  <c r="AL41" i="36"/>
  <c r="N41" i="36" s="1"/>
  <c r="BA40" i="36"/>
  <c r="AZ40" i="36"/>
  <c r="AY40" i="36"/>
  <c r="AX40" i="36"/>
  <c r="AW40" i="36"/>
  <c r="AV40" i="36"/>
  <c r="AU40" i="36"/>
  <c r="AT40" i="36"/>
  <c r="AS40" i="36"/>
  <c r="AR40" i="36"/>
  <c r="AQ40" i="36"/>
  <c r="AP40" i="36"/>
  <c r="AO40" i="36"/>
  <c r="AN40" i="36"/>
  <c r="AM40" i="36"/>
  <c r="AL40" i="36"/>
  <c r="BA39" i="36"/>
  <c r="AZ39" i="36"/>
  <c r="AY39" i="36"/>
  <c r="AX39" i="36"/>
  <c r="AW39" i="36"/>
  <c r="AV39" i="36"/>
  <c r="AU39" i="36"/>
  <c r="AT39" i="36"/>
  <c r="AS39" i="36"/>
  <c r="AR39" i="36"/>
  <c r="AQ39" i="36"/>
  <c r="AP39" i="36"/>
  <c r="AO39" i="36"/>
  <c r="AN39" i="36"/>
  <c r="AM39" i="36"/>
  <c r="AL39" i="36"/>
  <c r="N39" i="36" s="1"/>
  <c r="BA38" i="36"/>
  <c r="AZ38" i="36"/>
  <c r="AY38" i="36"/>
  <c r="AX38" i="36"/>
  <c r="AW38" i="36"/>
  <c r="AV38" i="36"/>
  <c r="AU38" i="36"/>
  <c r="AT38" i="36"/>
  <c r="AS38" i="36"/>
  <c r="AR38" i="36"/>
  <c r="AQ38" i="36"/>
  <c r="AP38" i="36"/>
  <c r="AO38" i="36"/>
  <c r="AN38" i="36"/>
  <c r="AM38" i="36"/>
  <c r="AL38" i="36"/>
  <c r="BA37" i="36"/>
  <c r="AZ37" i="36"/>
  <c r="AY37" i="36"/>
  <c r="AX37" i="36"/>
  <c r="AW37" i="36"/>
  <c r="AV37" i="36"/>
  <c r="AU37" i="36"/>
  <c r="AT37" i="36"/>
  <c r="AS37" i="36"/>
  <c r="AR37" i="36"/>
  <c r="AQ37" i="36"/>
  <c r="AP37" i="36"/>
  <c r="AO37" i="36"/>
  <c r="AN37" i="36"/>
  <c r="AM37" i="36"/>
  <c r="AL37" i="36"/>
  <c r="N37" i="36" s="1"/>
  <c r="BA36" i="36"/>
  <c r="AZ36" i="36"/>
  <c r="AY36" i="36"/>
  <c r="AX36" i="36"/>
  <c r="AW36" i="36"/>
  <c r="AV36" i="36"/>
  <c r="AU36" i="36"/>
  <c r="AT36" i="36"/>
  <c r="AS36" i="36"/>
  <c r="AR36" i="36"/>
  <c r="AQ36" i="36"/>
  <c r="AP36" i="36"/>
  <c r="AO36" i="36"/>
  <c r="AN36" i="36"/>
  <c r="AM36" i="36"/>
  <c r="AL36" i="36"/>
  <c r="BA35" i="36"/>
  <c r="AZ35" i="36"/>
  <c r="AY35" i="36"/>
  <c r="AX35" i="36"/>
  <c r="AW35" i="36"/>
  <c r="AV35" i="36"/>
  <c r="AU35" i="36"/>
  <c r="AT35" i="36"/>
  <c r="AS35" i="36"/>
  <c r="AR35" i="36"/>
  <c r="AQ35" i="36"/>
  <c r="AP35" i="36"/>
  <c r="AO35" i="36"/>
  <c r="AN35" i="36"/>
  <c r="AM35" i="36"/>
  <c r="AL35" i="36"/>
  <c r="BA34" i="36"/>
  <c r="AZ34" i="36"/>
  <c r="AY34" i="36"/>
  <c r="AX34" i="36"/>
  <c r="AW34" i="36"/>
  <c r="AV34" i="36"/>
  <c r="AU34" i="36"/>
  <c r="AT34" i="36"/>
  <c r="AS34" i="36"/>
  <c r="AR34" i="36"/>
  <c r="AQ34" i="36"/>
  <c r="AP34" i="36"/>
  <c r="AO34" i="36"/>
  <c r="AN34" i="36"/>
  <c r="AM34" i="36"/>
  <c r="AL34" i="36"/>
  <c r="BA33" i="36"/>
  <c r="AZ33" i="36"/>
  <c r="AY33" i="36"/>
  <c r="AX33" i="36"/>
  <c r="AW33" i="36"/>
  <c r="AV33" i="36"/>
  <c r="AU33" i="36"/>
  <c r="AT33" i="36"/>
  <c r="AS33" i="36"/>
  <c r="AR33" i="36"/>
  <c r="AQ33" i="36"/>
  <c r="AP33" i="36"/>
  <c r="AO33" i="36"/>
  <c r="AN33" i="36"/>
  <c r="AM33" i="36"/>
  <c r="AL33" i="36"/>
  <c r="N33" i="36" s="1"/>
  <c r="BA32" i="36"/>
  <c r="AZ32" i="36"/>
  <c r="AY32" i="36"/>
  <c r="AX32" i="36"/>
  <c r="AW32" i="36"/>
  <c r="AV32" i="36"/>
  <c r="AU32" i="36"/>
  <c r="AT32" i="36"/>
  <c r="AS32" i="36"/>
  <c r="AR32" i="36"/>
  <c r="AQ32" i="36"/>
  <c r="AP32" i="36"/>
  <c r="AO32" i="36"/>
  <c r="AN32" i="36"/>
  <c r="AM32" i="36"/>
  <c r="AL32" i="36"/>
  <c r="BA31" i="36"/>
  <c r="AZ31" i="36"/>
  <c r="AY31" i="36"/>
  <c r="AX31" i="36"/>
  <c r="AW31" i="36"/>
  <c r="AV31" i="36"/>
  <c r="AU31" i="36"/>
  <c r="AT31" i="36"/>
  <c r="AS31" i="36"/>
  <c r="AR31" i="36"/>
  <c r="AQ31" i="36"/>
  <c r="AP31" i="36"/>
  <c r="AO31" i="36"/>
  <c r="AN31" i="36"/>
  <c r="AM31" i="36"/>
  <c r="AL31" i="36"/>
  <c r="BA30" i="36"/>
  <c r="AZ30" i="36"/>
  <c r="AY30" i="36"/>
  <c r="AX30" i="36"/>
  <c r="AW30" i="36"/>
  <c r="AV30" i="36"/>
  <c r="AU30" i="36"/>
  <c r="AT30" i="36"/>
  <c r="AS30" i="36"/>
  <c r="AR30" i="36"/>
  <c r="AQ30" i="36"/>
  <c r="AP30" i="36"/>
  <c r="AO30" i="36"/>
  <c r="AN30" i="36"/>
  <c r="AM30" i="36"/>
  <c r="AL30" i="36"/>
  <c r="BA29" i="36"/>
  <c r="AZ29" i="36"/>
  <c r="AY29" i="36"/>
  <c r="AX29" i="36"/>
  <c r="AW29" i="36"/>
  <c r="AV29" i="36"/>
  <c r="AU29" i="36"/>
  <c r="AT29" i="36"/>
  <c r="AS29" i="36"/>
  <c r="AR29" i="36"/>
  <c r="AQ29" i="36"/>
  <c r="AP29" i="36"/>
  <c r="AO29" i="36"/>
  <c r="AN29" i="36"/>
  <c r="AM29" i="36"/>
  <c r="AL29" i="36"/>
  <c r="BA28" i="36"/>
  <c r="AZ28" i="36"/>
  <c r="AY28" i="36"/>
  <c r="AX28" i="36"/>
  <c r="AW28" i="36"/>
  <c r="AV28" i="36"/>
  <c r="AU28" i="36"/>
  <c r="AT28" i="36"/>
  <c r="AS28" i="36"/>
  <c r="AR28" i="36"/>
  <c r="AQ28" i="36"/>
  <c r="AP28" i="36"/>
  <c r="AO28" i="36"/>
  <c r="AN28" i="36"/>
  <c r="AM28" i="36"/>
  <c r="AL28" i="36"/>
  <c r="BA27" i="36"/>
  <c r="AZ27" i="36"/>
  <c r="AY27" i="36"/>
  <c r="AX27" i="36"/>
  <c r="AW27" i="36"/>
  <c r="AV27" i="36"/>
  <c r="AU27" i="36"/>
  <c r="AT27" i="36"/>
  <c r="AS27" i="36"/>
  <c r="AR27" i="36"/>
  <c r="AQ27" i="36"/>
  <c r="AP27" i="36"/>
  <c r="AO27" i="36"/>
  <c r="AN27" i="36"/>
  <c r="AM27" i="36"/>
  <c r="AL27" i="36"/>
  <c r="BA26" i="36"/>
  <c r="AZ26" i="36"/>
  <c r="AY26" i="36"/>
  <c r="AX26" i="36"/>
  <c r="AW26" i="36"/>
  <c r="AV26" i="36"/>
  <c r="AU26" i="36"/>
  <c r="AT26" i="36"/>
  <c r="AS26" i="36"/>
  <c r="AR26" i="36"/>
  <c r="AQ26" i="36"/>
  <c r="AP26" i="36"/>
  <c r="AO26" i="36"/>
  <c r="AN26" i="36"/>
  <c r="AM26" i="36"/>
  <c r="AL26" i="36"/>
  <c r="BA25" i="36"/>
  <c r="AZ25" i="36"/>
  <c r="AY25" i="36"/>
  <c r="AX25" i="36"/>
  <c r="AW25" i="36"/>
  <c r="AV25" i="36"/>
  <c r="AU25" i="36"/>
  <c r="AT25" i="36"/>
  <c r="AS25" i="36"/>
  <c r="AR25" i="36"/>
  <c r="AQ25" i="36"/>
  <c r="AP25" i="36"/>
  <c r="AO25" i="36"/>
  <c r="AN25" i="36"/>
  <c r="AM25" i="36"/>
  <c r="AL25" i="36"/>
  <c r="N25" i="36" s="1"/>
  <c r="BA24" i="36"/>
  <c r="AZ24" i="36"/>
  <c r="AY24" i="36"/>
  <c r="AX24" i="36"/>
  <c r="AW24" i="36"/>
  <c r="AV24" i="36"/>
  <c r="AU24" i="36"/>
  <c r="AT24" i="36"/>
  <c r="AS24" i="36"/>
  <c r="AR24" i="36"/>
  <c r="AQ24" i="36"/>
  <c r="AP24" i="36"/>
  <c r="AO24" i="36"/>
  <c r="AN24" i="36"/>
  <c r="AM24" i="36"/>
  <c r="AL24" i="36"/>
  <c r="N24" i="36" s="1"/>
  <c r="BA23" i="36"/>
  <c r="AZ23" i="36"/>
  <c r="AY23" i="36"/>
  <c r="AX23" i="36"/>
  <c r="AW23" i="36"/>
  <c r="AV23" i="36"/>
  <c r="AU23" i="36"/>
  <c r="AT23" i="36"/>
  <c r="AS23" i="36"/>
  <c r="AR23" i="36"/>
  <c r="AQ23" i="36"/>
  <c r="AP23" i="36"/>
  <c r="AO23" i="36"/>
  <c r="AN23" i="36"/>
  <c r="AM23" i="36"/>
  <c r="AL23" i="36"/>
  <c r="BA22" i="36"/>
  <c r="AZ22" i="36"/>
  <c r="AY22" i="36"/>
  <c r="AX22" i="36"/>
  <c r="AW22" i="36"/>
  <c r="AV22" i="36"/>
  <c r="AU22" i="36"/>
  <c r="AT22" i="36"/>
  <c r="AS22" i="36"/>
  <c r="AR22" i="36"/>
  <c r="AQ22" i="36"/>
  <c r="AP22" i="36"/>
  <c r="AO22" i="36"/>
  <c r="AN22" i="36"/>
  <c r="AM22" i="36"/>
  <c r="AL22" i="36"/>
  <c r="BA21" i="36"/>
  <c r="AZ21" i="36"/>
  <c r="AY21" i="36"/>
  <c r="AX21" i="36"/>
  <c r="AW21" i="36"/>
  <c r="AV21" i="36"/>
  <c r="AU21" i="36"/>
  <c r="AT21" i="36"/>
  <c r="AS21" i="36"/>
  <c r="AR21" i="36"/>
  <c r="AQ21" i="36"/>
  <c r="AP21" i="36"/>
  <c r="AO21" i="36"/>
  <c r="AN21" i="36"/>
  <c r="AM21" i="36"/>
  <c r="AL21" i="36"/>
  <c r="N21" i="36" s="1"/>
  <c r="BA20" i="36"/>
  <c r="AZ20" i="36"/>
  <c r="AY20" i="36"/>
  <c r="AX20" i="36"/>
  <c r="AW20" i="36"/>
  <c r="AV20" i="36"/>
  <c r="AU20" i="36"/>
  <c r="AT20" i="36"/>
  <c r="AS20" i="36"/>
  <c r="AR20" i="36"/>
  <c r="AQ20" i="36"/>
  <c r="AP20" i="36"/>
  <c r="AO20" i="36"/>
  <c r="AN20" i="36"/>
  <c r="AM20" i="36"/>
  <c r="AL20" i="36"/>
  <c r="BA19" i="36"/>
  <c r="AZ19" i="36"/>
  <c r="AY19" i="36"/>
  <c r="AX19" i="36"/>
  <c r="AW19" i="36"/>
  <c r="AV19" i="36"/>
  <c r="AU19" i="36"/>
  <c r="AT19" i="36"/>
  <c r="AS19" i="36"/>
  <c r="AR19" i="36"/>
  <c r="AQ19" i="36"/>
  <c r="AP19" i="36"/>
  <c r="AO19" i="36"/>
  <c r="AN19" i="36"/>
  <c r="AM19" i="36"/>
  <c r="AL19" i="36"/>
  <c r="L19" i="36"/>
  <c r="O4" i="36"/>
  <c r="O3" i="36"/>
  <c r="O2" i="36"/>
  <c r="B20" i="35"/>
  <c r="B19" i="36"/>
  <c r="R66" i="36"/>
  <c r="J66" i="36"/>
  <c r="R65" i="36"/>
  <c r="J65" i="36"/>
  <c r="R64" i="36"/>
  <c r="J64" i="36"/>
  <c r="D64" i="36"/>
  <c r="G64" i="36" s="1"/>
  <c r="K64" i="36" s="1"/>
  <c r="R63" i="36"/>
  <c r="J63" i="36"/>
  <c r="R62" i="36"/>
  <c r="J62" i="36"/>
  <c r="D62" i="36"/>
  <c r="N60" i="36" s="1"/>
  <c r="R61" i="36"/>
  <c r="R60" i="36"/>
  <c r="J60" i="36"/>
  <c r="K60" i="36" s="1"/>
  <c r="R59" i="36"/>
  <c r="J59" i="36"/>
  <c r="R58" i="36"/>
  <c r="J58" i="36"/>
  <c r="R57" i="36"/>
  <c r="J57" i="36"/>
  <c r="R56" i="36"/>
  <c r="J56" i="36"/>
  <c r="G56" i="36"/>
  <c r="N56" i="36" s="1"/>
  <c r="R55" i="36"/>
  <c r="N55" i="36"/>
  <c r="K55" i="36"/>
  <c r="P55" i="36" s="1"/>
  <c r="S55" i="36" s="1"/>
  <c r="G55" i="36"/>
  <c r="R54" i="36"/>
  <c r="J54" i="36"/>
  <c r="G54" i="36"/>
  <c r="R53" i="36"/>
  <c r="N53" i="36"/>
  <c r="J53" i="36"/>
  <c r="K53" i="36" s="1"/>
  <c r="P53" i="36" s="1"/>
  <c r="R52" i="36"/>
  <c r="J48" i="36"/>
  <c r="J47" i="36"/>
  <c r="J46" i="36"/>
  <c r="J45" i="36"/>
  <c r="J44" i="36"/>
  <c r="J43" i="36"/>
  <c r="J42" i="36"/>
  <c r="J41" i="36"/>
  <c r="J40" i="36"/>
  <c r="J39" i="36"/>
  <c r="N38" i="36"/>
  <c r="J38" i="36"/>
  <c r="J37" i="36"/>
  <c r="J36" i="36"/>
  <c r="J35" i="36"/>
  <c r="J34" i="36"/>
  <c r="J33" i="36"/>
  <c r="J32" i="36"/>
  <c r="J31" i="36"/>
  <c r="J30" i="36"/>
  <c r="N29" i="36"/>
  <c r="J29" i="36"/>
  <c r="J28" i="36"/>
  <c r="J27" i="36"/>
  <c r="J26" i="36"/>
  <c r="J25" i="36"/>
  <c r="J24" i="36"/>
  <c r="J23" i="36"/>
  <c r="J22" i="36"/>
  <c r="R21" i="36"/>
  <c r="R22" i="36" s="1"/>
  <c r="R23" i="36" s="1"/>
  <c r="R24" i="36" s="1"/>
  <c r="R25" i="36" s="1"/>
  <c r="R26" i="36" s="1"/>
  <c r="R27" i="36" s="1"/>
  <c r="R28" i="36" s="1"/>
  <c r="R29" i="36" s="1"/>
  <c r="R30" i="36" s="1"/>
  <c r="R31" i="36" s="1"/>
  <c r="R32" i="36" s="1"/>
  <c r="R33" i="36" s="1"/>
  <c r="R34" i="36" s="1"/>
  <c r="R35" i="36" s="1"/>
  <c r="R36" i="36" s="1"/>
  <c r="R37" i="36" s="1"/>
  <c r="R38" i="36" s="1"/>
  <c r="R39" i="36" s="1"/>
  <c r="R40" i="36" s="1"/>
  <c r="R41" i="36" s="1"/>
  <c r="R42" i="36" s="1"/>
  <c r="R43" i="36" s="1"/>
  <c r="R44" i="36" s="1"/>
  <c r="R45" i="36" s="1"/>
  <c r="R46" i="36" s="1"/>
  <c r="R47" i="36" s="1"/>
  <c r="R48" i="36" s="1"/>
  <c r="Q21" i="36"/>
  <c r="Q22" i="36" s="1"/>
  <c r="Q23" i="36" s="1"/>
  <c r="Q24" i="36" s="1"/>
  <c r="Q25" i="36" s="1"/>
  <c r="Q26" i="36" s="1"/>
  <c r="Q27" i="36" s="1"/>
  <c r="Q28" i="36" s="1"/>
  <c r="Q29" i="36" s="1"/>
  <c r="Q30" i="36" s="1"/>
  <c r="Q31" i="36" s="1"/>
  <c r="Q32" i="36" s="1"/>
  <c r="Q33" i="36" s="1"/>
  <c r="Q34" i="36" s="1"/>
  <c r="Q35" i="36" s="1"/>
  <c r="Q36" i="36" s="1"/>
  <c r="Q37" i="36" s="1"/>
  <c r="Q38" i="36" s="1"/>
  <c r="Q39" i="36" s="1"/>
  <c r="Q40" i="36" s="1"/>
  <c r="Q41" i="36" s="1"/>
  <c r="Q42" i="36" s="1"/>
  <c r="Q43" i="36" s="1"/>
  <c r="Q44" i="36" s="1"/>
  <c r="Q45" i="36" s="1"/>
  <c r="Q46" i="36" s="1"/>
  <c r="Q47" i="36" s="1"/>
  <c r="Q48" i="36" s="1"/>
  <c r="J21" i="36"/>
  <c r="AF20" i="36"/>
  <c r="AF21" i="36" s="1"/>
  <c r="AF22" i="36" s="1"/>
  <c r="AF23" i="36" s="1"/>
  <c r="AF24" i="36" s="1"/>
  <c r="AF25" i="36" s="1"/>
  <c r="AF26" i="36" s="1"/>
  <c r="AF27" i="36" s="1"/>
  <c r="AF28" i="36" s="1"/>
  <c r="AF29" i="36" s="1"/>
  <c r="AF30" i="36" s="1"/>
  <c r="AF31" i="36" s="1"/>
  <c r="AF32" i="36" s="1"/>
  <c r="AF33" i="36" s="1"/>
  <c r="AF34" i="36" s="1"/>
  <c r="AF35" i="36" s="1"/>
  <c r="AF36" i="36" s="1"/>
  <c r="AF37" i="36" s="1"/>
  <c r="AF38" i="36" s="1"/>
  <c r="AF39" i="36" s="1"/>
  <c r="AF40" i="36" s="1"/>
  <c r="AF41" i="36" s="1"/>
  <c r="AF42" i="36" s="1"/>
  <c r="AF43" i="36" s="1"/>
  <c r="AF44" i="36" s="1"/>
  <c r="AF45" i="36" s="1"/>
  <c r="AF46" i="36" s="1"/>
  <c r="AF47" i="36" s="1"/>
  <c r="AF48" i="36" s="1"/>
  <c r="Y20" i="36"/>
  <c r="Y21" i="36" s="1"/>
  <c r="Y22" i="36" s="1"/>
  <c r="Y23" i="36" s="1"/>
  <c r="Y24" i="36" s="1"/>
  <c r="Y25" i="36" s="1"/>
  <c r="Y26" i="36" s="1"/>
  <c r="Y27" i="36" s="1"/>
  <c r="Y28" i="36" s="1"/>
  <c r="Y29" i="36" s="1"/>
  <c r="Y30" i="36" s="1"/>
  <c r="Y31" i="36" s="1"/>
  <c r="Y32" i="36" s="1"/>
  <c r="Y33" i="36" s="1"/>
  <c r="Y34" i="36" s="1"/>
  <c r="Y35" i="36" s="1"/>
  <c r="Y36" i="36" s="1"/>
  <c r="Y37" i="36" s="1"/>
  <c r="Y38" i="36" s="1"/>
  <c r="Y39" i="36" s="1"/>
  <c r="Y40" i="36" s="1"/>
  <c r="Y41" i="36" s="1"/>
  <c r="Y42" i="36" s="1"/>
  <c r="Y43" i="36" s="1"/>
  <c r="Y44" i="36" s="1"/>
  <c r="Y45" i="36" s="1"/>
  <c r="Y46" i="36" s="1"/>
  <c r="Y47" i="36" s="1"/>
  <c r="Y48" i="36" s="1"/>
  <c r="R20" i="36"/>
  <c r="Q20" i="36"/>
  <c r="O20" i="36"/>
  <c r="O21" i="36" s="1"/>
  <c r="O22" i="36" s="1"/>
  <c r="O23" i="36" s="1"/>
  <c r="O24" i="36" s="1"/>
  <c r="O25" i="36" s="1"/>
  <c r="O26" i="36" s="1"/>
  <c r="O27" i="36" s="1"/>
  <c r="O28" i="36" s="1"/>
  <c r="O29" i="36" s="1"/>
  <c r="O30" i="36" s="1"/>
  <c r="O31" i="36" s="1"/>
  <c r="O32" i="36" s="1"/>
  <c r="O33" i="36" s="1"/>
  <c r="O34" i="36" s="1"/>
  <c r="O35" i="36" s="1"/>
  <c r="O36" i="36" s="1"/>
  <c r="O37" i="36" s="1"/>
  <c r="O38" i="36" s="1"/>
  <c r="O39" i="36" s="1"/>
  <c r="O40" i="36" s="1"/>
  <c r="O41" i="36" s="1"/>
  <c r="O42" i="36" s="1"/>
  <c r="O43" i="36" s="1"/>
  <c r="O44" i="36" s="1"/>
  <c r="O45" i="36" s="1"/>
  <c r="O46" i="36" s="1"/>
  <c r="O47" i="36" s="1"/>
  <c r="O48" i="36" s="1"/>
  <c r="J20" i="36"/>
  <c r="L20" i="36"/>
  <c r="L21" i="36" s="1"/>
  <c r="L22" i="36" s="1"/>
  <c r="L23" i="36" s="1"/>
  <c r="L24" i="36" s="1"/>
  <c r="L25" i="36" s="1"/>
  <c r="L26" i="36" s="1"/>
  <c r="L27" i="36" s="1"/>
  <c r="L28" i="36" s="1"/>
  <c r="L29" i="36" s="1"/>
  <c r="L30" i="36" s="1"/>
  <c r="L31" i="36" s="1"/>
  <c r="L32" i="36" s="1"/>
  <c r="L33" i="36" s="1"/>
  <c r="L34" i="36" s="1"/>
  <c r="L35" i="36" s="1"/>
  <c r="L36" i="36" s="1"/>
  <c r="L37" i="36" s="1"/>
  <c r="L38" i="36" s="1"/>
  <c r="L39" i="36" s="1"/>
  <c r="L40" i="36" s="1"/>
  <c r="L41" i="36" s="1"/>
  <c r="L42" i="36" s="1"/>
  <c r="L43" i="36" s="1"/>
  <c r="L44" i="36" s="1"/>
  <c r="L45" i="36" s="1"/>
  <c r="L46" i="36" s="1"/>
  <c r="L47" i="36" s="1"/>
  <c r="L48" i="36" s="1"/>
  <c r="B20" i="36"/>
  <c r="B21" i="36" s="1"/>
  <c r="B22" i="36" s="1"/>
  <c r="B23" i="36" s="1"/>
  <c r="B24" i="36" s="1"/>
  <c r="B25" i="36" s="1"/>
  <c r="B26" i="36" s="1"/>
  <c r="B27" i="36" s="1"/>
  <c r="B28" i="36" s="1"/>
  <c r="B29" i="36" s="1"/>
  <c r="B30" i="36" s="1"/>
  <c r="B31" i="36" s="1"/>
  <c r="B32" i="36" s="1"/>
  <c r="B33" i="36" s="1"/>
  <c r="B34" i="36" s="1"/>
  <c r="B35" i="36" s="1"/>
  <c r="B36" i="36" s="1"/>
  <c r="B37" i="36" s="1"/>
  <c r="B38" i="36" s="1"/>
  <c r="B39" i="36" s="1"/>
  <c r="B40" i="36" s="1"/>
  <c r="B41" i="36" s="1"/>
  <c r="B42" i="36" s="1"/>
  <c r="B43" i="36" s="1"/>
  <c r="B44" i="36" s="1"/>
  <c r="B45" i="36" s="1"/>
  <c r="B46" i="36" s="1"/>
  <c r="B47" i="36" s="1"/>
  <c r="B48" i="36" s="1"/>
  <c r="I10" i="36"/>
  <c r="H10" i="36" s="1"/>
  <c r="E10" i="36"/>
  <c r="I9" i="36"/>
  <c r="G9" i="36" s="1"/>
  <c r="H9" i="36"/>
  <c r="E9" i="36"/>
  <c r="D9" i="36" s="1"/>
  <c r="C9" i="36"/>
  <c r="I8" i="36"/>
  <c r="H8" i="36" s="1"/>
  <c r="E8" i="36"/>
  <c r="I7" i="36"/>
  <c r="H7" i="36"/>
  <c r="G7" i="36"/>
  <c r="E7" i="36"/>
  <c r="D7" i="36" s="1"/>
  <c r="C7" i="36"/>
  <c r="I6" i="36"/>
  <c r="H6" i="36" s="1"/>
  <c r="E6" i="36"/>
  <c r="I5" i="36"/>
  <c r="E5" i="36"/>
  <c r="D5" i="36"/>
  <c r="C5" i="36"/>
  <c r="I4" i="36"/>
  <c r="H4" i="36"/>
  <c r="G4" i="36"/>
  <c r="E4" i="36"/>
  <c r="D4" i="36" s="1"/>
  <c r="I3" i="36"/>
  <c r="H3" i="36" s="1"/>
  <c r="G3" i="36"/>
  <c r="E3" i="36"/>
  <c r="D3" i="36" s="1"/>
  <c r="I10" i="35"/>
  <c r="H10" i="35" s="1"/>
  <c r="E10" i="35"/>
  <c r="D10" i="35"/>
  <c r="C10" i="35"/>
  <c r="I9" i="35"/>
  <c r="H9" i="35" s="1"/>
  <c r="E9" i="35"/>
  <c r="C9" i="35" s="1"/>
  <c r="D9" i="35"/>
  <c r="I8" i="35"/>
  <c r="H8" i="35" s="1"/>
  <c r="E8" i="35"/>
  <c r="D8" i="35" s="1"/>
  <c r="I7" i="35"/>
  <c r="H7" i="35" s="1"/>
  <c r="E7" i="35"/>
  <c r="C7" i="35" s="1"/>
  <c r="I6" i="35"/>
  <c r="H6" i="35" s="1"/>
  <c r="E6" i="35"/>
  <c r="D6" i="35" s="1"/>
  <c r="I5" i="35"/>
  <c r="H5" i="35" s="1"/>
  <c r="E5" i="35"/>
  <c r="C5" i="35" s="1"/>
  <c r="I4" i="35"/>
  <c r="H4" i="35" s="1"/>
  <c r="E4" i="35"/>
  <c r="C4" i="35" s="1"/>
  <c r="I3" i="35"/>
  <c r="H3" i="35" s="1"/>
  <c r="E3" i="35"/>
  <c r="C3" i="35" s="1"/>
  <c r="D3" i="35"/>
  <c r="T33" i="34"/>
  <c r="R33" i="34"/>
  <c r="D49" i="35"/>
  <c r="AA33" i="34" s="1"/>
  <c r="C49" i="35"/>
  <c r="T32" i="34"/>
  <c r="R32" i="34"/>
  <c r="T31" i="34"/>
  <c r="R31" i="34"/>
  <c r="D47" i="35"/>
  <c r="AA31" i="34" s="1"/>
  <c r="C47" i="35"/>
  <c r="T30" i="34"/>
  <c r="R30" i="34"/>
  <c r="D46" i="35"/>
  <c r="AA30" i="34" s="1"/>
  <c r="C46" i="35"/>
  <c r="T29" i="34"/>
  <c r="R29" i="34"/>
  <c r="D45" i="35"/>
  <c r="AA29" i="34" s="1"/>
  <c r="C45" i="35"/>
  <c r="T28" i="34"/>
  <c r="R28" i="34"/>
  <c r="T27" i="34"/>
  <c r="R27" i="34"/>
  <c r="D43" i="35"/>
  <c r="AA27" i="34" s="1"/>
  <c r="C43" i="35"/>
  <c r="T26" i="34"/>
  <c r="R26" i="34"/>
  <c r="D42" i="35"/>
  <c r="AA26" i="34" s="1"/>
  <c r="C42" i="35"/>
  <c r="T25" i="34"/>
  <c r="R25" i="34"/>
  <c r="D41" i="35"/>
  <c r="AA25" i="34" s="1"/>
  <c r="C41" i="35"/>
  <c r="T24" i="34"/>
  <c r="R24" i="34"/>
  <c r="D40" i="35"/>
  <c r="AA24" i="34" s="1"/>
  <c r="T23" i="34"/>
  <c r="R23" i="34"/>
  <c r="D39" i="35"/>
  <c r="AA23" i="34" s="1"/>
  <c r="C39" i="35"/>
  <c r="T22" i="34"/>
  <c r="R22" i="34"/>
  <c r="D38" i="35"/>
  <c r="AA22" i="34" s="1"/>
  <c r="C38" i="35"/>
  <c r="T21" i="34"/>
  <c r="R21" i="34"/>
  <c r="D37" i="35"/>
  <c r="AA21" i="34" s="1"/>
  <c r="C37" i="35"/>
  <c r="T20" i="34"/>
  <c r="R20" i="34"/>
  <c r="T19" i="34"/>
  <c r="R19" i="34"/>
  <c r="D35" i="35"/>
  <c r="AA19" i="34" s="1"/>
  <c r="C35" i="35"/>
  <c r="T18" i="34"/>
  <c r="R18" i="34"/>
  <c r="D34" i="35"/>
  <c r="AA18" i="34" s="1"/>
  <c r="C34" i="35"/>
  <c r="T17" i="34"/>
  <c r="R17" i="34"/>
  <c r="D33" i="35"/>
  <c r="AA17" i="34" s="1"/>
  <c r="C33" i="35"/>
  <c r="T16" i="34"/>
  <c r="R16" i="34"/>
  <c r="T15" i="34"/>
  <c r="R15" i="34"/>
  <c r="D31" i="35"/>
  <c r="AA15" i="34" s="1"/>
  <c r="C31" i="35"/>
  <c r="T14" i="34"/>
  <c r="R14" i="34"/>
  <c r="D30" i="35"/>
  <c r="AA14" i="34" s="1"/>
  <c r="C30" i="35"/>
  <c r="T13" i="34"/>
  <c r="R13" i="34"/>
  <c r="D29" i="35"/>
  <c r="AA13" i="34" s="1"/>
  <c r="C29" i="35"/>
  <c r="T12" i="34"/>
  <c r="R12" i="34"/>
  <c r="AJ11" i="34"/>
  <c r="AI11" i="34" s="1"/>
  <c r="AF11" i="34"/>
  <c r="AD11" i="34" s="1"/>
  <c r="AE11" i="34"/>
  <c r="R11" i="34"/>
  <c r="D27" i="35"/>
  <c r="AA11" i="34" s="1"/>
  <c r="C27" i="35"/>
  <c r="AJ10" i="34"/>
  <c r="AI10" i="34" s="1"/>
  <c r="AF10" i="34"/>
  <c r="AD10" i="34" s="1"/>
  <c r="AE10" i="34"/>
  <c r="R10" i="34"/>
  <c r="D26" i="35"/>
  <c r="AA10" i="34" s="1"/>
  <c r="C26" i="35"/>
  <c r="AJ9" i="34"/>
  <c r="AH9" i="34" s="1"/>
  <c r="AI9" i="34"/>
  <c r="AF9" i="34"/>
  <c r="AE9" i="34" s="1"/>
  <c r="AD9" i="34"/>
  <c r="T9" i="34"/>
  <c r="R9" i="34"/>
  <c r="D25" i="35"/>
  <c r="AA9" i="34" s="1"/>
  <c r="C25" i="35"/>
  <c r="AJ8" i="34"/>
  <c r="AI8" i="34" s="1"/>
  <c r="AF8" i="34"/>
  <c r="AD8" i="34" s="1"/>
  <c r="AE8" i="34"/>
  <c r="R8" i="34"/>
  <c r="AJ7" i="34"/>
  <c r="AI7" i="34"/>
  <c r="AH7" i="34"/>
  <c r="AF7" i="34"/>
  <c r="AE7" i="34" s="1"/>
  <c r="AD7" i="34"/>
  <c r="R7" i="34"/>
  <c r="D23" i="35"/>
  <c r="AA7" i="34" s="1"/>
  <c r="C23" i="35"/>
  <c r="AJ6" i="34"/>
  <c r="AI6" i="34" s="1"/>
  <c r="AF6" i="34"/>
  <c r="AD6" i="34" s="1"/>
  <c r="AE6" i="34"/>
  <c r="T6" i="34"/>
  <c r="R6" i="34"/>
  <c r="D22" i="35"/>
  <c r="AA6" i="34" s="1"/>
  <c r="C22" i="35"/>
  <c r="AJ5" i="34"/>
  <c r="AI5" i="34"/>
  <c r="AH5" i="34"/>
  <c r="AF5" i="34"/>
  <c r="AE5" i="34" s="1"/>
  <c r="R5" i="34"/>
  <c r="D21" i="35"/>
  <c r="AA5" i="34" s="1"/>
  <c r="C21" i="35"/>
  <c r="B5" i="34"/>
  <c r="B6" i="34" s="1"/>
  <c r="B7" i="34" s="1"/>
  <c r="B8" i="34" s="1"/>
  <c r="B9" i="34" s="1"/>
  <c r="B10" i="34" s="1"/>
  <c r="B11" i="34" s="1"/>
  <c r="B12" i="34" s="1"/>
  <c r="B13" i="34" s="1"/>
  <c r="B14" i="34" s="1"/>
  <c r="B15" i="34" s="1"/>
  <c r="B16" i="34" s="1"/>
  <c r="B17" i="34" s="1"/>
  <c r="B18" i="34" s="1"/>
  <c r="B19" i="34" s="1"/>
  <c r="B20" i="34" s="1"/>
  <c r="B21" i="34" s="1"/>
  <c r="B22" i="34" s="1"/>
  <c r="B23" i="34" s="1"/>
  <c r="B24" i="34" s="1"/>
  <c r="B25" i="34" s="1"/>
  <c r="B26" i="34" s="1"/>
  <c r="B27" i="34" s="1"/>
  <c r="B28" i="34" s="1"/>
  <c r="B29" i="34" s="1"/>
  <c r="B30" i="34" s="1"/>
  <c r="B31" i="34" s="1"/>
  <c r="B32" i="34" s="1"/>
  <c r="B33" i="34" s="1"/>
  <c r="AJ4" i="34"/>
  <c r="AI4" i="34" s="1"/>
  <c r="AF4" i="34"/>
  <c r="AD4" i="34" s="1"/>
  <c r="AE4" i="34"/>
  <c r="T4" i="34"/>
  <c r="R4" i="34"/>
  <c r="D20" i="35"/>
  <c r="C20" i="35"/>
  <c r="D4" i="35" l="1"/>
  <c r="C8" i="35"/>
  <c r="D7" i="35"/>
  <c r="AH11" i="34"/>
  <c r="D19" i="36"/>
  <c r="AI19" i="36" s="1"/>
  <c r="AD5" i="34"/>
  <c r="C6" i="35"/>
  <c r="D5" i="35"/>
  <c r="G4" i="35"/>
  <c r="G6" i="35"/>
  <c r="G8" i="35"/>
  <c r="G10" i="35"/>
  <c r="N20" i="36"/>
  <c r="N26" i="36"/>
  <c r="N28" i="36"/>
  <c r="N42" i="36"/>
  <c r="N43" i="36"/>
  <c r="G62" i="36"/>
  <c r="K62" i="36" s="1"/>
  <c r="O5" i="36"/>
  <c r="N22" i="36"/>
  <c r="N30" i="36"/>
  <c r="N31" i="36"/>
  <c r="N32" i="36"/>
  <c r="N40" i="36"/>
  <c r="N46" i="36"/>
  <c r="N47" i="36"/>
  <c r="K56" i="36"/>
  <c r="P56" i="36" s="1"/>
  <c r="S56" i="36" s="1"/>
  <c r="C4" i="36"/>
  <c r="N19" i="36"/>
  <c r="N34" i="36"/>
  <c r="N35" i="36"/>
  <c r="N36" i="36"/>
  <c r="N44" i="36"/>
  <c r="T8" i="34"/>
  <c r="T11" i="34"/>
  <c r="T5" i="34"/>
  <c r="T10" i="34"/>
  <c r="T7" i="34"/>
  <c r="AC19" i="36"/>
  <c r="AC20" i="36" s="1"/>
  <c r="AC21" i="36" s="1"/>
  <c r="AC22" i="36" s="1"/>
  <c r="AC23" i="36" s="1"/>
  <c r="AC24" i="36" s="1"/>
  <c r="AC25" i="36" s="1"/>
  <c r="AC26" i="36" s="1"/>
  <c r="AC27" i="36" s="1"/>
  <c r="AC28" i="36" s="1"/>
  <c r="AC29" i="36" s="1"/>
  <c r="AC30" i="36" s="1"/>
  <c r="AC31" i="36" s="1"/>
  <c r="AC32" i="36" s="1"/>
  <c r="AC33" i="36" s="1"/>
  <c r="AC34" i="36" s="1"/>
  <c r="AC35" i="36" s="1"/>
  <c r="AC36" i="36" s="1"/>
  <c r="AC37" i="36" s="1"/>
  <c r="AC38" i="36" s="1"/>
  <c r="AC39" i="36" s="1"/>
  <c r="AC40" i="36" s="1"/>
  <c r="AC41" i="36" s="1"/>
  <c r="AC42" i="36" s="1"/>
  <c r="AC43" i="36" s="1"/>
  <c r="AC44" i="36" s="1"/>
  <c r="AC45" i="36" s="1"/>
  <c r="AC46" i="36" s="1"/>
  <c r="AC47" i="36" s="1"/>
  <c r="AC48" i="36" s="1"/>
  <c r="AA4" i="34"/>
  <c r="AH4" i="34"/>
  <c r="G5" i="34"/>
  <c r="AH6" i="34"/>
  <c r="AH8" i="34"/>
  <c r="AH10" i="34"/>
  <c r="E20" i="35"/>
  <c r="E21" i="35" s="1"/>
  <c r="E22" i="35" s="1"/>
  <c r="E23" i="35" s="1"/>
  <c r="E24" i="35" s="1"/>
  <c r="E25" i="35" s="1"/>
  <c r="E26" i="35" s="1"/>
  <c r="E27" i="35" s="1"/>
  <c r="E28" i="35" s="1"/>
  <c r="E29" i="35" s="1"/>
  <c r="E30" i="35" s="1"/>
  <c r="E31" i="35" s="1"/>
  <c r="E32" i="35" s="1"/>
  <c r="E33" i="35" s="1"/>
  <c r="E34" i="35" s="1"/>
  <c r="E35" i="35" s="1"/>
  <c r="E36" i="35" s="1"/>
  <c r="E37" i="35" s="1"/>
  <c r="E38" i="35" s="1"/>
  <c r="E39" i="35" s="1"/>
  <c r="E40" i="35" s="1"/>
  <c r="E41" i="35" s="1"/>
  <c r="E42" i="35" s="1"/>
  <c r="E43" i="35" s="1"/>
  <c r="E44" i="35" s="1"/>
  <c r="E45" i="35" s="1"/>
  <c r="E46" i="35" s="1"/>
  <c r="E47" i="35" s="1"/>
  <c r="E48" i="35" s="1"/>
  <c r="E49" i="35" s="1"/>
  <c r="B21" i="35"/>
  <c r="G3" i="35"/>
  <c r="G5" i="35"/>
  <c r="G7" i="35"/>
  <c r="G9" i="35"/>
  <c r="D6" i="36"/>
  <c r="C6" i="36"/>
  <c r="N23" i="36"/>
  <c r="N27" i="36"/>
  <c r="D60" i="36"/>
  <c r="N62" i="36" s="1"/>
  <c r="P62" i="36" s="1"/>
  <c r="S62" i="36" s="1"/>
  <c r="D10" i="36"/>
  <c r="C10" i="36"/>
  <c r="H5" i="36"/>
  <c r="G5" i="36"/>
  <c r="D8" i="36"/>
  <c r="C8" i="36"/>
  <c r="P19" i="36"/>
  <c r="P20" i="36" s="1"/>
  <c r="P21" i="36" s="1"/>
  <c r="P22" i="36" s="1"/>
  <c r="P23" i="36" s="1"/>
  <c r="P24" i="36" s="1"/>
  <c r="P25" i="36" s="1"/>
  <c r="P26" i="36" s="1"/>
  <c r="P27" i="36" s="1"/>
  <c r="P28" i="36" s="1"/>
  <c r="P29" i="36" s="1"/>
  <c r="P30" i="36" s="1"/>
  <c r="P31" i="36" s="1"/>
  <c r="P32" i="36" s="1"/>
  <c r="P33" i="36" s="1"/>
  <c r="P34" i="36" s="1"/>
  <c r="P35" i="36" s="1"/>
  <c r="P36" i="36" s="1"/>
  <c r="P37" i="36" s="1"/>
  <c r="P38" i="36" s="1"/>
  <c r="P39" i="36" s="1"/>
  <c r="P40" i="36" s="1"/>
  <c r="P41" i="36" s="1"/>
  <c r="P42" i="36" s="1"/>
  <c r="P43" i="36" s="1"/>
  <c r="P44" i="36" s="1"/>
  <c r="P45" i="36" s="1"/>
  <c r="P46" i="36" s="1"/>
  <c r="P47" i="36" s="1"/>
  <c r="P48" i="36" s="1"/>
  <c r="C3" i="36"/>
  <c r="G6" i="36"/>
  <c r="G8" i="36"/>
  <c r="G10" i="36"/>
  <c r="K54" i="36"/>
  <c r="P60" i="36"/>
  <c r="S60" i="36" s="1"/>
  <c r="S53" i="36"/>
  <c r="D8" i="33" l="1"/>
  <c r="E4" i="34"/>
  <c r="F4" i="34" s="1"/>
  <c r="C19" i="36" s="1"/>
  <c r="E19" i="36" s="1"/>
  <c r="D8" i="20"/>
  <c r="X4" i="34"/>
  <c r="D61" i="36"/>
  <c r="N61" i="36" s="1"/>
  <c r="P61" i="36" s="1"/>
  <c r="S61" i="36" s="1"/>
  <c r="P4" i="34"/>
  <c r="D20" i="36"/>
  <c r="AI20" i="36" s="1"/>
  <c r="G6" i="34"/>
  <c r="X5" i="34"/>
  <c r="E5" i="34"/>
  <c r="F5" i="34" s="1"/>
  <c r="C20" i="36" s="1"/>
  <c r="B22" i="35"/>
  <c r="M466" i="22"/>
  <c r="E20" i="36" l="1"/>
  <c r="B23" i="35"/>
  <c r="D21" i="36"/>
  <c r="AI21" i="36" s="1"/>
  <c r="G7" i="34"/>
  <c r="X6" i="34"/>
  <c r="E6" i="34"/>
  <c r="F6" i="34" s="1"/>
  <c r="C21" i="36" s="1"/>
  <c r="P5" i="34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13" i="3"/>
  <c r="B595" i="22"/>
  <c r="B596" i="22"/>
  <c r="B597" i="22"/>
  <c r="B598" i="22"/>
  <c r="B599" i="22"/>
  <c r="B600" i="22"/>
  <c r="B601" i="22"/>
  <c r="B602" i="22"/>
  <c r="B603" i="22"/>
  <c r="B604" i="22"/>
  <c r="B605" i="22"/>
  <c r="B606" i="22"/>
  <c r="B607" i="22"/>
  <c r="B608" i="22"/>
  <c r="B594" i="22"/>
  <c r="B258" i="22"/>
  <c r="B293" i="22" s="1"/>
  <c r="B329" i="22" s="1"/>
  <c r="B364" i="22" s="1"/>
  <c r="B259" i="22"/>
  <c r="B294" i="22" s="1"/>
  <c r="B330" i="22" s="1"/>
  <c r="B365" i="22" s="1"/>
  <c r="B260" i="22"/>
  <c r="B295" i="22" s="1"/>
  <c r="B331" i="22" s="1"/>
  <c r="B366" i="22" s="1"/>
  <c r="B261" i="22"/>
  <c r="B296" i="22" s="1"/>
  <c r="B332" i="22" s="1"/>
  <c r="B367" i="22" s="1"/>
  <c r="B262" i="22"/>
  <c r="B297" i="22" s="1"/>
  <c r="B333" i="22" s="1"/>
  <c r="B368" i="22" s="1"/>
  <c r="B263" i="22"/>
  <c r="B298" i="22" s="1"/>
  <c r="B334" i="22" s="1"/>
  <c r="B369" i="22" s="1"/>
  <c r="B264" i="22"/>
  <c r="B299" i="22" s="1"/>
  <c r="B335" i="22" s="1"/>
  <c r="B370" i="22" s="1"/>
  <c r="B265" i="22"/>
  <c r="B300" i="22" s="1"/>
  <c r="B336" i="22" s="1"/>
  <c r="B371" i="22" s="1"/>
  <c r="B266" i="22"/>
  <c r="B301" i="22" s="1"/>
  <c r="B337" i="22" s="1"/>
  <c r="B372" i="22" s="1"/>
  <c r="B267" i="22"/>
  <c r="B302" i="22" s="1"/>
  <c r="B338" i="22" s="1"/>
  <c r="B373" i="22" s="1"/>
  <c r="B268" i="22"/>
  <c r="B303" i="22" s="1"/>
  <c r="B339" i="22" s="1"/>
  <c r="B374" i="22" s="1"/>
  <c r="B269" i="22"/>
  <c r="B304" i="22" s="1"/>
  <c r="B340" i="22" s="1"/>
  <c r="B375" i="22" s="1"/>
  <c r="B270" i="22"/>
  <c r="B305" i="22" s="1"/>
  <c r="B341" i="22" s="1"/>
  <c r="B376" i="22" s="1"/>
  <c r="B271" i="22"/>
  <c r="B306" i="22" s="1"/>
  <c r="B342" i="22" s="1"/>
  <c r="B377" i="22" s="1"/>
  <c r="B272" i="22"/>
  <c r="B307" i="22" s="1"/>
  <c r="B343" i="22" s="1"/>
  <c r="B378" i="22" s="1"/>
  <c r="B273" i="22"/>
  <c r="B308" i="22" s="1"/>
  <c r="B344" i="22" s="1"/>
  <c r="B379" i="22" s="1"/>
  <c r="B274" i="22"/>
  <c r="B309" i="22" s="1"/>
  <c r="B345" i="22" s="1"/>
  <c r="B380" i="22" s="1"/>
  <c r="B275" i="22"/>
  <c r="B310" i="22" s="1"/>
  <c r="B346" i="22" s="1"/>
  <c r="B381" i="22" s="1"/>
  <c r="B276" i="22"/>
  <c r="B311" i="22" s="1"/>
  <c r="B347" i="22" s="1"/>
  <c r="B382" i="22" s="1"/>
  <c r="B277" i="22"/>
  <c r="B312" i="22" s="1"/>
  <c r="B348" i="22" s="1"/>
  <c r="B383" i="22" s="1"/>
  <c r="B278" i="22"/>
  <c r="B313" i="22" s="1"/>
  <c r="B349" i="22" s="1"/>
  <c r="B384" i="22" s="1"/>
  <c r="B279" i="22"/>
  <c r="B314" i="22" s="1"/>
  <c r="B350" i="22" s="1"/>
  <c r="B385" i="22" s="1"/>
  <c r="B280" i="22"/>
  <c r="B315" i="22" s="1"/>
  <c r="B351" i="22" s="1"/>
  <c r="B386" i="22" s="1"/>
  <c r="B281" i="22"/>
  <c r="B316" i="22" s="1"/>
  <c r="B352" i="22" s="1"/>
  <c r="B387" i="22" s="1"/>
  <c r="B282" i="22"/>
  <c r="B317" i="22" s="1"/>
  <c r="B353" i="22" s="1"/>
  <c r="B388" i="22" s="1"/>
  <c r="B283" i="22"/>
  <c r="B318" i="22" s="1"/>
  <c r="B354" i="22" s="1"/>
  <c r="B389" i="22" s="1"/>
  <c r="B284" i="22"/>
  <c r="B319" i="22" s="1"/>
  <c r="B355" i="22" s="1"/>
  <c r="B390" i="22" s="1"/>
  <c r="B285" i="22"/>
  <c r="B320" i="22" s="1"/>
  <c r="B356" i="22" s="1"/>
  <c r="B391" i="22" s="1"/>
  <c r="B286" i="22"/>
  <c r="B321" i="22" s="1"/>
  <c r="B357" i="22" s="1"/>
  <c r="B392" i="22" s="1"/>
  <c r="B257" i="22"/>
  <c r="B292" i="22" s="1"/>
  <c r="B328" i="22" s="1"/>
  <c r="B363" i="22" s="1"/>
  <c r="B225" i="22"/>
  <c r="B226" i="22"/>
  <c r="B227" i="22"/>
  <c r="B228" i="22"/>
  <c r="B229" i="22"/>
  <c r="B230" i="22"/>
  <c r="B231" i="22"/>
  <c r="B232" i="22"/>
  <c r="B233" i="22"/>
  <c r="B234" i="22"/>
  <c r="B235" i="22"/>
  <c r="B236" i="22"/>
  <c r="B237" i="22"/>
  <c r="B238" i="22"/>
  <c r="B224" i="22"/>
  <c r="B50" i="22"/>
  <c r="B86" i="22" s="1"/>
  <c r="B121" i="22" s="1"/>
  <c r="B51" i="22"/>
  <c r="B87" i="22" s="1"/>
  <c r="B122" i="22" s="1"/>
  <c r="B52" i="22"/>
  <c r="B88" i="22" s="1"/>
  <c r="B123" i="22" s="1"/>
  <c r="B53" i="22"/>
  <c r="B89" i="22" s="1"/>
  <c r="B124" i="22" s="1"/>
  <c r="B54" i="22"/>
  <c r="B90" i="22" s="1"/>
  <c r="B125" i="22" s="1"/>
  <c r="B55" i="22"/>
  <c r="B91" i="22" s="1"/>
  <c r="B126" i="22" s="1"/>
  <c r="B56" i="22"/>
  <c r="B92" i="22" s="1"/>
  <c r="B127" i="22" s="1"/>
  <c r="B57" i="22"/>
  <c r="B93" i="22" s="1"/>
  <c r="B128" i="22" s="1"/>
  <c r="B58" i="22"/>
  <c r="B94" i="22" s="1"/>
  <c r="B129" i="22" s="1"/>
  <c r="B59" i="22"/>
  <c r="B95" i="22" s="1"/>
  <c r="B130" i="22" s="1"/>
  <c r="B60" i="22"/>
  <c r="B96" i="22" s="1"/>
  <c r="B131" i="22" s="1"/>
  <c r="B61" i="22"/>
  <c r="B97" i="22" s="1"/>
  <c r="B132" i="22" s="1"/>
  <c r="B62" i="22"/>
  <c r="B98" i="22" s="1"/>
  <c r="B133" i="22" s="1"/>
  <c r="B63" i="22"/>
  <c r="B99" i="22" s="1"/>
  <c r="B134" i="22" s="1"/>
  <c r="B64" i="22"/>
  <c r="B100" i="22" s="1"/>
  <c r="B135" i="22" s="1"/>
  <c r="B65" i="22"/>
  <c r="B101" i="22" s="1"/>
  <c r="B136" i="22" s="1"/>
  <c r="B66" i="22"/>
  <c r="B102" i="22" s="1"/>
  <c r="B137" i="22" s="1"/>
  <c r="B67" i="22"/>
  <c r="B103" i="22" s="1"/>
  <c r="B138" i="22" s="1"/>
  <c r="B68" i="22"/>
  <c r="B104" i="22" s="1"/>
  <c r="B139" i="22" s="1"/>
  <c r="B69" i="22"/>
  <c r="B105" i="22" s="1"/>
  <c r="B140" i="22" s="1"/>
  <c r="B70" i="22"/>
  <c r="B106" i="22" s="1"/>
  <c r="B141" i="22" s="1"/>
  <c r="B71" i="22"/>
  <c r="B107" i="22" s="1"/>
  <c r="B142" i="22" s="1"/>
  <c r="B72" i="22"/>
  <c r="B108" i="22" s="1"/>
  <c r="B143" i="22" s="1"/>
  <c r="B73" i="22"/>
  <c r="B109" i="22" s="1"/>
  <c r="B144" i="22" s="1"/>
  <c r="B74" i="22"/>
  <c r="B110" i="22" s="1"/>
  <c r="B145" i="22" s="1"/>
  <c r="B75" i="22"/>
  <c r="B111" i="22" s="1"/>
  <c r="B146" i="22" s="1"/>
  <c r="B76" i="22"/>
  <c r="B112" i="22" s="1"/>
  <c r="B147" i="22" s="1"/>
  <c r="B77" i="22"/>
  <c r="B113" i="22" s="1"/>
  <c r="B148" i="22" s="1"/>
  <c r="B78" i="22"/>
  <c r="B114" i="22" s="1"/>
  <c r="B149" i="22" s="1"/>
  <c r="B49" i="22"/>
  <c r="B85" i="22" s="1"/>
  <c r="B120" i="22" s="1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14" i="22"/>
  <c r="D22" i="36" l="1"/>
  <c r="AI22" i="36" s="1"/>
  <c r="G8" i="34"/>
  <c r="X7" i="34"/>
  <c r="E7" i="34"/>
  <c r="F7" i="34" s="1"/>
  <c r="C22" i="36" s="1"/>
  <c r="P6" i="34"/>
  <c r="E21" i="36"/>
  <c r="B24" i="35"/>
  <c r="B25" i="35" l="1"/>
  <c r="D23" i="36"/>
  <c r="AI23" i="36" s="1"/>
  <c r="X8" i="34"/>
  <c r="G9" i="34"/>
  <c r="E8" i="34"/>
  <c r="F8" i="34" s="1"/>
  <c r="C23" i="36" s="1"/>
  <c r="P7" i="34"/>
  <c r="E22" i="36"/>
  <c r="E23" i="36" l="1"/>
  <c r="B26" i="35"/>
  <c r="P8" i="34"/>
  <c r="D24" i="36"/>
  <c r="AI24" i="36" s="1"/>
  <c r="G10" i="34"/>
  <c r="E9" i="34"/>
  <c r="F9" i="34" s="1"/>
  <c r="C24" i="36" s="1"/>
  <c r="X9" i="34"/>
  <c r="E24" i="36" l="1"/>
  <c r="D25" i="36"/>
  <c r="AI25" i="36" s="1"/>
  <c r="X10" i="34"/>
  <c r="G11" i="34"/>
  <c r="E10" i="34"/>
  <c r="F10" i="34" s="1"/>
  <c r="C25" i="36" s="1"/>
  <c r="P9" i="34"/>
  <c r="B27" i="35"/>
  <c r="B10" i="33"/>
  <c r="B11" i="33"/>
  <c r="H11" i="33" s="1"/>
  <c r="B12" i="33"/>
  <c r="B13" i="33"/>
  <c r="B14" i="33"/>
  <c r="B15" i="33"/>
  <c r="B16" i="33"/>
  <c r="B17" i="33"/>
  <c r="B18" i="33"/>
  <c r="B19" i="33"/>
  <c r="B20" i="33"/>
  <c r="B21" i="33"/>
  <c r="B22" i="33"/>
  <c r="B23" i="33"/>
  <c r="F23" i="33" s="1"/>
  <c r="B24" i="33"/>
  <c r="B25" i="33"/>
  <c r="B26" i="33"/>
  <c r="B27" i="33"/>
  <c r="B28" i="33"/>
  <c r="B29" i="33"/>
  <c r="B30" i="33"/>
  <c r="B31" i="33"/>
  <c r="K35" i="3" s="1"/>
  <c r="B32" i="33"/>
  <c r="B33" i="33"/>
  <c r="B34" i="33"/>
  <c r="B35" i="33"/>
  <c r="B36" i="33"/>
  <c r="B37" i="33"/>
  <c r="B38" i="33"/>
  <c r="B9" i="33"/>
  <c r="H36" i="33"/>
  <c r="G36" i="33"/>
  <c r="F36" i="33"/>
  <c r="G34" i="33"/>
  <c r="F34" i="33"/>
  <c r="H32" i="33"/>
  <c r="G32" i="33"/>
  <c r="F32" i="33"/>
  <c r="H31" i="33"/>
  <c r="H28" i="33"/>
  <c r="G28" i="33"/>
  <c r="I28" i="33" s="1"/>
  <c r="F28" i="33"/>
  <c r="F25" i="33"/>
  <c r="H24" i="33"/>
  <c r="G24" i="33"/>
  <c r="I24" i="33" s="1"/>
  <c r="F24" i="33"/>
  <c r="H23" i="33"/>
  <c r="F22" i="33"/>
  <c r="H20" i="33"/>
  <c r="G20" i="33"/>
  <c r="F20" i="33"/>
  <c r="G19" i="33"/>
  <c r="F18" i="33"/>
  <c r="H16" i="33"/>
  <c r="G16" i="33"/>
  <c r="I16" i="33" s="1"/>
  <c r="F16" i="33"/>
  <c r="G15" i="33"/>
  <c r="H12" i="33"/>
  <c r="G12" i="33"/>
  <c r="I12" i="33" s="1"/>
  <c r="F12" i="33"/>
  <c r="F11" i="33"/>
  <c r="AP437" i="22"/>
  <c r="P509" i="22" s="1"/>
  <c r="AP438" i="22"/>
  <c r="P530" i="22" s="1"/>
  <c r="AP439" i="22"/>
  <c r="AI485" i="22" s="1"/>
  <c r="U461" i="22"/>
  <c r="H467" i="22"/>
  <c r="L471" i="22"/>
  <c r="H479" i="22"/>
  <c r="Q485" i="22"/>
  <c r="G488" i="22"/>
  <c r="H493" i="22"/>
  <c r="L497" i="22"/>
  <c r="G500" i="22"/>
  <c r="H505" i="22"/>
  <c r="G513" i="22"/>
  <c r="H526" i="22"/>
  <c r="G534" i="22"/>
  <c r="H540" i="22"/>
  <c r="L579" i="22"/>
  <c r="K7" i="3"/>
  <c r="M10" i="3"/>
  <c r="K12" i="3"/>
  <c r="K14" i="3"/>
  <c r="K16" i="3"/>
  <c r="K18" i="3"/>
  <c r="K19" i="3"/>
  <c r="K20" i="3"/>
  <c r="K24" i="3"/>
  <c r="K28" i="3"/>
  <c r="K31" i="3"/>
  <c r="K32" i="3"/>
  <c r="K36" i="3"/>
  <c r="K39" i="3"/>
  <c r="K40" i="3"/>
  <c r="B59" i="33"/>
  <c r="B79" i="33" s="1"/>
  <c r="B99" i="33" s="1"/>
  <c r="B58" i="33"/>
  <c r="B78" i="33" s="1"/>
  <c r="B98" i="33" s="1"/>
  <c r="B57" i="33"/>
  <c r="B77" i="33" s="1"/>
  <c r="B97" i="33" s="1"/>
  <c r="B56" i="33"/>
  <c r="B76" i="33" s="1"/>
  <c r="B96" i="33" s="1"/>
  <c r="B55" i="33"/>
  <c r="B75" i="33" s="1"/>
  <c r="B95" i="33" s="1"/>
  <c r="B54" i="33"/>
  <c r="B74" i="33" s="1"/>
  <c r="B94" i="33" s="1"/>
  <c r="B53" i="33"/>
  <c r="B73" i="33" s="1"/>
  <c r="B93" i="33" s="1"/>
  <c r="B52" i="33"/>
  <c r="B72" i="33" s="1"/>
  <c r="B92" i="33" s="1"/>
  <c r="B51" i="33"/>
  <c r="B71" i="33" s="1"/>
  <c r="B91" i="33" s="1"/>
  <c r="B50" i="33"/>
  <c r="B70" i="33" s="1"/>
  <c r="B90" i="33" s="1"/>
  <c r="B49" i="33"/>
  <c r="B69" i="33" s="1"/>
  <c r="B89" i="33" s="1"/>
  <c r="B48" i="33"/>
  <c r="B68" i="33" s="1"/>
  <c r="B88" i="33" s="1"/>
  <c r="B47" i="33"/>
  <c r="B67" i="33" s="1"/>
  <c r="B87" i="33" s="1"/>
  <c r="B46" i="33"/>
  <c r="B66" i="33" s="1"/>
  <c r="B86" i="33" s="1"/>
  <c r="B45" i="33"/>
  <c r="B65" i="33" s="1"/>
  <c r="B85" i="33" s="1"/>
  <c r="M38" i="33"/>
  <c r="AD286" i="22" s="1"/>
  <c r="Z321" i="22" s="1"/>
  <c r="L38" i="33"/>
  <c r="W286" i="22" s="1"/>
  <c r="S321" i="22" s="1"/>
  <c r="O37" i="33"/>
  <c r="N36" i="33"/>
  <c r="J36" i="33"/>
  <c r="L34" i="33"/>
  <c r="W282" i="22" s="1"/>
  <c r="S317" i="22" s="1"/>
  <c r="N32" i="33"/>
  <c r="J32" i="33"/>
  <c r="AM31" i="33"/>
  <c r="AI31" i="33"/>
  <c r="AG31" i="33" s="1"/>
  <c r="AH31" i="33"/>
  <c r="P31" i="33"/>
  <c r="J31" i="33"/>
  <c r="AM30" i="33"/>
  <c r="AI30" i="33"/>
  <c r="AH30" i="33" s="1"/>
  <c r="Q30" i="33"/>
  <c r="P30" i="33"/>
  <c r="O30" i="33"/>
  <c r="AM29" i="33"/>
  <c r="AL29" i="33" s="1"/>
  <c r="AI29" i="33"/>
  <c r="AH29" i="33" s="1"/>
  <c r="AM28" i="33"/>
  <c r="AL28" i="33" s="1"/>
  <c r="AI28" i="33"/>
  <c r="Q28" i="33"/>
  <c r="O28" i="33"/>
  <c r="M28" i="33"/>
  <c r="AD276" i="22" s="1"/>
  <c r="Z311" i="22" s="1"/>
  <c r="K28" i="33"/>
  <c r="P276" i="22" s="1"/>
  <c r="L311" i="22" s="1"/>
  <c r="J28" i="33"/>
  <c r="AM27" i="33"/>
  <c r="AI27" i="33"/>
  <c r="M27" i="33"/>
  <c r="AD275" i="22" s="1"/>
  <c r="Z310" i="22" s="1"/>
  <c r="O27" i="33"/>
  <c r="AM26" i="33"/>
  <c r="AL26" i="33" s="1"/>
  <c r="AI26" i="33"/>
  <c r="AH26" i="33" s="1"/>
  <c r="P26" i="33"/>
  <c r="K26" i="33"/>
  <c r="P274" i="22" s="1"/>
  <c r="L309" i="22" s="1"/>
  <c r="AM25" i="33"/>
  <c r="AL25" i="33" s="1"/>
  <c r="AK25" i="33"/>
  <c r="AI25" i="33"/>
  <c r="AM24" i="33"/>
  <c r="AL24" i="33" s="1"/>
  <c r="AK24" i="33"/>
  <c r="AI24" i="33"/>
  <c r="AG24" i="33" s="1"/>
  <c r="Q24" i="33"/>
  <c r="O24" i="33"/>
  <c r="M24" i="33"/>
  <c r="AD272" i="22" s="1"/>
  <c r="Z307" i="22" s="1"/>
  <c r="K24" i="33"/>
  <c r="P272" i="22" s="1"/>
  <c r="L307" i="22" s="1"/>
  <c r="J24" i="33"/>
  <c r="AM23" i="33"/>
  <c r="AI23" i="33"/>
  <c r="Q23" i="33"/>
  <c r="L23" i="33"/>
  <c r="W271" i="22" s="1"/>
  <c r="S306" i="22" s="1"/>
  <c r="AL22" i="33"/>
  <c r="AH22" i="33"/>
  <c r="M22" i="33"/>
  <c r="AD270" i="22" s="1"/>
  <c r="Z305" i="22" s="1"/>
  <c r="AM21" i="33"/>
  <c r="AL21" i="33" s="1"/>
  <c r="AI21" i="33"/>
  <c r="AH21" i="33" s="1"/>
  <c r="AM20" i="33"/>
  <c r="AL20" i="33" s="1"/>
  <c r="AI20" i="33"/>
  <c r="AG20" i="33" s="1"/>
  <c r="O20" i="33"/>
  <c r="I20" i="33"/>
  <c r="Q20" i="33"/>
  <c r="AM19" i="33"/>
  <c r="AK19" i="33" s="1"/>
  <c r="AI19" i="33"/>
  <c r="AH19" i="33" s="1"/>
  <c r="AG19" i="33"/>
  <c r="P19" i="33"/>
  <c r="J19" i="33"/>
  <c r="AM18" i="33"/>
  <c r="AL18" i="33" s="1"/>
  <c r="AI18" i="33"/>
  <c r="AH18" i="33" s="1"/>
  <c r="AM17" i="33"/>
  <c r="AL17" i="33" s="1"/>
  <c r="AI17" i="33"/>
  <c r="P17" i="33"/>
  <c r="AM16" i="33"/>
  <c r="AL16" i="33" s="1"/>
  <c r="AI16" i="33"/>
  <c r="AG16" i="33" s="1"/>
  <c r="Q16" i="33"/>
  <c r="O16" i="33"/>
  <c r="M16" i="33"/>
  <c r="AD264" i="22" s="1"/>
  <c r="Z299" i="22" s="1"/>
  <c r="AM15" i="33"/>
  <c r="AK15" i="33" s="1"/>
  <c r="AI15" i="33"/>
  <c r="AH15" i="33" s="1"/>
  <c r="M15" i="33"/>
  <c r="AD263" i="22" s="1"/>
  <c r="Z298" i="22" s="1"/>
  <c r="O15" i="33"/>
  <c r="AM14" i="33"/>
  <c r="AI14" i="33"/>
  <c r="AH14" i="33"/>
  <c r="AG14" i="33"/>
  <c r="AM13" i="33"/>
  <c r="AL13" i="33"/>
  <c r="AK13" i="33"/>
  <c r="AI13" i="33"/>
  <c r="AM12" i="33"/>
  <c r="AL12" i="33" s="1"/>
  <c r="AK12" i="33"/>
  <c r="AI12" i="33"/>
  <c r="AG12" i="33" s="1"/>
  <c r="Q12" i="33"/>
  <c r="O12" i="33"/>
  <c r="M12" i="33"/>
  <c r="AD260" i="22" s="1"/>
  <c r="Z295" i="22" s="1"/>
  <c r="K12" i="33"/>
  <c r="P260" i="22" s="1"/>
  <c r="L295" i="22" s="1"/>
  <c r="J12" i="33"/>
  <c r="AM11" i="33"/>
  <c r="AI11" i="33"/>
  <c r="AH11" i="33" s="1"/>
  <c r="M11" i="33"/>
  <c r="AD259" i="22" s="1"/>
  <c r="Z294" i="22" s="1"/>
  <c r="O11" i="33"/>
  <c r="AM10" i="33"/>
  <c r="AI10" i="33"/>
  <c r="AH10" i="33" s="1"/>
  <c r="AG10" i="33"/>
  <c r="Q10" i="33"/>
  <c r="N10" i="33"/>
  <c r="M10" i="33"/>
  <c r="AD258" i="22" s="1"/>
  <c r="Z293" i="22" s="1"/>
  <c r="L10" i="33"/>
  <c r="W258" i="22" s="1"/>
  <c r="S293" i="22" s="1"/>
  <c r="O10" i="33"/>
  <c r="AM9" i="33"/>
  <c r="AI9" i="33"/>
  <c r="AH9" i="33"/>
  <c r="AG9" i="33"/>
  <c r="Q9" i="33"/>
  <c r="AM8" i="33"/>
  <c r="AL8" i="33" s="1"/>
  <c r="AI8" i="33"/>
  <c r="AH8" i="33" s="1"/>
  <c r="J8" i="33"/>
  <c r="F8" i="33"/>
  <c r="M12" i="3" s="1"/>
  <c r="AM7" i="33"/>
  <c r="AL7" i="33" s="1"/>
  <c r="AI7" i="33"/>
  <c r="AH7" i="33" s="1"/>
  <c r="AG7" i="33"/>
  <c r="J3" i="33"/>
  <c r="H3" i="33"/>
  <c r="I3" i="33" s="1"/>
  <c r="P64" i="33" s="1"/>
  <c r="G3" i="33"/>
  <c r="F3" i="33"/>
  <c r="E3" i="33"/>
  <c r="D3" i="33"/>
  <c r="M84" i="33" s="1"/>
  <c r="P544" i="22" l="1"/>
  <c r="F9" i="33"/>
  <c r="E9" i="33"/>
  <c r="L13" i="3" s="1"/>
  <c r="D9" i="33"/>
  <c r="H27" i="33"/>
  <c r="O31" i="3" s="1"/>
  <c r="D27" i="33"/>
  <c r="E27" i="33"/>
  <c r="I275" i="22" s="1"/>
  <c r="E15" i="33"/>
  <c r="I263" i="22" s="1"/>
  <c r="AK263" i="22" s="1"/>
  <c r="P334" i="22" s="1"/>
  <c r="D15" i="33"/>
  <c r="P9" i="33"/>
  <c r="N27" i="33"/>
  <c r="G9" i="33"/>
  <c r="N13" i="3" s="1"/>
  <c r="G11" i="33"/>
  <c r="F27" i="33"/>
  <c r="H38" i="33"/>
  <c r="E38" i="33"/>
  <c r="D38" i="33"/>
  <c r="H34" i="33"/>
  <c r="E34" i="33"/>
  <c r="I282" i="22" s="1"/>
  <c r="E317" i="22" s="1"/>
  <c r="I353" i="22" s="1"/>
  <c r="AD353" i="22" s="1"/>
  <c r="D34" i="33"/>
  <c r="H30" i="33"/>
  <c r="O34" i="3" s="1"/>
  <c r="E30" i="33"/>
  <c r="I278" i="22" s="1"/>
  <c r="D30" i="33"/>
  <c r="H26" i="33"/>
  <c r="E26" i="33"/>
  <c r="L30" i="3" s="1"/>
  <c r="D26" i="33"/>
  <c r="H22" i="33"/>
  <c r="E22" i="33"/>
  <c r="L26" i="3" s="1"/>
  <c r="D22" i="33"/>
  <c r="H18" i="33"/>
  <c r="E18" i="33"/>
  <c r="D18" i="33"/>
  <c r="H14" i="33"/>
  <c r="O18" i="3" s="1"/>
  <c r="E14" i="33"/>
  <c r="D14" i="33"/>
  <c r="H10" i="33"/>
  <c r="O14" i="3" s="1"/>
  <c r="E10" i="33"/>
  <c r="L14" i="3" s="1"/>
  <c r="D10" i="33"/>
  <c r="F35" i="33"/>
  <c r="E35" i="33"/>
  <c r="D35" i="33"/>
  <c r="D19" i="33"/>
  <c r="E19" i="33"/>
  <c r="L23" i="3" s="1"/>
  <c r="M23" i="33"/>
  <c r="AD271" i="22" s="1"/>
  <c r="Z306" i="22" s="1"/>
  <c r="K13" i="3"/>
  <c r="H15" i="33"/>
  <c r="H19" i="33"/>
  <c r="J11" i="33"/>
  <c r="P11" i="33"/>
  <c r="J15" i="33"/>
  <c r="P15" i="33"/>
  <c r="O19" i="33"/>
  <c r="M19" i="33"/>
  <c r="AD267" i="22" s="1"/>
  <c r="Z302" i="22" s="1"/>
  <c r="Q22" i="33"/>
  <c r="N23" i="33"/>
  <c r="J27" i="33"/>
  <c r="P27" i="33"/>
  <c r="L30" i="33"/>
  <c r="W278" i="22" s="1"/>
  <c r="S313" i="22" s="1"/>
  <c r="AG30" i="33"/>
  <c r="O31" i="33"/>
  <c r="M31" i="33"/>
  <c r="AD279" i="22" s="1"/>
  <c r="Z314" i="22" s="1"/>
  <c r="M34" i="33"/>
  <c r="AD282" i="22" s="1"/>
  <c r="Z317" i="22" s="1"/>
  <c r="P38" i="33"/>
  <c r="K42" i="3"/>
  <c r="K27" i="3"/>
  <c r="K22" i="3"/>
  <c r="H9" i="33"/>
  <c r="G14" i="33"/>
  <c r="N18" i="3" s="1"/>
  <c r="G18" i="33"/>
  <c r="N22" i="3" s="1"/>
  <c r="G27" i="33"/>
  <c r="G30" i="33"/>
  <c r="G35" i="33"/>
  <c r="N39" i="3" s="1"/>
  <c r="P37" i="33"/>
  <c r="E37" i="33"/>
  <c r="D37" i="33"/>
  <c r="M33" i="33"/>
  <c r="AD281" i="22" s="1"/>
  <c r="Z316" i="22" s="1"/>
  <c r="E33" i="33"/>
  <c r="I281" i="22" s="1"/>
  <c r="E316" i="22" s="1"/>
  <c r="I352" i="22" s="1"/>
  <c r="D33" i="33"/>
  <c r="P29" i="33"/>
  <c r="E29" i="33"/>
  <c r="D29" i="33"/>
  <c r="K25" i="33"/>
  <c r="P273" i="22" s="1"/>
  <c r="L308" i="22" s="1"/>
  <c r="E25" i="33"/>
  <c r="D25" i="33"/>
  <c r="P21" i="33"/>
  <c r="E21" i="33"/>
  <c r="D21" i="33"/>
  <c r="N17" i="33"/>
  <c r="E17" i="33"/>
  <c r="D17" i="33"/>
  <c r="H13" i="33"/>
  <c r="E13" i="33"/>
  <c r="D13" i="33"/>
  <c r="G31" i="33"/>
  <c r="D31" i="33"/>
  <c r="E31" i="33"/>
  <c r="I279" i="22" s="1"/>
  <c r="AK279" i="22" s="1"/>
  <c r="P350" i="22" s="1"/>
  <c r="D23" i="33"/>
  <c r="E23" i="33"/>
  <c r="L27" i="3" s="1"/>
  <c r="E11" i="33"/>
  <c r="I259" i="22" s="1"/>
  <c r="AK259" i="22" s="1"/>
  <c r="P330" i="22" s="1"/>
  <c r="D11" i="33"/>
  <c r="N11" i="33"/>
  <c r="N15" i="33"/>
  <c r="L19" i="33"/>
  <c r="W267" i="22" s="1"/>
  <c r="S302" i="22" s="1"/>
  <c r="Q19" i="33"/>
  <c r="O23" i="33"/>
  <c r="L31" i="33"/>
  <c r="W279" i="22" s="1"/>
  <c r="S314" i="22" s="1"/>
  <c r="Q31" i="33"/>
  <c r="K23" i="3"/>
  <c r="AK8" i="33"/>
  <c r="M9" i="33"/>
  <c r="AD257" i="22" s="1"/>
  <c r="Z292" i="22" s="1"/>
  <c r="J10" i="33"/>
  <c r="P10" i="33"/>
  <c r="L11" i="33"/>
  <c r="W259" i="22" s="1"/>
  <c r="S294" i="22" s="1"/>
  <c r="Q11" i="33"/>
  <c r="M14" i="33"/>
  <c r="AD262" i="22" s="1"/>
  <c r="Z297" i="22" s="1"/>
  <c r="L15" i="33"/>
  <c r="W263" i="22" s="1"/>
  <c r="S298" i="22" s="1"/>
  <c r="Q15" i="33"/>
  <c r="K18" i="33"/>
  <c r="P266" i="22" s="1"/>
  <c r="L301" i="22" s="1"/>
  <c r="N19" i="33"/>
  <c r="J23" i="33"/>
  <c r="P23" i="33"/>
  <c r="L27" i="33"/>
  <c r="W275" i="22" s="1"/>
  <c r="S310" i="22" s="1"/>
  <c r="Q27" i="33"/>
  <c r="M30" i="33"/>
  <c r="AD278" i="22" s="1"/>
  <c r="Z313" i="22" s="1"/>
  <c r="N31" i="33"/>
  <c r="O34" i="33"/>
  <c r="P34" i="33"/>
  <c r="O38" i="33"/>
  <c r="K26" i="3"/>
  <c r="K15" i="3"/>
  <c r="G10" i="33"/>
  <c r="F15" i="33"/>
  <c r="F19" i="33"/>
  <c r="G23" i="33"/>
  <c r="F31" i="33"/>
  <c r="H35" i="33"/>
  <c r="F38" i="33"/>
  <c r="M42" i="3" s="1"/>
  <c r="E36" i="33"/>
  <c r="D36" i="33"/>
  <c r="E32" i="33"/>
  <c r="D32" i="33"/>
  <c r="E28" i="33"/>
  <c r="I276" i="22" s="1"/>
  <c r="D28" i="33"/>
  <c r="E24" i="33"/>
  <c r="L28" i="3" s="1"/>
  <c r="D24" i="33"/>
  <c r="E20" i="33"/>
  <c r="D20" i="33"/>
  <c r="E16" i="33"/>
  <c r="I264" i="22" s="1"/>
  <c r="AK264" i="22" s="1"/>
  <c r="P335" i="22" s="1"/>
  <c r="D16" i="33"/>
  <c r="E12" i="33"/>
  <c r="L16" i="3" s="1"/>
  <c r="D12" i="33"/>
  <c r="P10" i="34"/>
  <c r="B28" i="35"/>
  <c r="E25" i="36"/>
  <c r="D26" i="36"/>
  <c r="AI26" i="36" s="1"/>
  <c r="G12" i="34"/>
  <c r="E11" i="34"/>
  <c r="F11" i="34" s="1"/>
  <c r="C26" i="36" s="1"/>
  <c r="X11" i="34"/>
  <c r="W485" i="22"/>
  <c r="L31" i="3"/>
  <c r="I270" i="22"/>
  <c r="E305" i="22" s="1"/>
  <c r="I341" i="22" s="1"/>
  <c r="W341" i="22" s="1"/>
  <c r="K8" i="33"/>
  <c r="P256" i="22" s="1"/>
  <c r="L362" i="22" s="1"/>
  <c r="AG11" i="33"/>
  <c r="AL15" i="33"/>
  <c r="AK16" i="33"/>
  <c r="AK18" i="33"/>
  <c r="AK21" i="33"/>
  <c r="AK26" i="33"/>
  <c r="AK28" i="33"/>
  <c r="AK29" i="33"/>
  <c r="Q34" i="33"/>
  <c r="L37" i="33"/>
  <c r="W285" i="22" s="1"/>
  <c r="S320" i="22" s="1"/>
  <c r="Q38" i="33"/>
  <c r="K38" i="3"/>
  <c r="K34" i="3"/>
  <c r="K30" i="3"/>
  <c r="I267" i="22"/>
  <c r="AK267" i="22" s="1"/>
  <c r="P338" i="22" s="1"/>
  <c r="F10" i="33"/>
  <c r="F13" i="33"/>
  <c r="G22" i="33"/>
  <c r="N26" i="3" s="1"/>
  <c r="F26" i="33"/>
  <c r="M30" i="3" s="1"/>
  <c r="F29" i="33"/>
  <c r="G38" i="33"/>
  <c r="AK7" i="33"/>
  <c r="AG8" i="33"/>
  <c r="AH12" i="33"/>
  <c r="AK17" i="33"/>
  <c r="AG18" i="33"/>
  <c r="AL19" i="33"/>
  <c r="J21" i="33"/>
  <c r="AH24" i="33"/>
  <c r="P25" i="33"/>
  <c r="AG26" i="33"/>
  <c r="N33" i="33"/>
  <c r="Q37" i="33"/>
  <c r="L15" i="3"/>
  <c r="F14" i="33"/>
  <c r="F17" i="33"/>
  <c r="G26" i="33"/>
  <c r="N30" i="3" s="1"/>
  <c r="F30" i="33"/>
  <c r="F33" i="33"/>
  <c r="AH16" i="33"/>
  <c r="AH20" i="33"/>
  <c r="AG21" i="33"/>
  <c r="AG29" i="33"/>
  <c r="I260" i="22"/>
  <c r="AK260" i="22" s="1"/>
  <c r="P331" i="22" s="1"/>
  <c r="F21" i="33"/>
  <c r="M25" i="3" s="1"/>
  <c r="F37" i="33"/>
  <c r="M41" i="3" s="1"/>
  <c r="E310" i="22"/>
  <c r="I346" i="22" s="1"/>
  <c r="W346" i="22" s="1"/>
  <c r="AK275" i="22"/>
  <c r="P346" i="22" s="1"/>
  <c r="E311" i="22"/>
  <c r="I347" i="22" s="1"/>
  <c r="W347" i="22" s="1"/>
  <c r="AK276" i="22"/>
  <c r="P347" i="22" s="1"/>
  <c r="AK278" i="22"/>
  <c r="P349" i="22" s="1"/>
  <c r="E313" i="22"/>
  <c r="I349" i="22" s="1"/>
  <c r="N13" i="33"/>
  <c r="J17" i="33"/>
  <c r="L21" i="33"/>
  <c r="W269" i="22" s="1"/>
  <c r="S304" i="22" s="1"/>
  <c r="J33" i="33"/>
  <c r="P33" i="33"/>
  <c r="M37" i="33"/>
  <c r="AD285" i="22" s="1"/>
  <c r="Z320" i="22" s="1"/>
  <c r="K41" i="3"/>
  <c r="K37" i="3"/>
  <c r="K33" i="3"/>
  <c r="K29" i="3"/>
  <c r="K25" i="3"/>
  <c r="K21" i="3"/>
  <c r="K17" i="3"/>
  <c r="I271" i="22"/>
  <c r="G13" i="33"/>
  <c r="N17" i="3" s="1"/>
  <c r="G17" i="33"/>
  <c r="N21" i="3" s="1"/>
  <c r="G21" i="33"/>
  <c r="N25" i="3" s="1"/>
  <c r="G25" i="33"/>
  <c r="G29" i="33"/>
  <c r="N33" i="3" s="1"/>
  <c r="G33" i="33"/>
  <c r="N37" i="3" s="1"/>
  <c r="G37" i="33"/>
  <c r="N41" i="3" s="1"/>
  <c r="L17" i="33"/>
  <c r="W265" i="22" s="1"/>
  <c r="S300" i="22" s="1"/>
  <c r="Q21" i="33"/>
  <c r="N21" i="33"/>
  <c r="L29" i="33"/>
  <c r="W277" i="22" s="1"/>
  <c r="S312" i="22" s="1"/>
  <c r="O33" i="33"/>
  <c r="L33" i="33"/>
  <c r="W281" i="22" s="1"/>
  <c r="S316" i="22" s="1"/>
  <c r="Q33" i="33"/>
  <c r="N37" i="33"/>
  <c r="L38" i="3"/>
  <c r="L34" i="3"/>
  <c r="L32" i="3"/>
  <c r="H17" i="33"/>
  <c r="H21" i="33"/>
  <c r="O25" i="3" s="1"/>
  <c r="H25" i="33"/>
  <c r="O29" i="3" s="1"/>
  <c r="H29" i="33"/>
  <c r="H33" i="33"/>
  <c r="O37" i="3" s="1"/>
  <c r="H37" i="33"/>
  <c r="O41" i="3" s="1"/>
  <c r="Q17" i="33"/>
  <c r="J37" i="33"/>
  <c r="I257" i="22"/>
  <c r="AK257" i="22" s="1"/>
  <c r="P328" i="22" s="1"/>
  <c r="AC485" i="22"/>
  <c r="N34" i="3"/>
  <c r="M31" i="3"/>
  <c r="O21" i="3"/>
  <c r="M15" i="3"/>
  <c r="N38" i="3"/>
  <c r="M35" i="3"/>
  <c r="M19" i="3"/>
  <c r="N42" i="3"/>
  <c r="M39" i="3"/>
  <c r="M23" i="3"/>
  <c r="O13" i="3"/>
  <c r="O33" i="3"/>
  <c r="M27" i="3"/>
  <c r="O17" i="3"/>
  <c r="N14" i="3"/>
  <c r="M38" i="3"/>
  <c r="O36" i="3"/>
  <c r="M34" i="3"/>
  <c r="O32" i="3"/>
  <c r="O28" i="3"/>
  <c r="M26" i="3"/>
  <c r="O24" i="3"/>
  <c r="M22" i="3"/>
  <c r="O20" i="3"/>
  <c r="M18" i="3"/>
  <c r="O16" i="3"/>
  <c r="M14" i="3"/>
  <c r="N40" i="3"/>
  <c r="O39" i="3"/>
  <c r="M37" i="3"/>
  <c r="N36" i="3"/>
  <c r="O35" i="3"/>
  <c r="M33" i="3"/>
  <c r="N32" i="3"/>
  <c r="M29" i="3"/>
  <c r="N28" i="3"/>
  <c r="O27" i="3"/>
  <c r="N24" i="3"/>
  <c r="O23" i="3"/>
  <c r="M21" i="3"/>
  <c r="N20" i="3"/>
  <c r="O19" i="3"/>
  <c r="M17" i="3"/>
  <c r="N16" i="3"/>
  <c r="O15" i="3"/>
  <c r="M13" i="3"/>
  <c r="O40" i="3"/>
  <c r="N29" i="3"/>
  <c r="O42" i="3"/>
  <c r="M40" i="3"/>
  <c r="O38" i="3"/>
  <c r="M36" i="3"/>
  <c r="N35" i="3"/>
  <c r="M32" i="3"/>
  <c r="N31" i="3"/>
  <c r="O30" i="3"/>
  <c r="M28" i="3"/>
  <c r="N27" i="3"/>
  <c r="O26" i="3"/>
  <c r="M24" i="3"/>
  <c r="N23" i="3"/>
  <c r="O22" i="3"/>
  <c r="M20" i="3"/>
  <c r="N19" i="3"/>
  <c r="M16" i="3"/>
  <c r="N15" i="3"/>
  <c r="V8" i="33"/>
  <c r="Y8" i="33"/>
  <c r="AK256" i="22" s="1"/>
  <c r="P327" i="22" s="1"/>
  <c r="L8" i="33"/>
  <c r="W256" i="22" s="1"/>
  <c r="AH17" i="33"/>
  <c r="AG17" i="33"/>
  <c r="N18" i="33"/>
  <c r="J18" i="33"/>
  <c r="P18" i="33"/>
  <c r="L18" i="33"/>
  <c r="W266" i="22" s="1"/>
  <c r="S301" i="22" s="1"/>
  <c r="Q18" i="33"/>
  <c r="O18" i="33"/>
  <c r="M18" i="33"/>
  <c r="AD266" i="22" s="1"/>
  <c r="Z301" i="22" s="1"/>
  <c r="AL31" i="33"/>
  <c r="AK31" i="33"/>
  <c r="N35" i="33"/>
  <c r="J35" i="33"/>
  <c r="Q35" i="33"/>
  <c r="M35" i="33"/>
  <c r="AD283" i="22" s="1"/>
  <c r="Z318" i="22" s="1"/>
  <c r="P35" i="33"/>
  <c r="O35" i="33"/>
  <c r="L35" i="33"/>
  <c r="W283" i="22" s="1"/>
  <c r="S318" i="22" s="1"/>
  <c r="K35" i="33"/>
  <c r="P283" i="22" s="1"/>
  <c r="L318" i="22" s="1"/>
  <c r="I64" i="33"/>
  <c r="J64" i="33" s="1"/>
  <c r="K64" i="33" s="1"/>
  <c r="G44" i="33"/>
  <c r="G8" i="33"/>
  <c r="N12" i="3" s="1"/>
  <c r="AL9" i="33"/>
  <c r="AK9" i="33"/>
  <c r="AK11" i="33"/>
  <c r="AL11" i="33"/>
  <c r="Q13" i="33"/>
  <c r="M13" i="33"/>
  <c r="AD261" i="22" s="1"/>
  <c r="Z296" i="22" s="1"/>
  <c r="L13" i="33"/>
  <c r="W261" i="22" s="1"/>
  <c r="S296" i="22" s="1"/>
  <c r="P13" i="33"/>
  <c r="K13" i="33"/>
  <c r="P261" i="22" s="1"/>
  <c r="L296" i="22" s="1"/>
  <c r="O13" i="33"/>
  <c r="J13" i="33"/>
  <c r="AL10" i="33"/>
  <c r="AK10" i="33"/>
  <c r="AH13" i="33"/>
  <c r="AG13" i="33"/>
  <c r="N14" i="33"/>
  <c r="J14" i="33"/>
  <c r="Q14" i="33"/>
  <c r="L14" i="33"/>
  <c r="W262" i="22" s="1"/>
  <c r="S297" i="22" s="1"/>
  <c r="P14" i="33"/>
  <c r="K14" i="33"/>
  <c r="P262" i="22" s="1"/>
  <c r="L297" i="22" s="1"/>
  <c r="O14" i="33"/>
  <c r="AL14" i="33"/>
  <c r="AK14" i="33"/>
  <c r="AH23" i="33"/>
  <c r="AG23" i="33"/>
  <c r="AH27" i="33"/>
  <c r="AG27" i="33"/>
  <c r="C3" i="33"/>
  <c r="J9" i="33"/>
  <c r="N9" i="33"/>
  <c r="K10" i="33"/>
  <c r="P258" i="22" s="1"/>
  <c r="L293" i="22" s="1"/>
  <c r="P12" i="33"/>
  <c r="L12" i="33"/>
  <c r="W260" i="22" s="1"/>
  <c r="S295" i="22" s="1"/>
  <c r="N12" i="33"/>
  <c r="AG15" i="33"/>
  <c r="P16" i="33"/>
  <c r="L16" i="33"/>
  <c r="W264" i="22" s="1"/>
  <c r="S299" i="22" s="1"/>
  <c r="N16" i="33"/>
  <c r="J16" i="33"/>
  <c r="K16" i="33"/>
  <c r="P264" i="22" s="1"/>
  <c r="L299" i="22" s="1"/>
  <c r="AK20" i="33"/>
  <c r="N22" i="33"/>
  <c r="J22" i="33"/>
  <c r="P22" i="33"/>
  <c r="L22" i="33"/>
  <c r="W270" i="22" s="1"/>
  <c r="S305" i="22" s="1"/>
  <c r="K22" i="33"/>
  <c r="P270" i="22" s="1"/>
  <c r="L305" i="22" s="1"/>
  <c r="AK23" i="33"/>
  <c r="AL23" i="33"/>
  <c r="AH25" i="33"/>
  <c r="AG25" i="33"/>
  <c r="N26" i="33"/>
  <c r="J26" i="33"/>
  <c r="O26" i="33"/>
  <c r="Q26" i="33"/>
  <c r="L26" i="33"/>
  <c r="W274" i="22" s="1"/>
  <c r="S309" i="22" s="1"/>
  <c r="M26" i="33"/>
  <c r="AD274" i="22" s="1"/>
  <c r="Z309" i="22" s="1"/>
  <c r="AK27" i="33"/>
  <c r="AL27" i="33"/>
  <c r="AK30" i="33"/>
  <c r="AL30" i="33"/>
  <c r="K9" i="33"/>
  <c r="O9" i="33"/>
  <c r="P20" i="33"/>
  <c r="L20" i="33"/>
  <c r="W268" i="22" s="1"/>
  <c r="S303" i="22" s="1"/>
  <c r="N20" i="33"/>
  <c r="J20" i="33"/>
  <c r="K20" i="33"/>
  <c r="P268" i="22" s="1"/>
  <c r="L303" i="22" s="1"/>
  <c r="K3" i="33"/>
  <c r="L9" i="33"/>
  <c r="W257" i="22" s="1"/>
  <c r="S292" i="22" s="1"/>
  <c r="M20" i="33"/>
  <c r="AD268" i="22" s="1"/>
  <c r="Z303" i="22" s="1"/>
  <c r="O22" i="33"/>
  <c r="Q25" i="33"/>
  <c r="M25" i="33"/>
  <c r="AD273" i="22" s="1"/>
  <c r="Z308" i="22" s="1"/>
  <c r="O25" i="33"/>
  <c r="J25" i="33"/>
  <c r="L25" i="33"/>
  <c r="W273" i="22" s="1"/>
  <c r="S308" i="22" s="1"/>
  <c r="N25" i="33"/>
  <c r="AH28" i="33"/>
  <c r="AG28" i="33"/>
  <c r="K17" i="33"/>
  <c r="P265" i="22" s="1"/>
  <c r="L300" i="22" s="1"/>
  <c r="O17" i="33"/>
  <c r="K21" i="33"/>
  <c r="P269" i="22" s="1"/>
  <c r="L304" i="22" s="1"/>
  <c r="O21" i="33"/>
  <c r="N29" i="33"/>
  <c r="J29" i="33"/>
  <c r="Q29" i="33"/>
  <c r="M29" i="33"/>
  <c r="AD277" i="22" s="1"/>
  <c r="Z312" i="22" s="1"/>
  <c r="K29" i="33"/>
  <c r="P277" i="22" s="1"/>
  <c r="L312" i="22" s="1"/>
  <c r="Q32" i="33"/>
  <c r="M32" i="33"/>
  <c r="AD280" i="22" s="1"/>
  <c r="Z315" i="22" s="1"/>
  <c r="P32" i="33"/>
  <c r="L32" i="33"/>
  <c r="W280" i="22" s="1"/>
  <c r="S315" i="22" s="1"/>
  <c r="K32" i="33"/>
  <c r="P280" i="22" s="1"/>
  <c r="L315" i="22" s="1"/>
  <c r="Q36" i="33"/>
  <c r="M36" i="33"/>
  <c r="AD284" i="22" s="1"/>
  <c r="Z319" i="22" s="1"/>
  <c r="P36" i="33"/>
  <c r="L36" i="33"/>
  <c r="W284" i="22" s="1"/>
  <c r="S319" i="22" s="1"/>
  <c r="K36" i="33"/>
  <c r="P284" i="22" s="1"/>
  <c r="L319" i="22" s="1"/>
  <c r="K11" i="33"/>
  <c r="P259" i="22" s="1"/>
  <c r="L294" i="22" s="1"/>
  <c r="K15" i="33"/>
  <c r="P263" i="22" s="1"/>
  <c r="L298" i="22" s="1"/>
  <c r="M17" i="33"/>
  <c r="AD265" i="22" s="1"/>
  <c r="Z300" i="22" s="1"/>
  <c r="K19" i="33"/>
  <c r="P267" i="22" s="1"/>
  <c r="L302" i="22" s="1"/>
  <c r="M21" i="33"/>
  <c r="AD269" i="22" s="1"/>
  <c r="Z304" i="22" s="1"/>
  <c r="K23" i="33"/>
  <c r="P271" i="22" s="1"/>
  <c r="L306" i="22" s="1"/>
  <c r="P24" i="33"/>
  <c r="L24" i="33"/>
  <c r="W272" i="22" s="1"/>
  <c r="S307" i="22" s="1"/>
  <c r="N24" i="33"/>
  <c r="P28" i="33"/>
  <c r="L28" i="33"/>
  <c r="W276" i="22" s="1"/>
  <c r="S311" i="22" s="1"/>
  <c r="N28" i="33"/>
  <c r="O29" i="33"/>
  <c r="O32" i="33"/>
  <c r="O36" i="33"/>
  <c r="K27" i="33"/>
  <c r="P275" i="22" s="1"/>
  <c r="L310" i="22" s="1"/>
  <c r="J30" i="33"/>
  <c r="N30" i="33"/>
  <c r="K31" i="33"/>
  <c r="P279" i="22" s="1"/>
  <c r="L314" i="22" s="1"/>
  <c r="K33" i="33"/>
  <c r="P281" i="22" s="1"/>
  <c r="L316" i="22" s="1"/>
  <c r="J34" i="33"/>
  <c r="N34" i="33"/>
  <c r="K37" i="33"/>
  <c r="P285" i="22" s="1"/>
  <c r="L320" i="22" s="1"/>
  <c r="J38" i="33"/>
  <c r="N38" i="33"/>
  <c r="K30" i="33"/>
  <c r="P278" i="22" s="1"/>
  <c r="L313" i="22" s="1"/>
  <c r="K34" i="33"/>
  <c r="P282" i="22" s="1"/>
  <c r="L317" i="22" s="1"/>
  <c r="K38" i="33"/>
  <c r="P286" i="22" s="1"/>
  <c r="L321" i="22" s="1"/>
  <c r="E294" i="22" l="1"/>
  <c r="I330" i="22" s="1"/>
  <c r="W330" i="22" s="1"/>
  <c r="AK282" i="22"/>
  <c r="P353" i="22" s="1"/>
  <c r="E299" i="22"/>
  <c r="I335" i="22" s="1"/>
  <c r="AD335" i="22" s="1"/>
  <c r="E298" i="22"/>
  <c r="I334" i="22" s="1"/>
  <c r="AD334" i="22" s="1"/>
  <c r="E314" i="22"/>
  <c r="I350" i="22" s="1"/>
  <c r="W350" i="22" s="1"/>
  <c r="I272" i="22"/>
  <c r="AK272" i="22" s="1"/>
  <c r="P343" i="22" s="1"/>
  <c r="L19" i="3"/>
  <c r="L35" i="3"/>
  <c r="I274" i="22"/>
  <c r="E309" i="22" s="1"/>
  <c r="I345" i="22" s="1"/>
  <c r="L20" i="3"/>
  <c r="I258" i="22"/>
  <c r="AK258" i="22" s="1"/>
  <c r="P329" i="22" s="1"/>
  <c r="P11" i="34"/>
  <c r="E26" i="36"/>
  <c r="D27" i="36"/>
  <c r="AI27" i="36" s="1"/>
  <c r="G13" i="34"/>
  <c r="X12" i="34"/>
  <c r="E12" i="34"/>
  <c r="F12" i="34" s="1"/>
  <c r="C27" i="36" s="1"/>
  <c r="B29" i="35"/>
  <c r="E302" i="22"/>
  <c r="I338" i="22" s="1"/>
  <c r="W338" i="22" s="1"/>
  <c r="L593" i="22"/>
  <c r="M419" i="22"/>
  <c r="N426" i="22" s="1"/>
  <c r="L291" i="22"/>
  <c r="AH502" i="22"/>
  <c r="AD346" i="22"/>
  <c r="AD341" i="22"/>
  <c r="E381" i="22"/>
  <c r="AD381" i="22" s="1"/>
  <c r="E376" i="22"/>
  <c r="R376" i="22" s="1"/>
  <c r="E388" i="22"/>
  <c r="AK388" i="22" s="1"/>
  <c r="AK270" i="22"/>
  <c r="P341" i="22" s="1"/>
  <c r="AD347" i="22"/>
  <c r="E382" i="22"/>
  <c r="X382" i="22" s="1"/>
  <c r="W353" i="22"/>
  <c r="L37" i="3"/>
  <c r="E295" i="22"/>
  <c r="I331" i="22" s="1"/>
  <c r="AK281" i="22"/>
  <c r="P352" i="22" s="1"/>
  <c r="W352" i="22"/>
  <c r="E387" i="22"/>
  <c r="L387" i="22" s="1"/>
  <c r="AD352" i="22"/>
  <c r="R362" i="22"/>
  <c r="R419" i="22"/>
  <c r="T426" i="22" s="1"/>
  <c r="S291" i="22"/>
  <c r="L42" i="3"/>
  <c r="I286" i="22"/>
  <c r="L36" i="3"/>
  <c r="I280" i="22"/>
  <c r="I277" i="22"/>
  <c r="L33" i="3"/>
  <c r="L18" i="3"/>
  <c r="I262" i="22"/>
  <c r="AK271" i="22"/>
  <c r="P342" i="22" s="1"/>
  <c r="E306" i="22"/>
  <c r="I342" i="22" s="1"/>
  <c r="W349" i="22"/>
  <c r="AD349" i="22"/>
  <c r="E384" i="22"/>
  <c r="I284" i="22"/>
  <c r="L40" i="3"/>
  <c r="I273" i="22"/>
  <c r="L29" i="3"/>
  <c r="I261" i="22"/>
  <c r="L17" i="3"/>
  <c r="I266" i="22"/>
  <c r="L22" i="3"/>
  <c r="E307" i="22"/>
  <c r="I343" i="22" s="1"/>
  <c r="L21" i="3"/>
  <c r="I265" i="22"/>
  <c r="I283" i="22"/>
  <c r="L39" i="3"/>
  <c r="I285" i="22"/>
  <c r="L41" i="3"/>
  <c r="L24" i="3"/>
  <c r="I268" i="22"/>
  <c r="I269" i="22"/>
  <c r="L25" i="3"/>
  <c r="E293" i="22"/>
  <c r="I329" i="22" s="1"/>
  <c r="AL294" i="22"/>
  <c r="E292" i="22"/>
  <c r="I328" i="22" s="1"/>
  <c r="AD328" i="22" s="1"/>
  <c r="AL293" i="22"/>
  <c r="P257" i="22"/>
  <c r="L292" i="22"/>
  <c r="I34" i="33"/>
  <c r="I33" i="33"/>
  <c r="I17" i="33"/>
  <c r="I14" i="33"/>
  <c r="H8" i="33"/>
  <c r="O12" i="3" s="1"/>
  <c r="I23" i="33"/>
  <c r="I19" i="33"/>
  <c r="I21" i="33"/>
  <c r="I25" i="33"/>
  <c r="O7" i="33"/>
  <c r="AJ298" i="22" s="1"/>
  <c r="I18" i="33"/>
  <c r="M8" i="33"/>
  <c r="AD256" i="22" s="1"/>
  <c r="I31" i="33"/>
  <c r="I22" i="33"/>
  <c r="H44" i="33"/>
  <c r="AB419" i="22" s="1"/>
  <c r="AF426" i="22" s="1"/>
  <c r="I36" i="33"/>
  <c r="I29" i="33"/>
  <c r="I15" i="33"/>
  <c r="I38" i="33"/>
  <c r="I30" i="33"/>
  <c r="I37" i="33"/>
  <c r="I27" i="33"/>
  <c r="I32" i="33"/>
  <c r="I11" i="33"/>
  <c r="I9" i="33"/>
  <c r="I26" i="33"/>
  <c r="I10" i="33"/>
  <c r="S35" i="33"/>
  <c r="S29" i="33"/>
  <c r="S38" i="33"/>
  <c r="S34" i="33"/>
  <c r="S30" i="33"/>
  <c r="S26" i="33"/>
  <c r="S27" i="33"/>
  <c r="S22" i="33"/>
  <c r="S18" i="33"/>
  <c r="S14" i="33"/>
  <c r="S10" i="33"/>
  <c r="S37" i="33"/>
  <c r="S33" i="33"/>
  <c r="S31" i="33"/>
  <c r="S25" i="33"/>
  <c r="S20" i="33"/>
  <c r="S16" i="33"/>
  <c r="S28" i="33"/>
  <c r="S24" i="33"/>
  <c r="S23" i="33"/>
  <c r="S21" i="33"/>
  <c r="S13" i="33"/>
  <c r="S17" i="33"/>
  <c r="S32" i="33"/>
  <c r="S19" i="33"/>
  <c r="S11" i="33"/>
  <c r="S9" i="33"/>
  <c r="S15" i="33"/>
  <c r="S36" i="33"/>
  <c r="S12" i="33"/>
  <c r="I13" i="33"/>
  <c r="I35" i="33"/>
  <c r="AA8" i="33"/>
  <c r="AB8" i="33" s="1"/>
  <c r="AC8" i="33" s="1"/>
  <c r="AD8" i="33" s="1"/>
  <c r="W8" i="33"/>
  <c r="X8" i="33" s="1"/>
  <c r="E385" i="22" l="1"/>
  <c r="AD385" i="22" s="1"/>
  <c r="E365" i="22"/>
  <c r="AK365" i="22" s="1"/>
  <c r="AD330" i="22"/>
  <c r="L376" i="22"/>
  <c r="E370" i="22"/>
  <c r="X370" i="22" s="1"/>
  <c r="W335" i="22"/>
  <c r="E373" i="22"/>
  <c r="AK373" i="22" s="1"/>
  <c r="W334" i="22"/>
  <c r="AD350" i="22"/>
  <c r="E369" i="22"/>
  <c r="X369" i="22" s="1"/>
  <c r="AK274" i="22"/>
  <c r="P345" i="22" s="1"/>
  <c r="AD338" i="22"/>
  <c r="D28" i="36"/>
  <c r="AI28" i="36" s="1"/>
  <c r="G14" i="34"/>
  <c r="X13" i="34"/>
  <c r="E13" i="34"/>
  <c r="F13" i="34" s="1"/>
  <c r="C28" i="36" s="1"/>
  <c r="P12" i="34"/>
  <c r="B30" i="35"/>
  <c r="E27" i="36"/>
  <c r="AA21" i="33"/>
  <c r="W21" i="33"/>
  <c r="AD21" i="33"/>
  <c r="Z21" i="33"/>
  <c r="V21" i="33"/>
  <c r="AC21" i="33"/>
  <c r="Y21" i="33"/>
  <c r="AB21" i="33"/>
  <c r="X21" i="33"/>
  <c r="AA33" i="33"/>
  <c r="W33" i="33"/>
  <c r="AD33" i="33"/>
  <c r="Z33" i="33"/>
  <c r="V33" i="33"/>
  <c r="AC33" i="33"/>
  <c r="Y33" i="33"/>
  <c r="AB33" i="33"/>
  <c r="X33" i="33"/>
  <c r="AD18" i="33"/>
  <c r="Z18" i="33"/>
  <c r="V18" i="33"/>
  <c r="AC18" i="33"/>
  <c r="Y18" i="33"/>
  <c r="AB18" i="33"/>
  <c r="X18" i="33"/>
  <c r="W18" i="33"/>
  <c r="AA18" i="33"/>
  <c r="AC35" i="33"/>
  <c r="Y35" i="33"/>
  <c r="AB35" i="33"/>
  <c r="X35" i="33"/>
  <c r="AA35" i="33"/>
  <c r="W35" i="33"/>
  <c r="AD35" i="33"/>
  <c r="Z35" i="33"/>
  <c r="V35" i="33"/>
  <c r="AC15" i="33"/>
  <c r="Y15" i="33"/>
  <c r="AB15" i="33"/>
  <c r="X15" i="33"/>
  <c r="AA15" i="33"/>
  <c r="W15" i="33"/>
  <c r="AD15" i="33"/>
  <c r="Z15" i="33"/>
  <c r="V15" i="33"/>
  <c r="AB32" i="33"/>
  <c r="X32" i="33"/>
  <c r="AA32" i="33"/>
  <c r="W32" i="33"/>
  <c r="AD32" i="33"/>
  <c r="Z32" i="33"/>
  <c r="V32" i="33"/>
  <c r="AC32" i="33"/>
  <c r="Y32" i="33"/>
  <c r="AC23" i="33"/>
  <c r="Y23" i="33"/>
  <c r="AB23" i="33"/>
  <c r="X23" i="33"/>
  <c r="AA23" i="33"/>
  <c r="W23" i="33"/>
  <c r="Z23" i="33"/>
  <c r="V23" i="33"/>
  <c r="AD23" i="33"/>
  <c r="AB20" i="33"/>
  <c r="X20" i="33"/>
  <c r="AA20" i="33"/>
  <c r="W20" i="33"/>
  <c r="AD20" i="33"/>
  <c r="Z20" i="33"/>
  <c r="V20" i="33"/>
  <c r="AC20" i="33"/>
  <c r="Y20" i="33"/>
  <c r="AA37" i="33"/>
  <c r="W37" i="33"/>
  <c r="AD37" i="33"/>
  <c r="Z37" i="33"/>
  <c r="V37" i="33"/>
  <c r="AC37" i="33"/>
  <c r="Y37" i="33"/>
  <c r="AB37" i="33"/>
  <c r="X37" i="33"/>
  <c r="AD22" i="33"/>
  <c r="Z22" i="33"/>
  <c r="V22" i="33"/>
  <c r="AC22" i="33"/>
  <c r="Y22" i="33"/>
  <c r="AB22" i="33"/>
  <c r="X22" i="33"/>
  <c r="AA22" i="33"/>
  <c r="W22" i="33"/>
  <c r="AD34" i="33"/>
  <c r="Z34" i="33"/>
  <c r="V34" i="33"/>
  <c r="AC34" i="33"/>
  <c r="Y34" i="33"/>
  <c r="AB34" i="33"/>
  <c r="X34" i="33"/>
  <c r="AA34" i="33"/>
  <c r="W34" i="33"/>
  <c r="AC19" i="33"/>
  <c r="Y19" i="33"/>
  <c r="AB19" i="33"/>
  <c r="X19" i="33"/>
  <c r="AA19" i="33"/>
  <c r="W19" i="33"/>
  <c r="AD19" i="33"/>
  <c r="Z19" i="33"/>
  <c r="V19" i="33"/>
  <c r="AA9" i="33"/>
  <c r="W9" i="33"/>
  <c r="AD9" i="33"/>
  <c r="Z9" i="33"/>
  <c r="V9" i="33"/>
  <c r="AC9" i="33"/>
  <c r="Y9" i="33"/>
  <c r="X9" i="33"/>
  <c r="AB9" i="33"/>
  <c r="AB24" i="33"/>
  <c r="X24" i="33"/>
  <c r="AA24" i="33"/>
  <c r="W24" i="33"/>
  <c r="AD24" i="33"/>
  <c r="Z24" i="33"/>
  <c r="V24" i="33"/>
  <c r="AC24" i="33"/>
  <c r="Y24" i="33"/>
  <c r="AA25" i="33"/>
  <c r="W25" i="33"/>
  <c r="AD25" i="33"/>
  <c r="Z25" i="33"/>
  <c r="V25" i="33"/>
  <c r="AC25" i="33"/>
  <c r="Y25" i="33"/>
  <c r="X25" i="33"/>
  <c r="AB25" i="33"/>
  <c r="AD10" i="33"/>
  <c r="Z10" i="33"/>
  <c r="V10" i="33"/>
  <c r="AC10" i="33"/>
  <c r="Y10" i="33"/>
  <c r="AB10" i="33"/>
  <c r="X10" i="33"/>
  <c r="AA10" i="33"/>
  <c r="W10" i="33"/>
  <c r="AC27" i="33"/>
  <c r="Y27" i="33"/>
  <c r="AB27" i="33"/>
  <c r="X27" i="33"/>
  <c r="AA27" i="33"/>
  <c r="W27" i="33"/>
  <c r="V27" i="33"/>
  <c r="AD27" i="33"/>
  <c r="Z27" i="33"/>
  <c r="AD38" i="33"/>
  <c r="Z38" i="33"/>
  <c r="V38" i="33"/>
  <c r="AC38" i="33"/>
  <c r="Y38" i="33"/>
  <c r="AB38" i="33"/>
  <c r="X38" i="33"/>
  <c r="AA38" i="33"/>
  <c r="W38" i="33"/>
  <c r="AB36" i="33"/>
  <c r="X36" i="33"/>
  <c r="AA36" i="33"/>
  <c r="W36" i="33"/>
  <c r="AD36" i="33"/>
  <c r="Z36" i="33"/>
  <c r="V36" i="33"/>
  <c r="AC36" i="33"/>
  <c r="Y36" i="33"/>
  <c r="AB16" i="33"/>
  <c r="X16" i="33"/>
  <c r="AA16" i="33"/>
  <c r="W16" i="33"/>
  <c r="AD16" i="33"/>
  <c r="Z16" i="33"/>
  <c r="V16" i="33"/>
  <c r="Y16" i="33"/>
  <c r="AC16" i="33"/>
  <c r="AD30" i="33"/>
  <c r="Z30" i="33"/>
  <c r="V30" i="33"/>
  <c r="AC30" i="33"/>
  <c r="Y30" i="33"/>
  <c r="AB30" i="33"/>
  <c r="X30" i="33"/>
  <c r="AA30" i="33"/>
  <c r="W30" i="33"/>
  <c r="AA17" i="33"/>
  <c r="W17" i="33"/>
  <c r="AD17" i="33"/>
  <c r="Z17" i="33"/>
  <c r="V17" i="33"/>
  <c r="AC17" i="33"/>
  <c r="Y17" i="33"/>
  <c r="AB17" i="33"/>
  <c r="X17" i="33"/>
  <c r="AB12" i="33"/>
  <c r="X12" i="33"/>
  <c r="AA12" i="33"/>
  <c r="W12" i="33"/>
  <c r="AD12" i="33"/>
  <c r="Z12" i="33"/>
  <c r="V12" i="33"/>
  <c r="AC12" i="33"/>
  <c r="Y12" i="33"/>
  <c r="AC11" i="33"/>
  <c r="Y11" i="33"/>
  <c r="AB11" i="33"/>
  <c r="X11" i="33"/>
  <c r="AA11" i="33"/>
  <c r="W11" i="33"/>
  <c r="V11" i="33"/>
  <c r="AD11" i="33"/>
  <c r="Z11" i="33"/>
  <c r="AA13" i="33"/>
  <c r="W13" i="33"/>
  <c r="AD13" i="33"/>
  <c r="Z13" i="33"/>
  <c r="V13" i="33"/>
  <c r="AC13" i="33"/>
  <c r="Y13" i="33"/>
  <c r="AB13" i="33"/>
  <c r="X13" i="33"/>
  <c r="AB28" i="33"/>
  <c r="X28" i="33"/>
  <c r="AA28" i="33"/>
  <c r="W28" i="33"/>
  <c r="AD28" i="33"/>
  <c r="Z28" i="33"/>
  <c r="V28" i="33"/>
  <c r="AC28" i="33"/>
  <c r="Y28" i="33"/>
  <c r="AC31" i="33"/>
  <c r="Y31" i="33"/>
  <c r="AB31" i="33"/>
  <c r="X31" i="33"/>
  <c r="AA31" i="33"/>
  <c r="W31" i="33"/>
  <c r="AD31" i="33"/>
  <c r="Z31" i="33"/>
  <c r="V31" i="33"/>
  <c r="AD14" i="33"/>
  <c r="Z14" i="33"/>
  <c r="V14" i="33"/>
  <c r="AC14" i="33"/>
  <c r="Y14" i="33"/>
  <c r="AB14" i="33"/>
  <c r="X14" i="33"/>
  <c r="AA14" i="33"/>
  <c r="W14" i="33"/>
  <c r="AD26" i="33"/>
  <c r="Z26" i="33"/>
  <c r="V26" i="33"/>
  <c r="AC26" i="33"/>
  <c r="Y26" i="33"/>
  <c r="AB26" i="33"/>
  <c r="X26" i="33"/>
  <c r="AA26" i="33"/>
  <c r="W26" i="33"/>
  <c r="AA29" i="33"/>
  <c r="W29" i="33"/>
  <c r="AD29" i="33"/>
  <c r="Z29" i="33"/>
  <c r="V29" i="33"/>
  <c r="AC29" i="33"/>
  <c r="Y29" i="33"/>
  <c r="AB29" i="33"/>
  <c r="X29" i="33"/>
  <c r="AK376" i="22"/>
  <c r="X381" i="22"/>
  <c r="X387" i="22"/>
  <c r="AD376" i="22"/>
  <c r="AK387" i="22"/>
  <c r="X376" i="22"/>
  <c r="R387" i="22"/>
  <c r="AD365" i="22"/>
  <c r="R381" i="22"/>
  <c r="L369" i="22"/>
  <c r="L381" i="22"/>
  <c r="R365" i="22"/>
  <c r="X365" i="22"/>
  <c r="AK381" i="22"/>
  <c r="L365" i="22"/>
  <c r="AD370" i="22"/>
  <c r="X388" i="22"/>
  <c r="R388" i="22"/>
  <c r="L388" i="22"/>
  <c r="R382" i="22"/>
  <c r="AD388" i="22"/>
  <c r="AK382" i="22"/>
  <c r="R385" i="22"/>
  <c r="X385" i="22"/>
  <c r="AD382" i="22"/>
  <c r="L382" i="22"/>
  <c r="E363" i="22"/>
  <c r="X363" i="22" s="1"/>
  <c r="AD373" i="22"/>
  <c r="E366" i="22"/>
  <c r="W331" i="22"/>
  <c r="AD331" i="22"/>
  <c r="Q521" i="22"/>
  <c r="Q518" i="22"/>
  <c r="V523" i="22" s="1"/>
  <c r="E65" i="33"/>
  <c r="M15" i="29" s="1"/>
  <c r="F65" i="33"/>
  <c r="L65" i="33"/>
  <c r="O15" i="29" s="1"/>
  <c r="D65" i="33"/>
  <c r="D73" i="33"/>
  <c r="E73" i="33"/>
  <c r="M23" i="29" s="1"/>
  <c r="F73" i="33"/>
  <c r="N23" i="29" s="1"/>
  <c r="L73" i="33"/>
  <c r="L66" i="33"/>
  <c r="O16" i="29" s="1"/>
  <c r="D66" i="33"/>
  <c r="E66" i="33"/>
  <c r="M16" i="29" s="1"/>
  <c r="F66" i="33"/>
  <c r="N16" i="29" s="1"/>
  <c r="L385" i="22"/>
  <c r="AD387" i="22"/>
  <c r="W328" i="22"/>
  <c r="AK286" i="22"/>
  <c r="P357" i="22" s="1"/>
  <c r="E321" i="22"/>
  <c r="I357" i="22" s="1"/>
  <c r="E76" i="33"/>
  <c r="M26" i="29" s="1"/>
  <c r="F76" i="33"/>
  <c r="N26" i="29" s="1"/>
  <c r="L76" i="33"/>
  <c r="D76" i="33"/>
  <c r="L78" i="33"/>
  <c r="D78" i="33"/>
  <c r="E78" i="33"/>
  <c r="M28" i="29" s="1"/>
  <c r="F78" i="33"/>
  <c r="N28" i="29" s="1"/>
  <c r="D69" i="33"/>
  <c r="E69" i="33"/>
  <c r="M19" i="29" s="1"/>
  <c r="F69" i="33"/>
  <c r="N19" i="29" s="1"/>
  <c r="L69" i="33"/>
  <c r="F71" i="33"/>
  <c r="N21" i="29" s="1"/>
  <c r="L71" i="33"/>
  <c r="O21" i="29" s="1"/>
  <c r="D71" i="33"/>
  <c r="E71" i="33"/>
  <c r="M21" i="29" s="1"/>
  <c r="F79" i="33"/>
  <c r="N29" i="29" s="1"/>
  <c r="L79" i="33"/>
  <c r="D79" i="33"/>
  <c r="E79" i="33"/>
  <c r="M29" i="29" s="1"/>
  <c r="E68" i="33"/>
  <c r="M18" i="29" s="1"/>
  <c r="F68" i="33"/>
  <c r="N18" i="29" s="1"/>
  <c r="L68" i="33"/>
  <c r="D68" i="33"/>
  <c r="F67" i="33"/>
  <c r="L67" i="33"/>
  <c r="O17" i="29" s="1"/>
  <c r="D67" i="33"/>
  <c r="E67" i="33"/>
  <c r="M17" i="29" s="1"/>
  <c r="L70" i="33"/>
  <c r="D70" i="33"/>
  <c r="E70" i="33"/>
  <c r="M20" i="29" s="1"/>
  <c r="F70" i="33"/>
  <c r="N20" i="29" s="1"/>
  <c r="F75" i="33"/>
  <c r="N25" i="29" s="1"/>
  <c r="L75" i="33"/>
  <c r="D75" i="33"/>
  <c r="E75" i="33"/>
  <c r="D77" i="33"/>
  <c r="E77" i="33"/>
  <c r="M27" i="29" s="1"/>
  <c r="F77" i="33"/>
  <c r="N27" i="29" s="1"/>
  <c r="L77" i="33"/>
  <c r="E72" i="33"/>
  <c r="M22" i="29" s="1"/>
  <c r="F72" i="33"/>
  <c r="N22" i="29" s="1"/>
  <c r="L72" i="33"/>
  <c r="D72" i="33"/>
  <c r="L74" i="33"/>
  <c r="O24" i="29" s="1"/>
  <c r="D74" i="33"/>
  <c r="E74" i="33"/>
  <c r="M24" i="29" s="1"/>
  <c r="F74" i="33"/>
  <c r="N24" i="29" s="1"/>
  <c r="Z291" i="22"/>
  <c r="X362" i="22"/>
  <c r="AD362" i="22" s="1"/>
  <c r="W419" i="22"/>
  <c r="Z426" i="22" s="1"/>
  <c r="AR249" i="22"/>
  <c r="E304" i="22"/>
  <c r="I340" i="22" s="1"/>
  <c r="AK269" i="22"/>
  <c r="P340" i="22" s="1"/>
  <c r="AK283" i="22"/>
  <c r="P354" i="22" s="1"/>
  <c r="E318" i="22"/>
  <c r="I354" i="22" s="1"/>
  <c r="W343" i="22"/>
  <c r="AD343" i="22"/>
  <c r="E378" i="22"/>
  <c r="E296" i="22"/>
  <c r="I332" i="22" s="1"/>
  <c r="AK261" i="22"/>
  <c r="P332" i="22" s="1"/>
  <c r="E319" i="22"/>
  <c r="I355" i="22" s="1"/>
  <c r="AK284" i="22"/>
  <c r="P355" i="22" s="1"/>
  <c r="AD342" i="22"/>
  <c r="W342" i="22"/>
  <c r="E377" i="22"/>
  <c r="AK268" i="22"/>
  <c r="P339" i="22" s="1"/>
  <c r="E303" i="22"/>
  <c r="I339" i="22" s="1"/>
  <c r="E300" i="22"/>
  <c r="I336" i="22" s="1"/>
  <c r="AK265" i="22"/>
  <c r="P336" i="22" s="1"/>
  <c r="R384" i="22"/>
  <c r="X384" i="22"/>
  <c r="L384" i="22"/>
  <c r="AD384" i="22"/>
  <c r="AK384" i="22"/>
  <c r="E312" i="22"/>
  <c r="I348" i="22" s="1"/>
  <c r="AK277" i="22"/>
  <c r="P348" i="22" s="1"/>
  <c r="E364" i="22"/>
  <c r="W329" i="22"/>
  <c r="AD329" i="22"/>
  <c r="E320" i="22"/>
  <c r="I356" i="22" s="1"/>
  <c r="AK285" i="22"/>
  <c r="P356" i="22" s="1"/>
  <c r="E301" i="22"/>
  <c r="I337" i="22" s="1"/>
  <c r="AK266" i="22"/>
  <c r="P337" i="22" s="1"/>
  <c r="E308" i="22"/>
  <c r="I344" i="22" s="1"/>
  <c r="AK273" i="22"/>
  <c r="P344" i="22" s="1"/>
  <c r="E297" i="22"/>
  <c r="I333" i="22" s="1"/>
  <c r="AK262" i="22"/>
  <c r="P333" i="22" s="1"/>
  <c r="E315" i="22"/>
  <c r="I351" i="22" s="1"/>
  <c r="AK280" i="22"/>
  <c r="P351" i="22" s="1"/>
  <c r="E380" i="22"/>
  <c r="AD345" i="22"/>
  <c r="W345" i="22"/>
  <c r="AL249" i="22"/>
  <c r="P65" i="33"/>
  <c r="K65" i="33"/>
  <c r="N15" i="29"/>
  <c r="S65" i="33"/>
  <c r="O65" i="33"/>
  <c r="J65" i="33"/>
  <c r="R65" i="33"/>
  <c r="N65" i="33"/>
  <c r="I65" i="33"/>
  <c r="C65" i="33"/>
  <c r="Q65" i="33"/>
  <c r="V45" i="33"/>
  <c r="R45" i="33"/>
  <c r="AH560" i="22" s="1"/>
  <c r="N45" i="33"/>
  <c r="N560" i="22" s="1"/>
  <c r="J45" i="33"/>
  <c r="X594" i="22" s="1"/>
  <c r="Y45" i="33"/>
  <c r="U45" i="33"/>
  <c r="Q45" i="33"/>
  <c r="AC560" i="22" s="1"/>
  <c r="I45" i="33"/>
  <c r="R594" i="22" s="1"/>
  <c r="D45" i="33"/>
  <c r="D560" i="22" s="1"/>
  <c r="F594" i="22" s="1"/>
  <c r="T45" i="33"/>
  <c r="AD594" i="22" s="1"/>
  <c r="L45" i="33"/>
  <c r="C45" i="33"/>
  <c r="G65" i="33"/>
  <c r="S45" i="33"/>
  <c r="AM560" i="22" s="1"/>
  <c r="AR560" i="22" s="1"/>
  <c r="K45" i="33"/>
  <c r="X45" i="33"/>
  <c r="P45" i="33"/>
  <c r="X560" i="22" s="1"/>
  <c r="H45" i="33"/>
  <c r="L594" i="22" s="1"/>
  <c r="G45" i="33"/>
  <c r="W45" i="33"/>
  <c r="O45" i="33"/>
  <c r="S560" i="22" s="1"/>
  <c r="S73" i="33"/>
  <c r="O73" i="33"/>
  <c r="J73" i="33"/>
  <c r="Q73" i="33"/>
  <c r="K73" i="33"/>
  <c r="P73" i="33"/>
  <c r="I73" i="33"/>
  <c r="C73" i="33"/>
  <c r="N73" i="33"/>
  <c r="G73" i="33"/>
  <c r="O23" i="29"/>
  <c r="X53" i="33"/>
  <c r="T53" i="33"/>
  <c r="AD602" i="22" s="1"/>
  <c r="P53" i="33"/>
  <c r="X568" i="22" s="1"/>
  <c r="L53" i="33"/>
  <c r="H53" i="33"/>
  <c r="L602" i="22" s="1"/>
  <c r="C53" i="33"/>
  <c r="W53" i="33"/>
  <c r="S53" i="33"/>
  <c r="AM568" i="22" s="1"/>
  <c r="AR568" i="22" s="1"/>
  <c r="O53" i="33"/>
  <c r="S568" i="22" s="1"/>
  <c r="K53" i="33"/>
  <c r="G53" i="33"/>
  <c r="Y53" i="33"/>
  <c r="Q53" i="33"/>
  <c r="AC568" i="22" s="1"/>
  <c r="I53" i="33"/>
  <c r="R602" i="22" s="1"/>
  <c r="V53" i="33"/>
  <c r="N53" i="33"/>
  <c r="N568" i="22" s="1"/>
  <c r="J53" i="33"/>
  <c r="X602" i="22" s="1"/>
  <c r="R73" i="33"/>
  <c r="U53" i="33"/>
  <c r="D53" i="33"/>
  <c r="D568" i="22" s="1"/>
  <c r="F602" i="22" s="1"/>
  <c r="R53" i="33"/>
  <c r="AH568" i="22" s="1"/>
  <c r="Y60" i="33"/>
  <c r="P66" i="33"/>
  <c r="K66" i="33"/>
  <c r="S66" i="33"/>
  <c r="O66" i="33"/>
  <c r="J66" i="33"/>
  <c r="R66" i="33"/>
  <c r="N66" i="33"/>
  <c r="I66" i="33"/>
  <c r="C66" i="33"/>
  <c r="Q66" i="33"/>
  <c r="G66" i="33"/>
  <c r="W46" i="33"/>
  <c r="S46" i="33"/>
  <c r="AM561" i="22" s="1"/>
  <c r="AR561" i="22" s="1"/>
  <c r="O46" i="33"/>
  <c r="S561" i="22" s="1"/>
  <c r="K46" i="33"/>
  <c r="G46" i="33"/>
  <c r="V46" i="33"/>
  <c r="R46" i="33"/>
  <c r="AH561" i="22" s="1"/>
  <c r="N46" i="33"/>
  <c r="N561" i="22" s="1"/>
  <c r="J46" i="33"/>
  <c r="X595" i="22" s="1"/>
  <c r="T46" i="33"/>
  <c r="AD595" i="22" s="1"/>
  <c r="L46" i="33"/>
  <c r="C46" i="33"/>
  <c r="Y46" i="33"/>
  <c r="Q46" i="33"/>
  <c r="AC561" i="22" s="1"/>
  <c r="I46" i="33"/>
  <c r="R595" i="22" s="1"/>
  <c r="X46" i="33"/>
  <c r="P46" i="33"/>
  <c r="X561" i="22" s="1"/>
  <c r="H46" i="33"/>
  <c r="L595" i="22" s="1"/>
  <c r="D46" i="33"/>
  <c r="D561" i="22" s="1"/>
  <c r="F595" i="22" s="1"/>
  <c r="U46" i="33"/>
  <c r="P67" i="33"/>
  <c r="K67" i="33"/>
  <c r="N17" i="29"/>
  <c r="S67" i="33"/>
  <c r="O67" i="33"/>
  <c r="J67" i="33"/>
  <c r="R67" i="33"/>
  <c r="N67" i="33"/>
  <c r="I67" i="33"/>
  <c r="C67" i="33"/>
  <c r="V47" i="33"/>
  <c r="R47" i="33"/>
  <c r="AH562" i="22" s="1"/>
  <c r="N47" i="33"/>
  <c r="N562" i="22" s="1"/>
  <c r="J47" i="33"/>
  <c r="X596" i="22" s="1"/>
  <c r="Q67" i="33"/>
  <c r="X47" i="33"/>
  <c r="S47" i="33"/>
  <c r="AM562" i="22" s="1"/>
  <c r="AR562" i="22" s="1"/>
  <c r="H47" i="33"/>
  <c r="L596" i="22" s="1"/>
  <c r="C47" i="33"/>
  <c r="W47" i="33"/>
  <c r="Q47" i="33"/>
  <c r="AC562" i="22" s="1"/>
  <c r="L47" i="33"/>
  <c r="G47" i="33"/>
  <c r="U47" i="33"/>
  <c r="K47" i="33"/>
  <c r="T47" i="33"/>
  <c r="AD596" i="22" s="1"/>
  <c r="I47" i="33"/>
  <c r="R596" i="22" s="1"/>
  <c r="P47" i="33"/>
  <c r="X562" i="22" s="1"/>
  <c r="D47" i="33"/>
  <c r="D562" i="22" s="1"/>
  <c r="F596" i="22" s="1"/>
  <c r="G67" i="33"/>
  <c r="Y47" i="33"/>
  <c r="O47" i="33"/>
  <c r="S562" i="22" s="1"/>
  <c r="Q7" i="33"/>
  <c r="AJ302" i="22" s="1"/>
  <c r="S75" i="33"/>
  <c r="O75" i="33"/>
  <c r="J75" i="33"/>
  <c r="M25" i="29"/>
  <c r="Q75" i="33"/>
  <c r="K75" i="33"/>
  <c r="P75" i="33"/>
  <c r="I75" i="33"/>
  <c r="C75" i="33"/>
  <c r="N75" i="33"/>
  <c r="G75" i="33"/>
  <c r="V55" i="33"/>
  <c r="R55" i="33"/>
  <c r="AH570" i="22" s="1"/>
  <c r="N55" i="33"/>
  <c r="N570" i="22" s="1"/>
  <c r="J55" i="33"/>
  <c r="X604" i="22" s="1"/>
  <c r="R75" i="33"/>
  <c r="Y55" i="33"/>
  <c r="U55" i="33"/>
  <c r="Q55" i="33"/>
  <c r="AC570" i="22" s="1"/>
  <c r="I55" i="33"/>
  <c r="R604" i="22" s="1"/>
  <c r="D55" i="33"/>
  <c r="D570" i="22" s="1"/>
  <c r="F604" i="22" s="1"/>
  <c r="O25" i="29"/>
  <c r="S55" i="33"/>
  <c r="AM570" i="22" s="1"/>
  <c r="AR570" i="22" s="1"/>
  <c r="K55" i="33"/>
  <c r="X55" i="33"/>
  <c r="P55" i="33"/>
  <c r="X570" i="22" s="1"/>
  <c r="H55" i="33"/>
  <c r="L604" i="22" s="1"/>
  <c r="L55" i="33"/>
  <c r="W55" i="33"/>
  <c r="G55" i="33"/>
  <c r="T55" i="33"/>
  <c r="AD604" i="22" s="1"/>
  <c r="C55" i="33"/>
  <c r="O55" i="33"/>
  <c r="S570" i="22" s="1"/>
  <c r="S77" i="33"/>
  <c r="O77" i="33"/>
  <c r="J77" i="33"/>
  <c r="Q77" i="33"/>
  <c r="K77" i="33"/>
  <c r="P77" i="33"/>
  <c r="I77" i="33"/>
  <c r="C77" i="33"/>
  <c r="N77" i="33"/>
  <c r="G77" i="33"/>
  <c r="O27" i="29"/>
  <c r="X57" i="33"/>
  <c r="T57" i="33"/>
  <c r="AD606" i="22" s="1"/>
  <c r="P57" i="33"/>
  <c r="X572" i="22" s="1"/>
  <c r="L57" i="33"/>
  <c r="H57" i="33"/>
  <c r="L606" i="22" s="1"/>
  <c r="C57" i="33"/>
  <c r="W57" i="33"/>
  <c r="S57" i="33"/>
  <c r="AM572" i="22" s="1"/>
  <c r="AR572" i="22" s="1"/>
  <c r="O57" i="33"/>
  <c r="S572" i="22" s="1"/>
  <c r="K57" i="33"/>
  <c r="G57" i="33"/>
  <c r="R77" i="33"/>
  <c r="Y57" i="33"/>
  <c r="Q57" i="33"/>
  <c r="AC572" i="22" s="1"/>
  <c r="I57" i="33"/>
  <c r="R606" i="22" s="1"/>
  <c r="V57" i="33"/>
  <c r="N57" i="33"/>
  <c r="N572" i="22" s="1"/>
  <c r="U57" i="33"/>
  <c r="D57" i="33"/>
  <c r="D572" i="22" s="1"/>
  <c r="F606" i="22" s="1"/>
  <c r="R57" i="33"/>
  <c r="AH572" i="22" s="1"/>
  <c r="J57" i="33"/>
  <c r="X606" i="22" s="1"/>
  <c r="S72" i="33"/>
  <c r="O72" i="33"/>
  <c r="J72" i="33"/>
  <c r="Q72" i="33"/>
  <c r="K72" i="33"/>
  <c r="P72" i="33"/>
  <c r="I72" i="33"/>
  <c r="C72" i="33"/>
  <c r="N72" i="33"/>
  <c r="G72" i="33"/>
  <c r="W52" i="33"/>
  <c r="S52" i="33"/>
  <c r="AM567" i="22" s="1"/>
  <c r="AR567" i="22" s="1"/>
  <c r="O52" i="33"/>
  <c r="S567" i="22" s="1"/>
  <c r="K52" i="33"/>
  <c r="G52" i="33"/>
  <c r="V52" i="33"/>
  <c r="R52" i="33"/>
  <c r="AH567" i="22" s="1"/>
  <c r="N52" i="33"/>
  <c r="N567" i="22" s="1"/>
  <c r="J52" i="33"/>
  <c r="X601" i="22" s="1"/>
  <c r="R72" i="33"/>
  <c r="O22" i="29"/>
  <c r="Y52" i="33"/>
  <c r="Q52" i="33"/>
  <c r="AC567" i="22" s="1"/>
  <c r="I52" i="33"/>
  <c r="R601" i="22" s="1"/>
  <c r="X52" i="33"/>
  <c r="P52" i="33"/>
  <c r="X567" i="22" s="1"/>
  <c r="H52" i="33"/>
  <c r="L601" i="22" s="1"/>
  <c r="U52" i="33"/>
  <c r="D52" i="33"/>
  <c r="D567" i="22" s="1"/>
  <c r="F601" i="22" s="1"/>
  <c r="T52" i="33"/>
  <c r="AD601" i="22" s="1"/>
  <c r="C52" i="33"/>
  <c r="L52" i="33"/>
  <c r="S74" i="33"/>
  <c r="O74" i="33"/>
  <c r="J74" i="33"/>
  <c r="Q74" i="33"/>
  <c r="K74" i="33"/>
  <c r="P74" i="33"/>
  <c r="I74" i="33"/>
  <c r="C74" i="33"/>
  <c r="N74" i="33"/>
  <c r="G74" i="33"/>
  <c r="R74" i="33"/>
  <c r="Y54" i="33"/>
  <c r="U54" i="33"/>
  <c r="Q54" i="33"/>
  <c r="AC569" i="22" s="1"/>
  <c r="I54" i="33"/>
  <c r="R603" i="22" s="1"/>
  <c r="D54" i="33"/>
  <c r="D569" i="22" s="1"/>
  <c r="F603" i="22" s="1"/>
  <c r="X54" i="33"/>
  <c r="T54" i="33"/>
  <c r="AD603" i="22" s="1"/>
  <c r="P54" i="33"/>
  <c r="X569" i="22" s="1"/>
  <c r="L54" i="33"/>
  <c r="H54" i="33"/>
  <c r="L603" i="22" s="1"/>
  <c r="C54" i="33"/>
  <c r="R54" i="33"/>
  <c r="AH569" i="22" s="1"/>
  <c r="J54" i="33"/>
  <c r="X603" i="22" s="1"/>
  <c r="W54" i="33"/>
  <c r="O54" i="33"/>
  <c r="S569" i="22" s="1"/>
  <c r="G54" i="33"/>
  <c r="V54" i="33"/>
  <c r="S54" i="33"/>
  <c r="AM569" i="22" s="1"/>
  <c r="AR569" i="22" s="1"/>
  <c r="N54" i="33"/>
  <c r="N569" i="22" s="1"/>
  <c r="K54" i="33"/>
  <c r="P68" i="33"/>
  <c r="K68" i="33"/>
  <c r="S68" i="33"/>
  <c r="O68" i="33"/>
  <c r="J68" i="33"/>
  <c r="R68" i="33"/>
  <c r="N68" i="33"/>
  <c r="I68" i="33"/>
  <c r="C68" i="33"/>
  <c r="W48" i="33"/>
  <c r="S48" i="33"/>
  <c r="AM563" i="22" s="1"/>
  <c r="AR563" i="22" s="1"/>
  <c r="O48" i="33"/>
  <c r="S563" i="22" s="1"/>
  <c r="K48" i="33"/>
  <c r="G48" i="33"/>
  <c r="Q68" i="33"/>
  <c r="G68" i="33"/>
  <c r="U48" i="33"/>
  <c r="P48" i="33"/>
  <c r="X563" i="22" s="1"/>
  <c r="J48" i="33"/>
  <c r="X597" i="22" s="1"/>
  <c r="D48" i="33"/>
  <c r="D563" i="22" s="1"/>
  <c r="F597" i="22" s="1"/>
  <c r="Y48" i="33"/>
  <c r="T48" i="33"/>
  <c r="AD597" i="22" s="1"/>
  <c r="N48" i="33"/>
  <c r="N563" i="22" s="1"/>
  <c r="I48" i="33"/>
  <c r="R597" i="22" s="1"/>
  <c r="C48" i="33"/>
  <c r="R48" i="33"/>
  <c r="AH563" i="22" s="1"/>
  <c r="H48" i="33"/>
  <c r="L597" i="22" s="1"/>
  <c r="Q48" i="33"/>
  <c r="AC563" i="22" s="1"/>
  <c r="O18" i="29"/>
  <c r="X48" i="33"/>
  <c r="L48" i="33"/>
  <c r="V48" i="33"/>
  <c r="P69" i="33"/>
  <c r="K69" i="33"/>
  <c r="S69" i="33"/>
  <c r="O69" i="33"/>
  <c r="J69" i="33"/>
  <c r="R69" i="33"/>
  <c r="N69" i="33"/>
  <c r="I69" i="33"/>
  <c r="C69" i="33"/>
  <c r="X49" i="33"/>
  <c r="T49" i="33"/>
  <c r="AD598" i="22" s="1"/>
  <c r="P49" i="33"/>
  <c r="X564" i="22" s="1"/>
  <c r="L49" i="33"/>
  <c r="H49" i="33"/>
  <c r="L598" i="22" s="1"/>
  <c r="C49" i="33"/>
  <c r="Q69" i="33"/>
  <c r="Y49" i="33"/>
  <c r="S49" i="33"/>
  <c r="AM564" i="22" s="1"/>
  <c r="AR564" i="22" s="1"/>
  <c r="N49" i="33"/>
  <c r="N564" i="22" s="1"/>
  <c r="I49" i="33"/>
  <c r="R598" i="22" s="1"/>
  <c r="O19" i="29"/>
  <c r="W49" i="33"/>
  <c r="R49" i="33"/>
  <c r="AH564" i="22" s="1"/>
  <c r="G49" i="33"/>
  <c r="O49" i="33"/>
  <c r="S564" i="22" s="1"/>
  <c r="D49" i="33"/>
  <c r="D564" i="22" s="1"/>
  <c r="F598" i="22" s="1"/>
  <c r="G69" i="33"/>
  <c r="V49" i="33"/>
  <c r="K49" i="33"/>
  <c r="U49" i="33"/>
  <c r="J49" i="33"/>
  <c r="X598" i="22" s="1"/>
  <c r="Q49" i="33"/>
  <c r="AC564" i="22" s="1"/>
  <c r="P70" i="33"/>
  <c r="K70" i="33"/>
  <c r="S70" i="33"/>
  <c r="O70" i="33"/>
  <c r="J70" i="33"/>
  <c r="R70" i="33"/>
  <c r="N70" i="33"/>
  <c r="I70" i="33"/>
  <c r="C70" i="33"/>
  <c r="Y50" i="33"/>
  <c r="U50" i="33"/>
  <c r="Q50" i="33"/>
  <c r="AC565" i="22" s="1"/>
  <c r="I50" i="33"/>
  <c r="R599" i="22" s="1"/>
  <c r="D50" i="33"/>
  <c r="D565" i="22" s="1"/>
  <c r="F599" i="22" s="1"/>
  <c r="Q70" i="33"/>
  <c r="G70" i="33"/>
  <c r="W50" i="33"/>
  <c r="R50" i="33"/>
  <c r="AH565" i="22" s="1"/>
  <c r="L50" i="33"/>
  <c r="G50" i="33"/>
  <c r="V50" i="33"/>
  <c r="P50" i="33"/>
  <c r="X565" i="22" s="1"/>
  <c r="K50" i="33"/>
  <c r="O20" i="29"/>
  <c r="X50" i="33"/>
  <c r="N50" i="33"/>
  <c r="N565" i="22" s="1"/>
  <c r="T50" i="33"/>
  <c r="AD599" i="22" s="1"/>
  <c r="J50" i="33"/>
  <c r="X599" i="22" s="1"/>
  <c r="S50" i="33"/>
  <c r="AM565" i="22" s="1"/>
  <c r="AR565" i="22" s="1"/>
  <c r="H50" i="33"/>
  <c r="L599" i="22" s="1"/>
  <c r="O50" i="33"/>
  <c r="S565" i="22" s="1"/>
  <c r="C50" i="33"/>
  <c r="S71" i="33"/>
  <c r="O71" i="33"/>
  <c r="Q71" i="33"/>
  <c r="K71" i="33"/>
  <c r="P71" i="33"/>
  <c r="J71" i="33"/>
  <c r="N71" i="33"/>
  <c r="I71" i="33"/>
  <c r="C71" i="33"/>
  <c r="V51" i="33"/>
  <c r="R51" i="33"/>
  <c r="AH566" i="22" s="1"/>
  <c r="N51" i="33"/>
  <c r="N566" i="22" s="1"/>
  <c r="J51" i="33"/>
  <c r="X600" i="22" s="1"/>
  <c r="R71" i="33"/>
  <c r="U51" i="33"/>
  <c r="P51" i="33"/>
  <c r="X566" i="22" s="1"/>
  <c r="K51" i="33"/>
  <c r="D51" i="33"/>
  <c r="D566" i="22" s="1"/>
  <c r="F600" i="22" s="1"/>
  <c r="Y51" i="33"/>
  <c r="T51" i="33"/>
  <c r="AD600" i="22" s="1"/>
  <c r="O51" i="33"/>
  <c r="S566" i="22" s="1"/>
  <c r="I51" i="33"/>
  <c r="R600" i="22" s="1"/>
  <c r="C51" i="33"/>
  <c r="W51" i="33"/>
  <c r="L51" i="33"/>
  <c r="S51" i="33"/>
  <c r="AM566" i="22" s="1"/>
  <c r="AR566" i="22" s="1"/>
  <c r="H51" i="33"/>
  <c r="L600" i="22" s="1"/>
  <c r="Q51" i="33"/>
  <c r="AC566" i="22" s="1"/>
  <c r="G51" i="33"/>
  <c r="G71" i="33"/>
  <c r="X51" i="33"/>
  <c r="Q79" i="33"/>
  <c r="O29" i="29"/>
  <c r="G79" i="33"/>
  <c r="C79" i="33"/>
  <c r="O79" i="33"/>
  <c r="I79" i="33"/>
  <c r="V59" i="33"/>
  <c r="R59" i="33"/>
  <c r="AH574" i="22" s="1"/>
  <c r="N59" i="33"/>
  <c r="N574" i="22" s="1"/>
  <c r="J59" i="33"/>
  <c r="X608" i="22" s="1"/>
  <c r="S79" i="33"/>
  <c r="N79" i="33"/>
  <c r="R79" i="33"/>
  <c r="K79" i="33"/>
  <c r="X59" i="33"/>
  <c r="T59" i="33"/>
  <c r="AD608" i="22" s="1"/>
  <c r="P59" i="33"/>
  <c r="X574" i="22" s="1"/>
  <c r="L59" i="33"/>
  <c r="H59" i="33"/>
  <c r="L608" i="22" s="1"/>
  <c r="C59" i="33"/>
  <c r="Y59" i="33"/>
  <c r="Q59" i="33"/>
  <c r="AC574" i="22" s="1"/>
  <c r="I59" i="33"/>
  <c r="R608" i="22" s="1"/>
  <c r="P79" i="33"/>
  <c r="W59" i="33"/>
  <c r="O59" i="33"/>
  <c r="S574" i="22" s="1"/>
  <c r="G59" i="33"/>
  <c r="S59" i="33"/>
  <c r="AM574" i="22" s="1"/>
  <c r="AR574" i="22" s="1"/>
  <c r="J79" i="33"/>
  <c r="U59" i="33"/>
  <c r="K59" i="33"/>
  <c r="D59" i="33"/>
  <c r="D574" i="22" s="1"/>
  <c r="F608" i="22" s="1"/>
  <c r="S76" i="33"/>
  <c r="O76" i="33"/>
  <c r="J76" i="33"/>
  <c r="Q76" i="33"/>
  <c r="K76" i="33"/>
  <c r="P76" i="33"/>
  <c r="I76" i="33"/>
  <c r="C76" i="33"/>
  <c r="N76" i="33"/>
  <c r="G76" i="33"/>
  <c r="W56" i="33"/>
  <c r="S56" i="33"/>
  <c r="AM571" i="22" s="1"/>
  <c r="AR571" i="22" s="1"/>
  <c r="O56" i="33"/>
  <c r="S571" i="22" s="1"/>
  <c r="K56" i="33"/>
  <c r="G56" i="33"/>
  <c r="V56" i="33"/>
  <c r="R56" i="33"/>
  <c r="AH571" i="22" s="1"/>
  <c r="N56" i="33"/>
  <c r="N571" i="22" s="1"/>
  <c r="J56" i="33"/>
  <c r="X605" i="22" s="1"/>
  <c r="Y56" i="33"/>
  <c r="Q56" i="33"/>
  <c r="AC571" i="22" s="1"/>
  <c r="I56" i="33"/>
  <c r="R605" i="22" s="1"/>
  <c r="R76" i="33"/>
  <c r="X56" i="33"/>
  <c r="P56" i="33"/>
  <c r="X571" i="22" s="1"/>
  <c r="H56" i="33"/>
  <c r="L605" i="22" s="1"/>
  <c r="O26" i="29"/>
  <c r="L56" i="33"/>
  <c r="U56" i="33"/>
  <c r="D56" i="33"/>
  <c r="D571" i="22" s="1"/>
  <c r="F605" i="22" s="1"/>
  <c r="C56" i="33"/>
  <c r="T56" i="33"/>
  <c r="AD605" i="22" s="1"/>
  <c r="R78" i="33"/>
  <c r="N78" i="33"/>
  <c r="I78" i="33"/>
  <c r="P78" i="33"/>
  <c r="J78" i="33"/>
  <c r="C78" i="33"/>
  <c r="Y58" i="33"/>
  <c r="U58" i="33"/>
  <c r="Q58" i="33"/>
  <c r="AC573" i="22" s="1"/>
  <c r="I58" i="33"/>
  <c r="R607" i="22" s="1"/>
  <c r="D58" i="33"/>
  <c r="D573" i="22" s="1"/>
  <c r="F607" i="22" s="1"/>
  <c r="O78" i="33"/>
  <c r="G78" i="33"/>
  <c r="S78" i="33"/>
  <c r="O28" i="29"/>
  <c r="W58" i="33"/>
  <c r="S58" i="33"/>
  <c r="AM573" i="22" s="1"/>
  <c r="AR573" i="22" s="1"/>
  <c r="Q78" i="33"/>
  <c r="X58" i="33"/>
  <c r="P58" i="33"/>
  <c r="X573" i="22" s="1"/>
  <c r="K58" i="33"/>
  <c r="K78" i="33"/>
  <c r="V58" i="33"/>
  <c r="O58" i="33"/>
  <c r="S573" i="22" s="1"/>
  <c r="J58" i="33"/>
  <c r="X607" i="22" s="1"/>
  <c r="C58" i="33"/>
  <c r="L58" i="33"/>
  <c r="T58" i="33"/>
  <c r="AD607" i="22" s="1"/>
  <c r="H58" i="33"/>
  <c r="L607" i="22" s="1"/>
  <c r="R58" i="33"/>
  <c r="AH573" i="22" s="1"/>
  <c r="N58" i="33"/>
  <c r="N573" i="22" s="1"/>
  <c r="G58" i="33"/>
  <c r="D64" i="33"/>
  <c r="K44" i="33"/>
  <c r="AH536" i="22" s="1"/>
  <c r="R370" i="22" l="1"/>
  <c r="AK385" i="22"/>
  <c r="L370" i="22"/>
  <c r="AK370" i="22"/>
  <c r="R373" i="22"/>
  <c r="L373" i="22"/>
  <c r="X373" i="22"/>
  <c r="R369" i="22"/>
  <c r="AD369" i="22"/>
  <c r="AK369" i="22"/>
  <c r="D29" i="36"/>
  <c r="AI29" i="36" s="1"/>
  <c r="G15" i="34"/>
  <c r="X14" i="34"/>
  <c r="E14" i="34"/>
  <c r="F14" i="34" s="1"/>
  <c r="C29" i="36" s="1"/>
  <c r="B31" i="35"/>
  <c r="P13" i="34"/>
  <c r="E28" i="36"/>
  <c r="R363" i="22"/>
  <c r="L363" i="22"/>
  <c r="AD363" i="22"/>
  <c r="AK363" i="22"/>
  <c r="L366" i="22"/>
  <c r="AD366" i="22"/>
  <c r="AK366" i="22"/>
  <c r="R366" i="22"/>
  <c r="X366" i="22"/>
  <c r="AD357" i="22"/>
  <c r="W357" i="22"/>
  <c r="E392" i="22"/>
  <c r="W348" i="22"/>
  <c r="E383" i="22"/>
  <c r="AD348" i="22"/>
  <c r="W339" i="22"/>
  <c r="E374" i="22"/>
  <c r="AD339" i="22"/>
  <c r="AD332" i="22"/>
  <c r="W332" i="22"/>
  <c r="E367" i="22"/>
  <c r="E389" i="22"/>
  <c r="W354" i="22"/>
  <c r="AD354" i="22"/>
  <c r="L380" i="22"/>
  <c r="AD380" i="22"/>
  <c r="AK380" i="22"/>
  <c r="R380" i="22"/>
  <c r="X380" i="22"/>
  <c r="W333" i="22"/>
  <c r="E368" i="22"/>
  <c r="AD333" i="22"/>
  <c r="E372" i="22"/>
  <c r="W337" i="22"/>
  <c r="AD337" i="22"/>
  <c r="R378" i="22"/>
  <c r="X378" i="22"/>
  <c r="L378" i="22"/>
  <c r="AD378" i="22"/>
  <c r="AK378" i="22"/>
  <c r="X364" i="22"/>
  <c r="L364" i="22"/>
  <c r="AD364" i="22"/>
  <c r="AK364" i="22"/>
  <c r="R364" i="22"/>
  <c r="X377" i="22"/>
  <c r="R377" i="22"/>
  <c r="AD377" i="22"/>
  <c r="AK377" i="22"/>
  <c r="L377" i="22"/>
  <c r="AD355" i="22"/>
  <c r="W355" i="22"/>
  <c r="E390" i="22"/>
  <c r="E386" i="22"/>
  <c r="W351" i="22"/>
  <c r="AD351" i="22"/>
  <c r="W344" i="22"/>
  <c r="E379" i="22"/>
  <c r="AD344" i="22"/>
  <c r="W356" i="22"/>
  <c r="AD356" i="22"/>
  <c r="E391" i="22"/>
  <c r="W336" i="22"/>
  <c r="E371" i="22"/>
  <c r="AD336" i="22"/>
  <c r="E375" i="22"/>
  <c r="AD340" i="22"/>
  <c r="W340" i="22"/>
  <c r="B249" i="22"/>
  <c r="R249" i="22"/>
  <c r="B420" i="22"/>
  <c r="N249" i="22"/>
  <c r="AB491" i="22" s="1"/>
  <c r="B251" i="22"/>
  <c r="P437" i="22" s="1"/>
  <c r="AD502" i="22"/>
  <c r="AD503" i="22" s="1"/>
  <c r="L44" i="33"/>
  <c r="E98" i="33"/>
  <c r="E96" i="33"/>
  <c r="D99" i="33"/>
  <c r="K99" i="33" s="1"/>
  <c r="E89" i="33"/>
  <c r="D87" i="33"/>
  <c r="K87" i="33" s="1"/>
  <c r="E87" i="33"/>
  <c r="B3" i="33"/>
  <c r="D98" i="33"/>
  <c r="K98" i="33" s="1"/>
  <c r="D96" i="33"/>
  <c r="K96" i="33" s="1"/>
  <c r="D88" i="33"/>
  <c r="K88" i="33" s="1"/>
  <c r="D94" i="33"/>
  <c r="K94" i="33" s="1"/>
  <c r="E92" i="33"/>
  <c r="D97" i="33"/>
  <c r="K97" i="33" s="1"/>
  <c r="E97" i="33"/>
  <c r="C85" i="33"/>
  <c r="L64" i="33"/>
  <c r="E91" i="33"/>
  <c r="D90" i="33"/>
  <c r="K90" i="33" s="1"/>
  <c r="E88" i="33"/>
  <c r="D95" i="33"/>
  <c r="K95" i="33" s="1"/>
  <c r="D86" i="33"/>
  <c r="K86" i="33" s="1"/>
  <c r="E85" i="33"/>
  <c r="E99" i="33"/>
  <c r="D91" i="33"/>
  <c r="K91" i="33" s="1"/>
  <c r="E90" i="33"/>
  <c r="D89" i="33"/>
  <c r="K89" i="33" s="1"/>
  <c r="E94" i="33"/>
  <c r="D92" i="33"/>
  <c r="K92" i="33" s="1"/>
  <c r="E95" i="33"/>
  <c r="E86" i="33"/>
  <c r="D93" i="33"/>
  <c r="K93" i="33" s="1"/>
  <c r="E93" i="33"/>
  <c r="V78" i="33"/>
  <c r="D85" i="33"/>
  <c r="V77" i="33"/>
  <c r="N64" i="33"/>
  <c r="O64" i="33" s="1"/>
  <c r="Q64" i="33" s="1"/>
  <c r="R64" i="33" s="1"/>
  <c r="S64" i="33" s="1"/>
  <c r="F9" i="29"/>
  <c r="F8" i="29"/>
  <c r="F7" i="29"/>
  <c r="F6" i="29"/>
  <c r="A4" i="29"/>
  <c r="P14" i="34" l="1"/>
  <c r="B32" i="35"/>
  <c r="D30" i="36"/>
  <c r="AI30" i="36" s="1"/>
  <c r="G16" i="34"/>
  <c r="X15" i="34"/>
  <c r="E15" i="34"/>
  <c r="F15" i="34" s="1"/>
  <c r="C30" i="36" s="1"/>
  <c r="E29" i="36"/>
  <c r="L392" i="22"/>
  <c r="AK392" i="22"/>
  <c r="R392" i="22"/>
  <c r="AD392" i="22"/>
  <c r="X392" i="22"/>
  <c r="L386" i="22"/>
  <c r="AD386" i="22"/>
  <c r="AK386" i="22"/>
  <c r="R386" i="22"/>
  <c r="X386" i="22"/>
  <c r="L371" i="22"/>
  <c r="R371" i="22"/>
  <c r="X371" i="22"/>
  <c r="AK371" i="22"/>
  <c r="AD371" i="22"/>
  <c r="L390" i="22"/>
  <c r="R390" i="22"/>
  <c r="AD390" i="22"/>
  <c r="X390" i="22"/>
  <c r="AK390" i="22"/>
  <c r="AK374" i="22"/>
  <c r="R374" i="22"/>
  <c r="X374" i="22"/>
  <c r="L374" i="22"/>
  <c r="AD374" i="22"/>
  <c r="AK368" i="22"/>
  <c r="R368" i="22"/>
  <c r="X368" i="22"/>
  <c r="L368" i="22"/>
  <c r="AD368" i="22"/>
  <c r="AD375" i="22"/>
  <c r="R375" i="22"/>
  <c r="X375" i="22"/>
  <c r="AK375" i="22"/>
  <c r="L375" i="22"/>
  <c r="R379" i="22"/>
  <c r="AK379" i="22"/>
  <c r="AD379" i="22"/>
  <c r="L379" i="22"/>
  <c r="X379" i="22"/>
  <c r="AD389" i="22"/>
  <c r="AK389" i="22"/>
  <c r="R389" i="22"/>
  <c r="L389" i="22"/>
  <c r="X389" i="22"/>
  <c r="R383" i="22"/>
  <c r="AK383" i="22"/>
  <c r="AD383" i="22"/>
  <c r="X383" i="22"/>
  <c r="L383" i="22"/>
  <c r="AD391" i="22"/>
  <c r="AK391" i="22"/>
  <c r="R391" i="22"/>
  <c r="L391" i="22"/>
  <c r="X391" i="22"/>
  <c r="X372" i="22"/>
  <c r="L372" i="22"/>
  <c r="AD372" i="22"/>
  <c r="AK372" i="22"/>
  <c r="R372" i="22"/>
  <c r="R367" i="22"/>
  <c r="X367" i="22"/>
  <c r="AD367" i="22"/>
  <c r="L367" i="22"/>
  <c r="AK367" i="22"/>
  <c r="P436" i="22"/>
  <c r="AH436" i="22" s="1"/>
  <c r="M420" i="22"/>
  <c r="B421" i="22"/>
  <c r="AB420" i="22"/>
  <c r="G420" i="22"/>
  <c r="W420" i="22"/>
  <c r="B427" i="22"/>
  <c r="AN420" i="22"/>
  <c r="I440" i="22" s="1"/>
  <c r="R420" i="22"/>
  <c r="AH420" i="22"/>
  <c r="I435" i="22" s="1"/>
  <c r="G474" i="22" s="1"/>
  <c r="AH437" i="22"/>
  <c r="AI503" i="22"/>
  <c r="L508" i="22" s="1"/>
  <c r="S508" i="22" s="1"/>
  <c r="Q478" i="22" s="1"/>
  <c r="W484" i="22" s="1"/>
  <c r="G85" i="33"/>
  <c r="H85" i="33"/>
  <c r="H86" i="33" s="1"/>
  <c r="H87" i="33" s="1"/>
  <c r="H88" i="33" s="1"/>
  <c r="H89" i="33" s="1"/>
  <c r="H90" i="33" s="1"/>
  <c r="H91" i="33" s="1"/>
  <c r="H92" i="33" s="1"/>
  <c r="H93" i="33" s="1"/>
  <c r="H94" i="33" s="1"/>
  <c r="H95" i="33" s="1"/>
  <c r="H96" i="33" s="1"/>
  <c r="H97" i="33" s="1"/>
  <c r="H98" i="33" s="1"/>
  <c r="H99" i="33" s="1"/>
  <c r="J85" i="33"/>
  <c r="J86" i="33" s="1"/>
  <c r="J87" i="33" s="1"/>
  <c r="J88" i="33" s="1"/>
  <c r="J89" i="33" s="1"/>
  <c r="J90" i="33" s="1"/>
  <c r="J91" i="33" s="1"/>
  <c r="J92" i="33" s="1"/>
  <c r="J93" i="33" s="1"/>
  <c r="J94" i="33" s="1"/>
  <c r="J95" i="33" s="1"/>
  <c r="J96" i="33" s="1"/>
  <c r="J97" i="33" s="1"/>
  <c r="J98" i="33" s="1"/>
  <c r="J99" i="33" s="1"/>
  <c r="K85" i="33"/>
  <c r="L85" i="33" s="1"/>
  <c r="I85" i="33"/>
  <c r="I86" i="33" s="1"/>
  <c r="I87" i="33" s="1"/>
  <c r="I88" i="33" s="1"/>
  <c r="I89" i="33" s="1"/>
  <c r="I90" i="33" s="1"/>
  <c r="I91" i="33" s="1"/>
  <c r="I92" i="33" s="1"/>
  <c r="I93" i="33" s="1"/>
  <c r="I94" i="33" s="1"/>
  <c r="I95" i="33" s="1"/>
  <c r="I96" i="33" s="1"/>
  <c r="I97" i="33" s="1"/>
  <c r="I98" i="33" s="1"/>
  <c r="I99" i="33" s="1"/>
  <c r="M85" i="33" l="1"/>
  <c r="D31" i="36"/>
  <c r="AI31" i="36" s="1"/>
  <c r="G17" i="34"/>
  <c r="X16" i="34"/>
  <c r="E16" i="34"/>
  <c r="F16" i="34" s="1"/>
  <c r="C31" i="36" s="1"/>
  <c r="B33" i="35"/>
  <c r="E30" i="36"/>
  <c r="P15" i="34"/>
  <c r="P435" i="22"/>
  <c r="AH435" i="22" s="1"/>
  <c r="AP435" i="22" s="1"/>
  <c r="AG491" i="22"/>
  <c r="L496" i="22" s="1"/>
  <c r="S496" i="22" s="1"/>
  <c r="L478" i="22" s="1"/>
  <c r="Q484" i="22" s="1"/>
  <c r="G421" i="22"/>
  <c r="H428" i="22" s="1"/>
  <c r="H427" i="22"/>
  <c r="I434" i="22"/>
  <c r="G444" i="22" s="1"/>
  <c r="Z427" i="22"/>
  <c r="AF427" i="22"/>
  <c r="T427" i="22"/>
  <c r="N427" i="22"/>
  <c r="M421" i="22"/>
  <c r="B428" i="22"/>
  <c r="W421" i="22"/>
  <c r="R421" i="22"/>
  <c r="G86" i="33"/>
  <c r="F85" i="33"/>
  <c r="C12" i="3"/>
  <c r="E31" i="36" l="1"/>
  <c r="P16" i="34"/>
  <c r="D32" i="36"/>
  <c r="AI32" i="36" s="1"/>
  <c r="G18" i="34"/>
  <c r="X17" i="34"/>
  <c r="E17" i="34"/>
  <c r="F17" i="34" s="1"/>
  <c r="C32" i="36" s="1"/>
  <c r="B34" i="35"/>
  <c r="AF478" i="22"/>
  <c r="L482" i="22" s="1"/>
  <c r="S482" i="22" s="1"/>
  <c r="Q483" i="22" s="1"/>
  <c r="N428" i="22"/>
  <c r="AF428" i="22"/>
  <c r="Z428" i="22"/>
  <c r="T428" i="22"/>
  <c r="M518" i="22"/>
  <c r="R523" i="22" s="1"/>
  <c r="AC524" i="22" s="1"/>
  <c r="AM427" i="22"/>
  <c r="P438" i="22" s="1"/>
  <c r="AE448" i="22"/>
  <c r="O460" i="22" s="1"/>
  <c r="N452" i="22"/>
  <c r="H251" i="22"/>
  <c r="AO483" i="22"/>
  <c r="R579" i="22"/>
  <c r="F86" i="33"/>
  <c r="G87" i="33"/>
  <c r="AM30" i="20"/>
  <c r="AL30" i="20" s="1"/>
  <c r="AI30" i="20"/>
  <c r="AH30" i="20" s="1"/>
  <c r="AK30" i="20" l="1"/>
  <c r="B35" i="35"/>
  <c r="E32" i="36"/>
  <c r="D33" i="36"/>
  <c r="AI33" i="36" s="1"/>
  <c r="G19" i="34"/>
  <c r="X18" i="34"/>
  <c r="E18" i="34"/>
  <c r="F18" i="34" s="1"/>
  <c r="C33" i="36" s="1"/>
  <c r="P17" i="34"/>
  <c r="M549" i="22"/>
  <c r="R578" i="22" s="1"/>
  <c r="AH438" i="22"/>
  <c r="AH524" i="22"/>
  <c r="L529" i="22" s="1"/>
  <c r="S529" i="22" s="1"/>
  <c r="V478" i="22" s="1"/>
  <c r="AC484" i="22" s="1"/>
  <c r="M521" i="22"/>
  <c r="AM428" i="22"/>
  <c r="P439" i="22"/>
  <c r="AD536" i="22"/>
  <c r="AC538" i="22" s="1"/>
  <c r="F87" i="33"/>
  <c r="G88" i="33"/>
  <c r="AG30" i="20"/>
  <c r="AM31" i="20"/>
  <c r="AL31" i="20" s="1"/>
  <c r="AI31" i="20"/>
  <c r="AG31" i="20" s="1"/>
  <c r="AH31" i="20"/>
  <c r="AM29" i="20"/>
  <c r="AL29" i="20" s="1"/>
  <c r="AK29" i="20"/>
  <c r="AI29" i="20"/>
  <c r="AH29" i="20" s="1"/>
  <c r="AM28" i="20"/>
  <c r="AL28" i="20" s="1"/>
  <c r="AI28" i="20"/>
  <c r="AH28" i="20"/>
  <c r="AG28" i="20"/>
  <c r="AM27" i="20"/>
  <c r="AL27" i="20" s="1"/>
  <c r="AI27" i="20"/>
  <c r="AH27" i="20" s="1"/>
  <c r="AM26" i="20"/>
  <c r="AL26" i="20" s="1"/>
  <c r="AI26" i="20"/>
  <c r="AH26" i="20" s="1"/>
  <c r="AG26" i="20"/>
  <c r="AM25" i="20"/>
  <c r="AL25" i="20" s="1"/>
  <c r="AI25" i="20"/>
  <c r="AH25" i="20" s="1"/>
  <c r="AM24" i="20"/>
  <c r="AL24" i="20" s="1"/>
  <c r="AI24" i="20"/>
  <c r="AH24" i="20" s="1"/>
  <c r="AM23" i="20"/>
  <c r="AL23" i="20" s="1"/>
  <c r="AK23" i="20"/>
  <c r="AI23" i="20"/>
  <c r="AH23" i="20" s="1"/>
  <c r="AL22" i="20"/>
  <c r="AH22" i="20"/>
  <c r="AM21" i="20"/>
  <c r="AL21" i="20" s="1"/>
  <c r="AI21" i="20"/>
  <c r="AH21" i="20" s="1"/>
  <c r="AM20" i="20"/>
  <c r="AL20" i="20" s="1"/>
  <c r="AI20" i="20"/>
  <c r="AH20" i="20" s="1"/>
  <c r="AG20" i="20"/>
  <c r="AM19" i="20"/>
  <c r="AL19" i="20" s="1"/>
  <c r="AI19" i="20"/>
  <c r="AH19" i="20" s="1"/>
  <c r="AM18" i="20"/>
  <c r="AL18" i="20" s="1"/>
  <c r="AI18" i="20"/>
  <c r="AH18" i="20" s="1"/>
  <c r="AG18" i="20"/>
  <c r="AM17" i="20"/>
  <c r="AL17" i="20" s="1"/>
  <c r="AI17" i="20"/>
  <c r="AH17" i="20" s="1"/>
  <c r="AM16" i="20"/>
  <c r="AK16" i="20" s="1"/>
  <c r="AI16" i="20"/>
  <c r="AH16" i="20"/>
  <c r="AG16" i="20"/>
  <c r="AM15" i="20"/>
  <c r="AL15" i="20" s="1"/>
  <c r="AK15" i="20"/>
  <c r="AI15" i="20"/>
  <c r="AH15" i="20" s="1"/>
  <c r="AM14" i="20"/>
  <c r="AK14" i="20" s="1"/>
  <c r="AI14" i="20"/>
  <c r="AG14" i="20" s="1"/>
  <c r="AH14" i="20"/>
  <c r="AM13" i="20"/>
  <c r="AL13" i="20"/>
  <c r="AK13" i="20"/>
  <c r="AI13" i="20"/>
  <c r="AH13" i="20" s="1"/>
  <c r="AM12" i="20"/>
  <c r="AK12" i="20" s="1"/>
  <c r="AL12" i="20"/>
  <c r="AI12" i="20"/>
  <c r="AH12" i="20" s="1"/>
  <c r="AM11" i="20"/>
  <c r="AK11" i="20" s="1"/>
  <c r="AL11" i="20"/>
  <c r="AI11" i="20"/>
  <c r="AH11" i="20" s="1"/>
  <c r="AM10" i="20"/>
  <c r="AK10" i="20" s="1"/>
  <c r="AL10" i="20"/>
  <c r="AI10" i="20"/>
  <c r="AH10" i="20" s="1"/>
  <c r="AG10" i="20"/>
  <c r="AM9" i="20"/>
  <c r="AL9" i="20" s="1"/>
  <c r="AI9" i="20"/>
  <c r="AH9" i="20" s="1"/>
  <c r="AM8" i="20"/>
  <c r="AK8" i="20" s="1"/>
  <c r="AI8" i="20"/>
  <c r="AH8" i="20"/>
  <c r="AG8" i="20"/>
  <c r="AM7" i="20"/>
  <c r="AL7" i="20" s="1"/>
  <c r="AK7" i="20"/>
  <c r="AI7" i="20"/>
  <c r="AH7" i="20" s="1"/>
  <c r="AK9" i="20" l="1"/>
  <c r="AG12" i="20"/>
  <c r="AL14" i="20"/>
  <c r="AK17" i="20"/>
  <c r="AK19" i="20"/>
  <c r="AK21" i="20"/>
  <c r="AG24" i="20"/>
  <c r="AK27" i="20"/>
  <c r="AL8" i="20"/>
  <c r="AL16" i="20"/>
  <c r="AK25" i="20"/>
  <c r="E33" i="36"/>
  <c r="P18" i="34"/>
  <c r="B36" i="35"/>
  <c r="D34" i="36"/>
  <c r="AI34" i="36" s="1"/>
  <c r="G20" i="34"/>
  <c r="X19" i="34"/>
  <c r="E19" i="34"/>
  <c r="F19" i="34" s="1"/>
  <c r="C34" i="36" s="1"/>
  <c r="AH538" i="22"/>
  <c r="L543" i="22" s="1"/>
  <c r="S543" i="22" s="1"/>
  <c r="AA478" i="22" s="1"/>
  <c r="AI484" i="22" s="1"/>
  <c r="AH439" i="22"/>
  <c r="G89" i="33"/>
  <c r="F88" i="33"/>
  <c r="AG7" i="20"/>
  <c r="AG9" i="20"/>
  <c r="AG11" i="20"/>
  <c r="AG13" i="20"/>
  <c r="AG15" i="20"/>
  <c r="AG17" i="20"/>
  <c r="AG19" i="20"/>
  <c r="AG21" i="20"/>
  <c r="AG23" i="20"/>
  <c r="AG25" i="20"/>
  <c r="AG27" i="20"/>
  <c r="AG29" i="20"/>
  <c r="AK18" i="20"/>
  <c r="AK20" i="20"/>
  <c r="AK24" i="20"/>
  <c r="AK26" i="20"/>
  <c r="AK28" i="20"/>
  <c r="AK31" i="20"/>
  <c r="E34" i="36" l="1"/>
  <c r="D35" i="36"/>
  <c r="AI35" i="36" s="1"/>
  <c r="G21" i="34"/>
  <c r="X20" i="34"/>
  <c r="E20" i="34"/>
  <c r="F20" i="34" s="1"/>
  <c r="C35" i="36" s="1"/>
  <c r="B37" i="35"/>
  <c r="P19" i="34"/>
  <c r="G90" i="33"/>
  <c r="F89" i="33"/>
  <c r="B6" i="23"/>
  <c r="G8" i="23"/>
  <c r="E8" i="23"/>
  <c r="P20" i="34" l="1"/>
  <c r="D36" i="36"/>
  <c r="AI36" i="36" s="1"/>
  <c r="G22" i="34"/>
  <c r="X21" i="34"/>
  <c r="E21" i="34"/>
  <c r="F21" i="34" s="1"/>
  <c r="C36" i="36" s="1"/>
  <c r="B38" i="35"/>
  <c r="E35" i="36"/>
  <c r="G91" i="33"/>
  <c r="F90" i="33"/>
  <c r="I103" i="20"/>
  <c r="L103" i="20" s="1"/>
  <c r="B15" i="36" s="1"/>
  <c r="B38" i="20"/>
  <c r="B37" i="20"/>
  <c r="B36" i="20"/>
  <c r="B35" i="20"/>
  <c r="B34" i="20"/>
  <c r="B33" i="20"/>
  <c r="B32" i="20"/>
  <c r="B31" i="20"/>
  <c r="B30" i="20"/>
  <c r="B29" i="20"/>
  <c r="B28" i="20"/>
  <c r="B27" i="20"/>
  <c r="B26" i="20"/>
  <c r="B25" i="20"/>
  <c r="B24" i="20"/>
  <c r="B23" i="20"/>
  <c r="B22" i="20"/>
  <c r="B21" i="20"/>
  <c r="B20" i="20"/>
  <c r="B19" i="20"/>
  <c r="B18" i="20"/>
  <c r="B17" i="20"/>
  <c r="B16" i="20"/>
  <c r="B15" i="20"/>
  <c r="B14" i="20"/>
  <c r="B13" i="20"/>
  <c r="B12" i="20"/>
  <c r="B11" i="20"/>
  <c r="B10" i="20"/>
  <c r="B9" i="20"/>
  <c r="J8" i="20"/>
  <c r="H3" i="20"/>
  <c r="I3" i="20" s="1"/>
  <c r="G3" i="20"/>
  <c r="F3" i="20"/>
  <c r="E3" i="20"/>
  <c r="D3" i="20"/>
  <c r="M121" i="20"/>
  <c r="Q121" i="20" s="1"/>
  <c r="M120" i="20"/>
  <c r="Q120" i="20" s="1"/>
  <c r="M119" i="20"/>
  <c r="Q119" i="20" s="1"/>
  <c r="M115" i="20"/>
  <c r="N115" i="20" s="1"/>
  <c r="R115" i="20" s="1"/>
  <c r="M114" i="20"/>
  <c r="O114" i="20" s="1"/>
  <c r="M113" i="20"/>
  <c r="N113" i="20" s="1"/>
  <c r="R113" i="20" s="1"/>
  <c r="M103" i="20"/>
  <c r="B15" i="35" s="1"/>
  <c r="B59" i="20"/>
  <c r="B79" i="20" s="1"/>
  <c r="B99" i="20" s="1"/>
  <c r="B58" i="20"/>
  <c r="B78" i="20" s="1"/>
  <c r="B98" i="20" s="1"/>
  <c r="B57" i="20"/>
  <c r="B77" i="20" s="1"/>
  <c r="B97" i="20" s="1"/>
  <c r="B56" i="20"/>
  <c r="B76" i="20" s="1"/>
  <c r="B96" i="20" s="1"/>
  <c r="B55" i="20"/>
  <c r="B75" i="20" s="1"/>
  <c r="B95" i="20" s="1"/>
  <c r="B54" i="20"/>
  <c r="B74" i="20" s="1"/>
  <c r="B94" i="20" s="1"/>
  <c r="B53" i="20"/>
  <c r="B73" i="20" s="1"/>
  <c r="B93" i="20" s="1"/>
  <c r="B52" i="20"/>
  <c r="B72" i="20" s="1"/>
  <c r="B92" i="20" s="1"/>
  <c r="B51" i="20"/>
  <c r="B71" i="20" s="1"/>
  <c r="B91" i="20" s="1"/>
  <c r="B50" i="20"/>
  <c r="B70" i="20" s="1"/>
  <c r="B90" i="20" s="1"/>
  <c r="B49" i="20"/>
  <c r="B69" i="20" s="1"/>
  <c r="B89" i="20" s="1"/>
  <c r="B48" i="20"/>
  <c r="B68" i="20" s="1"/>
  <c r="B88" i="20" s="1"/>
  <c r="B47" i="20"/>
  <c r="B67" i="20" s="1"/>
  <c r="B87" i="20" s="1"/>
  <c r="B46" i="20"/>
  <c r="B66" i="20" s="1"/>
  <c r="B86" i="20" s="1"/>
  <c r="B45" i="20"/>
  <c r="B65" i="20" s="1"/>
  <c r="B85" i="20" s="1"/>
  <c r="L209" i="22"/>
  <c r="AP174" i="22"/>
  <c r="AP173" i="22"/>
  <c r="AP172" i="22"/>
  <c r="C7" i="3"/>
  <c r="J15" i="35" l="1"/>
  <c r="AB20" i="35" s="1"/>
  <c r="AB21" i="35" s="1"/>
  <c r="AB22" i="35" s="1"/>
  <c r="AB23" i="35" s="1"/>
  <c r="AB24" i="35" s="1"/>
  <c r="AB25" i="35" s="1"/>
  <c r="AB26" i="35" s="1"/>
  <c r="AB27" i="35" s="1"/>
  <c r="AB28" i="35" s="1"/>
  <c r="AB29" i="35" s="1"/>
  <c r="AB30" i="35" s="1"/>
  <c r="AB31" i="35" s="1"/>
  <c r="AB32" i="35" s="1"/>
  <c r="AB33" i="35" s="1"/>
  <c r="AB34" i="35" s="1"/>
  <c r="AB35" i="35" s="1"/>
  <c r="AB36" i="35" s="1"/>
  <c r="AB37" i="35" s="1"/>
  <c r="AB38" i="35" s="1"/>
  <c r="AB39" i="35" s="1"/>
  <c r="AB40" i="35" s="1"/>
  <c r="AB41" i="35" s="1"/>
  <c r="AB42" i="35" s="1"/>
  <c r="AB43" i="35" s="1"/>
  <c r="AB44" i="35" s="1"/>
  <c r="AB45" i="35" s="1"/>
  <c r="AB46" i="35" s="1"/>
  <c r="AB47" i="35" s="1"/>
  <c r="AB48" i="35" s="1"/>
  <c r="AB49" i="35" s="1"/>
  <c r="F15" i="35"/>
  <c r="G20" i="35" s="1"/>
  <c r="G21" i="35" s="1"/>
  <c r="G22" i="35" s="1"/>
  <c r="G23" i="35" s="1"/>
  <c r="G24" i="35" s="1"/>
  <c r="G25" i="35" s="1"/>
  <c r="G26" i="35" s="1"/>
  <c r="G27" i="35" s="1"/>
  <c r="G28" i="35" s="1"/>
  <c r="G29" i="35" s="1"/>
  <c r="G30" i="35" s="1"/>
  <c r="G31" i="35" s="1"/>
  <c r="G32" i="35" s="1"/>
  <c r="G33" i="35" s="1"/>
  <c r="G34" i="35" s="1"/>
  <c r="G35" i="35" s="1"/>
  <c r="G36" i="35" s="1"/>
  <c r="G37" i="35" s="1"/>
  <c r="G38" i="35" s="1"/>
  <c r="G39" i="35" s="1"/>
  <c r="G40" i="35" s="1"/>
  <c r="G41" i="35" s="1"/>
  <c r="G42" i="35" s="1"/>
  <c r="G43" i="35" s="1"/>
  <c r="G44" i="35" s="1"/>
  <c r="G45" i="35" s="1"/>
  <c r="G46" i="35" s="1"/>
  <c r="G47" i="35" s="1"/>
  <c r="G48" i="35" s="1"/>
  <c r="G49" i="35" s="1"/>
  <c r="L15" i="35"/>
  <c r="AK20" i="35" s="1"/>
  <c r="AK21" i="35" s="1"/>
  <c r="AK22" i="35" s="1"/>
  <c r="AK23" i="35" s="1"/>
  <c r="AK24" i="35" s="1"/>
  <c r="AK25" i="35" s="1"/>
  <c r="AK26" i="35" s="1"/>
  <c r="AK27" i="35" s="1"/>
  <c r="AK28" i="35" s="1"/>
  <c r="AK29" i="35" s="1"/>
  <c r="AK30" i="35" s="1"/>
  <c r="AK31" i="35" s="1"/>
  <c r="AK32" i="35" s="1"/>
  <c r="AK33" i="35" s="1"/>
  <c r="AK34" i="35" s="1"/>
  <c r="AK35" i="35" s="1"/>
  <c r="AK36" i="35" s="1"/>
  <c r="AK37" i="35" s="1"/>
  <c r="AK38" i="35" s="1"/>
  <c r="AK39" i="35" s="1"/>
  <c r="AK40" i="35" s="1"/>
  <c r="AK41" i="35" s="1"/>
  <c r="AK42" i="35" s="1"/>
  <c r="AK43" i="35" s="1"/>
  <c r="AK44" i="35" s="1"/>
  <c r="AK45" i="35" s="1"/>
  <c r="AK46" i="35" s="1"/>
  <c r="AK47" i="35" s="1"/>
  <c r="AK48" i="35" s="1"/>
  <c r="AK49" i="35" s="1"/>
  <c r="D15" i="35"/>
  <c r="K15" i="35"/>
  <c r="AC20" i="35" s="1"/>
  <c r="AC21" i="35" s="1"/>
  <c r="AC22" i="35" s="1"/>
  <c r="AC23" i="35" s="1"/>
  <c r="AC24" i="35" s="1"/>
  <c r="AC25" i="35" s="1"/>
  <c r="AC26" i="35" s="1"/>
  <c r="AC27" i="35" s="1"/>
  <c r="AC28" i="35" s="1"/>
  <c r="AC29" i="35" s="1"/>
  <c r="AC30" i="35" s="1"/>
  <c r="AC31" i="35" s="1"/>
  <c r="AC32" i="35" s="1"/>
  <c r="AC33" i="35" s="1"/>
  <c r="AC34" i="35" s="1"/>
  <c r="AC35" i="35" s="1"/>
  <c r="AC36" i="35" s="1"/>
  <c r="AC37" i="35" s="1"/>
  <c r="AC38" i="35" s="1"/>
  <c r="AC39" i="35" s="1"/>
  <c r="AC40" i="35" s="1"/>
  <c r="AC41" i="35" s="1"/>
  <c r="AC42" i="35" s="1"/>
  <c r="AC43" i="35" s="1"/>
  <c r="AC44" i="35" s="1"/>
  <c r="AC45" i="35" s="1"/>
  <c r="AC46" i="35" s="1"/>
  <c r="AC47" i="35" s="1"/>
  <c r="AC48" i="35" s="1"/>
  <c r="AC49" i="35" s="1"/>
  <c r="M15" i="35"/>
  <c r="AL20" i="35" s="1"/>
  <c r="AL21" i="35" s="1"/>
  <c r="AL22" i="35" s="1"/>
  <c r="AL23" i="35" s="1"/>
  <c r="AL24" i="35" s="1"/>
  <c r="AL25" i="35" s="1"/>
  <c r="AL26" i="35" s="1"/>
  <c r="AL27" i="35" s="1"/>
  <c r="AL28" i="35" s="1"/>
  <c r="AL29" i="35" s="1"/>
  <c r="AL30" i="35" s="1"/>
  <c r="AL31" i="35" s="1"/>
  <c r="AL32" i="35" s="1"/>
  <c r="AL33" i="35" s="1"/>
  <c r="AL34" i="35" s="1"/>
  <c r="AL35" i="35" s="1"/>
  <c r="AL36" i="35" s="1"/>
  <c r="AL37" i="35" s="1"/>
  <c r="AL38" i="35" s="1"/>
  <c r="AL39" i="35" s="1"/>
  <c r="AL40" i="35" s="1"/>
  <c r="AL41" i="35" s="1"/>
  <c r="AL42" i="35" s="1"/>
  <c r="AL43" i="35" s="1"/>
  <c r="AL44" i="35" s="1"/>
  <c r="AL45" i="35" s="1"/>
  <c r="AL46" i="35" s="1"/>
  <c r="AL47" i="35" s="1"/>
  <c r="AL48" i="35" s="1"/>
  <c r="AL49" i="35" s="1"/>
  <c r="I15" i="35"/>
  <c r="R20" i="35" s="1"/>
  <c r="R21" i="35" s="1"/>
  <c r="R22" i="35" s="1"/>
  <c r="R23" i="35" s="1"/>
  <c r="R24" i="35" s="1"/>
  <c r="R25" i="35" s="1"/>
  <c r="R26" i="35" s="1"/>
  <c r="R27" i="35" s="1"/>
  <c r="R28" i="35" s="1"/>
  <c r="R29" i="35" s="1"/>
  <c r="R30" i="35" s="1"/>
  <c r="R31" i="35" s="1"/>
  <c r="R32" i="35" s="1"/>
  <c r="R33" i="35" s="1"/>
  <c r="R34" i="35" s="1"/>
  <c r="R35" i="35" s="1"/>
  <c r="R36" i="35" s="1"/>
  <c r="R37" i="35" s="1"/>
  <c r="R38" i="35" s="1"/>
  <c r="R39" i="35" s="1"/>
  <c r="R40" i="35" s="1"/>
  <c r="R41" i="35" s="1"/>
  <c r="R42" i="35" s="1"/>
  <c r="R43" i="35" s="1"/>
  <c r="R44" i="35" s="1"/>
  <c r="R45" i="35" s="1"/>
  <c r="R46" i="35" s="1"/>
  <c r="R47" i="35" s="1"/>
  <c r="R48" i="35" s="1"/>
  <c r="R49" i="35" s="1"/>
  <c r="E15" i="35"/>
  <c r="F20" i="35" s="1"/>
  <c r="F21" i="35" s="1"/>
  <c r="F22" i="35" s="1"/>
  <c r="F23" i="35" s="1"/>
  <c r="F24" i="35" s="1"/>
  <c r="F25" i="35" s="1"/>
  <c r="F26" i="35" s="1"/>
  <c r="F27" i="35" s="1"/>
  <c r="F28" i="35" s="1"/>
  <c r="F29" i="35" s="1"/>
  <c r="F30" i="35" s="1"/>
  <c r="F31" i="35" s="1"/>
  <c r="F32" i="35" s="1"/>
  <c r="F33" i="35" s="1"/>
  <c r="F34" i="35" s="1"/>
  <c r="F35" i="35" s="1"/>
  <c r="F36" i="35" s="1"/>
  <c r="F37" i="35" s="1"/>
  <c r="F38" i="35" s="1"/>
  <c r="F39" i="35" s="1"/>
  <c r="F40" i="35" s="1"/>
  <c r="F41" i="35" s="1"/>
  <c r="F42" i="35" s="1"/>
  <c r="F43" i="35" s="1"/>
  <c r="F44" i="35" s="1"/>
  <c r="F45" i="35" s="1"/>
  <c r="F46" i="35" s="1"/>
  <c r="F47" i="35" s="1"/>
  <c r="F48" i="35" s="1"/>
  <c r="F49" i="35" s="1"/>
  <c r="H15" i="35"/>
  <c r="Q20" i="35" s="1"/>
  <c r="Q21" i="35" s="1"/>
  <c r="Q22" i="35" s="1"/>
  <c r="Q23" i="35" s="1"/>
  <c r="Q24" i="35" s="1"/>
  <c r="Q25" i="35" s="1"/>
  <c r="Q26" i="35" s="1"/>
  <c r="Q27" i="35" s="1"/>
  <c r="Q28" i="35" s="1"/>
  <c r="Q29" i="35" s="1"/>
  <c r="Q30" i="35" s="1"/>
  <c r="Q31" i="35" s="1"/>
  <c r="Q32" i="35" s="1"/>
  <c r="Q33" i="35" s="1"/>
  <c r="Q34" i="35" s="1"/>
  <c r="Q35" i="35" s="1"/>
  <c r="Q36" i="35" s="1"/>
  <c r="Q37" i="35" s="1"/>
  <c r="Q38" i="35" s="1"/>
  <c r="Q39" i="35" s="1"/>
  <c r="Q40" i="35" s="1"/>
  <c r="Q41" i="35" s="1"/>
  <c r="Q42" i="35" s="1"/>
  <c r="Q43" i="35" s="1"/>
  <c r="Q44" i="35" s="1"/>
  <c r="Q45" i="35" s="1"/>
  <c r="Q46" i="35" s="1"/>
  <c r="Q47" i="35" s="1"/>
  <c r="Q48" i="35" s="1"/>
  <c r="Q49" i="35" s="1"/>
  <c r="G15" i="35"/>
  <c r="G15" i="36"/>
  <c r="H15" i="36"/>
  <c r="I15" i="36"/>
  <c r="F15" i="36"/>
  <c r="D15" i="36"/>
  <c r="J15" i="36" s="1"/>
  <c r="K15" i="36"/>
  <c r="E15" i="36"/>
  <c r="E12" i="20"/>
  <c r="D12" i="20"/>
  <c r="C16" i="3"/>
  <c r="E20" i="20"/>
  <c r="I25" i="22" s="1"/>
  <c r="D20" i="20"/>
  <c r="C24" i="3"/>
  <c r="E28" i="20"/>
  <c r="D28" i="20"/>
  <c r="C32" i="3"/>
  <c r="E36" i="20"/>
  <c r="D36" i="20"/>
  <c r="C40" i="3"/>
  <c r="E9" i="20"/>
  <c r="D9" i="20"/>
  <c r="C13" i="3"/>
  <c r="E13" i="20"/>
  <c r="D13" i="20"/>
  <c r="C17" i="3"/>
  <c r="D17" i="20"/>
  <c r="E17" i="20"/>
  <c r="I22" i="22" s="1"/>
  <c r="C21" i="3"/>
  <c r="E21" i="20"/>
  <c r="D21" i="20"/>
  <c r="C25" i="3"/>
  <c r="E25" i="20"/>
  <c r="D25" i="20"/>
  <c r="C29" i="3"/>
  <c r="E29" i="20"/>
  <c r="I34" i="22" s="1"/>
  <c r="D29" i="20"/>
  <c r="C33" i="3"/>
  <c r="E33" i="20"/>
  <c r="I38" i="22" s="1"/>
  <c r="E73" i="22" s="1"/>
  <c r="I109" i="22" s="1"/>
  <c r="E144" i="22" s="1"/>
  <c r="D33" i="20"/>
  <c r="C37" i="3"/>
  <c r="E37" i="20"/>
  <c r="I42" i="22" s="1"/>
  <c r="E77" i="22" s="1"/>
  <c r="I113" i="22" s="1"/>
  <c r="W113" i="22" s="1"/>
  <c r="D37" i="20"/>
  <c r="C41" i="3"/>
  <c r="E24" i="20"/>
  <c r="D24" i="20"/>
  <c r="C28" i="3"/>
  <c r="E10" i="20"/>
  <c r="I15" i="22" s="1"/>
  <c r="D10" i="20"/>
  <c r="C14" i="3"/>
  <c r="E14" i="20"/>
  <c r="I19" i="22" s="1"/>
  <c r="D14" i="20"/>
  <c r="C18" i="3"/>
  <c r="E18" i="20"/>
  <c r="D18" i="20"/>
  <c r="C22" i="3"/>
  <c r="E22" i="20"/>
  <c r="D22" i="20"/>
  <c r="C26" i="3"/>
  <c r="E26" i="20"/>
  <c r="I31" i="22" s="1"/>
  <c r="D26" i="20"/>
  <c r="C30" i="3"/>
  <c r="E30" i="20"/>
  <c r="I35" i="22" s="1"/>
  <c r="E70" i="22" s="1"/>
  <c r="I106" i="22" s="1"/>
  <c r="E141" i="22" s="1"/>
  <c r="D30" i="20"/>
  <c r="C34" i="3"/>
  <c r="E34" i="20"/>
  <c r="I39" i="22" s="1"/>
  <c r="E74" i="22" s="1"/>
  <c r="I110" i="22" s="1"/>
  <c r="AD110" i="22" s="1"/>
  <c r="D34" i="20"/>
  <c r="C38" i="3"/>
  <c r="E38" i="20"/>
  <c r="D38" i="20"/>
  <c r="C42" i="3"/>
  <c r="E16" i="20"/>
  <c r="D16" i="20"/>
  <c r="C20" i="3"/>
  <c r="E32" i="20"/>
  <c r="D32" i="20"/>
  <c r="C36" i="3"/>
  <c r="E11" i="20"/>
  <c r="D11" i="20"/>
  <c r="C15" i="3"/>
  <c r="E15" i="20"/>
  <c r="D15" i="20"/>
  <c r="C19" i="3"/>
  <c r="E19" i="20"/>
  <c r="I24" i="22" s="1"/>
  <c r="D19" i="20"/>
  <c r="C23" i="3"/>
  <c r="E23" i="20"/>
  <c r="I28" i="22" s="1"/>
  <c r="D23" i="20"/>
  <c r="C27" i="3"/>
  <c r="E27" i="20"/>
  <c r="D27" i="20"/>
  <c r="C31" i="3"/>
  <c r="E31" i="20"/>
  <c r="D31" i="20"/>
  <c r="C35" i="3"/>
  <c r="E35" i="20"/>
  <c r="I40" i="22" s="1"/>
  <c r="E75" i="22" s="1"/>
  <c r="I111" i="22" s="1"/>
  <c r="AD111" i="22" s="1"/>
  <c r="D35" i="20"/>
  <c r="C39" i="3"/>
  <c r="B39" i="35"/>
  <c r="D37" i="36"/>
  <c r="AI37" i="36" s="1"/>
  <c r="G23" i="34"/>
  <c r="X22" i="34"/>
  <c r="E22" i="34"/>
  <c r="F22" i="34" s="1"/>
  <c r="C37" i="36" s="1"/>
  <c r="P21" i="34"/>
  <c r="E36" i="36"/>
  <c r="G92" i="33"/>
  <c r="F91" i="33"/>
  <c r="Q12" i="20"/>
  <c r="P12" i="20"/>
  <c r="O12" i="20"/>
  <c r="N12" i="20"/>
  <c r="Q16" i="20"/>
  <c r="P16" i="20"/>
  <c r="O16" i="20"/>
  <c r="N16" i="20"/>
  <c r="Q20" i="20"/>
  <c r="P20" i="20"/>
  <c r="O20" i="20"/>
  <c r="N20" i="20"/>
  <c r="Q24" i="20"/>
  <c r="P24" i="20"/>
  <c r="O24" i="20"/>
  <c r="N24" i="20"/>
  <c r="Q28" i="20"/>
  <c r="P28" i="20"/>
  <c r="O28" i="20"/>
  <c r="N28" i="20"/>
  <c r="Q32" i="20"/>
  <c r="P32" i="20"/>
  <c r="O32" i="20"/>
  <c r="N32" i="20"/>
  <c r="Q36" i="20"/>
  <c r="P36" i="20"/>
  <c r="O36" i="20"/>
  <c r="N36" i="20"/>
  <c r="Q9" i="20"/>
  <c r="P9" i="20"/>
  <c r="O9" i="20"/>
  <c r="N9" i="20"/>
  <c r="Q13" i="20"/>
  <c r="P13" i="20"/>
  <c r="O13" i="20"/>
  <c r="N13" i="20"/>
  <c r="Q17" i="20"/>
  <c r="P17" i="20"/>
  <c r="O17" i="20"/>
  <c r="N17" i="20"/>
  <c r="Q21" i="20"/>
  <c r="P21" i="20"/>
  <c r="O21" i="20"/>
  <c r="N21" i="20"/>
  <c r="Q25" i="20"/>
  <c r="P25" i="20"/>
  <c r="O25" i="20"/>
  <c r="N25" i="20"/>
  <c r="Q29" i="20"/>
  <c r="P29" i="20"/>
  <c r="O29" i="20"/>
  <c r="N29" i="20"/>
  <c r="Q33" i="20"/>
  <c r="P33" i="20"/>
  <c r="O33" i="20"/>
  <c r="N33" i="20"/>
  <c r="Q37" i="20"/>
  <c r="P37" i="20"/>
  <c r="O37" i="20"/>
  <c r="N37" i="20"/>
  <c r="Q10" i="20"/>
  <c r="P10" i="20"/>
  <c r="O10" i="20"/>
  <c r="N10" i="20"/>
  <c r="Q14" i="20"/>
  <c r="P14" i="20"/>
  <c r="O14" i="20"/>
  <c r="N14" i="20"/>
  <c r="Q18" i="20"/>
  <c r="P18" i="20"/>
  <c r="O18" i="20"/>
  <c r="N18" i="20"/>
  <c r="Q22" i="20"/>
  <c r="P22" i="20"/>
  <c r="O22" i="20"/>
  <c r="N22" i="20"/>
  <c r="Q26" i="20"/>
  <c r="P26" i="20"/>
  <c r="O26" i="20"/>
  <c r="N26" i="20"/>
  <c r="Q30" i="20"/>
  <c r="P30" i="20"/>
  <c r="O30" i="20"/>
  <c r="N30" i="20"/>
  <c r="Q34" i="20"/>
  <c r="P34" i="20"/>
  <c r="O34" i="20"/>
  <c r="N34" i="20"/>
  <c r="Q38" i="20"/>
  <c r="P38" i="20"/>
  <c r="O38" i="20"/>
  <c r="N38" i="20"/>
  <c r="Q11" i="20"/>
  <c r="P11" i="20"/>
  <c r="O11" i="20"/>
  <c r="N11" i="20"/>
  <c r="Q15" i="20"/>
  <c r="P15" i="20"/>
  <c r="O15" i="20"/>
  <c r="N15" i="20"/>
  <c r="Q19" i="20"/>
  <c r="P19" i="20"/>
  <c r="O19" i="20"/>
  <c r="N19" i="20"/>
  <c r="Q23" i="20"/>
  <c r="P23" i="20"/>
  <c r="O23" i="20"/>
  <c r="N23" i="20"/>
  <c r="Q27" i="20"/>
  <c r="P27" i="20"/>
  <c r="O27" i="20"/>
  <c r="N27" i="20"/>
  <c r="Q31" i="20"/>
  <c r="P31" i="20"/>
  <c r="O31" i="20"/>
  <c r="N31" i="20"/>
  <c r="Q35" i="20"/>
  <c r="P35" i="20"/>
  <c r="O35" i="20"/>
  <c r="N35" i="20"/>
  <c r="K8" i="20"/>
  <c r="P13" i="22" s="1"/>
  <c r="L223" i="22" s="1"/>
  <c r="C25" i="23"/>
  <c r="M84" i="20"/>
  <c r="J12" i="20"/>
  <c r="L12" i="20"/>
  <c r="K12" i="20"/>
  <c r="M12" i="20"/>
  <c r="J16" i="20"/>
  <c r="M16" i="20"/>
  <c r="L16" i="20"/>
  <c r="K16" i="20"/>
  <c r="J24" i="20"/>
  <c r="M24" i="20"/>
  <c r="L24" i="20"/>
  <c r="K24" i="20"/>
  <c r="J28" i="20"/>
  <c r="L28" i="20"/>
  <c r="K28" i="20"/>
  <c r="M28" i="20"/>
  <c r="J32" i="20"/>
  <c r="M32" i="20"/>
  <c r="AD37" i="22" s="1"/>
  <c r="Z72" i="22" s="1"/>
  <c r="L32" i="20"/>
  <c r="W37" i="22" s="1"/>
  <c r="S72" i="22" s="1"/>
  <c r="K32" i="20"/>
  <c r="P37" i="22" s="1"/>
  <c r="L72" i="22" s="1"/>
  <c r="J36" i="20"/>
  <c r="K36" i="20"/>
  <c r="M36" i="20"/>
  <c r="AD41" i="22" s="1"/>
  <c r="Z76" i="22" s="1"/>
  <c r="L36" i="20"/>
  <c r="J9" i="20"/>
  <c r="K9" i="20"/>
  <c r="M9" i="20"/>
  <c r="L9" i="20"/>
  <c r="J21" i="20"/>
  <c r="K21" i="20"/>
  <c r="M21" i="20"/>
  <c r="AD26" i="22" s="1"/>
  <c r="Z61" i="22" s="1"/>
  <c r="L21" i="20"/>
  <c r="W26" i="22" s="1"/>
  <c r="S61" i="22" s="1"/>
  <c r="J33" i="20"/>
  <c r="K33" i="20"/>
  <c r="P38" i="22" s="1"/>
  <c r="L73" i="22" s="1"/>
  <c r="M33" i="20"/>
  <c r="L33" i="20"/>
  <c r="W38" i="22" s="1"/>
  <c r="S73" i="22" s="1"/>
  <c r="J10" i="20"/>
  <c r="L10" i="20"/>
  <c r="K10" i="20"/>
  <c r="P15" i="22" s="1"/>
  <c r="L50" i="22" s="1"/>
  <c r="M10" i="20"/>
  <c r="J14" i="20"/>
  <c r="L14" i="20"/>
  <c r="M14" i="20"/>
  <c r="AD19" i="22" s="1"/>
  <c r="Z54" i="22" s="1"/>
  <c r="K14" i="20"/>
  <c r="P19" i="22" s="1"/>
  <c r="L54" i="22" s="1"/>
  <c r="J18" i="20"/>
  <c r="L18" i="20"/>
  <c r="K18" i="20"/>
  <c r="P23" i="22" s="1"/>
  <c r="L58" i="22" s="1"/>
  <c r="M18" i="20"/>
  <c r="J22" i="20"/>
  <c r="L22" i="20"/>
  <c r="M22" i="20"/>
  <c r="K22" i="20"/>
  <c r="J26" i="20"/>
  <c r="L26" i="20"/>
  <c r="K26" i="20"/>
  <c r="M26" i="20"/>
  <c r="J30" i="20"/>
  <c r="L30" i="20"/>
  <c r="M30" i="20"/>
  <c r="K30" i="20"/>
  <c r="J34" i="20"/>
  <c r="L34" i="20"/>
  <c r="K34" i="20"/>
  <c r="P39" i="22" s="1"/>
  <c r="L74" i="22" s="1"/>
  <c r="M34" i="20"/>
  <c r="AD39" i="22" s="1"/>
  <c r="Z74" i="22" s="1"/>
  <c r="J38" i="20"/>
  <c r="L38" i="20"/>
  <c r="W43" i="22" s="1"/>
  <c r="S78" i="22" s="1"/>
  <c r="M38" i="20"/>
  <c r="K38" i="20"/>
  <c r="J20" i="20"/>
  <c r="L20" i="20"/>
  <c r="K20" i="20"/>
  <c r="P25" i="22" s="1"/>
  <c r="L60" i="22" s="1"/>
  <c r="M20" i="20"/>
  <c r="J13" i="20"/>
  <c r="K13" i="20"/>
  <c r="M13" i="20"/>
  <c r="L13" i="20"/>
  <c r="J17" i="20"/>
  <c r="K17" i="20"/>
  <c r="M17" i="20"/>
  <c r="L17" i="20"/>
  <c r="J25" i="20"/>
  <c r="K25" i="20"/>
  <c r="M25" i="20"/>
  <c r="AD30" i="22" s="1"/>
  <c r="Z65" i="22" s="1"/>
  <c r="L25" i="20"/>
  <c r="J29" i="20"/>
  <c r="K29" i="20"/>
  <c r="M29" i="20"/>
  <c r="L29" i="20"/>
  <c r="J37" i="20"/>
  <c r="K37" i="20"/>
  <c r="M37" i="20"/>
  <c r="AD42" i="22" s="1"/>
  <c r="Z77" i="22" s="1"/>
  <c r="L37" i="20"/>
  <c r="W42" i="22" s="1"/>
  <c r="S77" i="22" s="1"/>
  <c r="J11" i="20"/>
  <c r="M11" i="20"/>
  <c r="L11" i="20"/>
  <c r="K11" i="20"/>
  <c r="P16" i="22" s="1"/>
  <c r="L51" i="22" s="1"/>
  <c r="J15" i="20"/>
  <c r="M15" i="20"/>
  <c r="K15" i="20"/>
  <c r="L15" i="20"/>
  <c r="J19" i="20"/>
  <c r="M19" i="20"/>
  <c r="L19" i="20"/>
  <c r="K19" i="20"/>
  <c r="J23" i="20"/>
  <c r="M23" i="20"/>
  <c r="K23" i="20"/>
  <c r="L23" i="20"/>
  <c r="J27" i="20"/>
  <c r="M27" i="20"/>
  <c r="L27" i="20"/>
  <c r="K27" i="20"/>
  <c r="J31" i="20"/>
  <c r="M31" i="20"/>
  <c r="AD36" i="22" s="1"/>
  <c r="Z71" i="22" s="1"/>
  <c r="K31" i="20"/>
  <c r="P36" i="22" s="1"/>
  <c r="L71" i="22" s="1"/>
  <c r="L31" i="20"/>
  <c r="J35" i="20"/>
  <c r="M35" i="20"/>
  <c r="AD40" i="22" s="1"/>
  <c r="Z75" i="22" s="1"/>
  <c r="L35" i="20"/>
  <c r="W40" i="22" s="1"/>
  <c r="S75" i="22" s="1"/>
  <c r="K35" i="20"/>
  <c r="H17" i="20"/>
  <c r="H25" i="20"/>
  <c r="H33" i="20"/>
  <c r="H10" i="20"/>
  <c r="G14" i="20"/>
  <c r="H18" i="20"/>
  <c r="G22" i="20"/>
  <c r="H26" i="20"/>
  <c r="G30" i="20"/>
  <c r="I30" i="20" s="1"/>
  <c r="H34" i="20"/>
  <c r="G38" i="20"/>
  <c r="I38" i="20" s="1"/>
  <c r="F11" i="20"/>
  <c r="F15" i="20"/>
  <c r="F19" i="20"/>
  <c r="F23" i="20"/>
  <c r="F27" i="20"/>
  <c r="F35" i="20"/>
  <c r="H9" i="20"/>
  <c r="G16" i="20"/>
  <c r="I16" i="20" s="1"/>
  <c r="G24" i="20"/>
  <c r="I24" i="20" s="1"/>
  <c r="G32" i="20"/>
  <c r="I32" i="20" s="1"/>
  <c r="AD38" i="22"/>
  <c r="Z73" i="22" s="1"/>
  <c r="P43" i="22"/>
  <c r="L78" i="22" s="1"/>
  <c r="I27" i="22"/>
  <c r="H32" i="20"/>
  <c r="F16" i="20"/>
  <c r="O115" i="20"/>
  <c r="I30" i="22"/>
  <c r="O113" i="20"/>
  <c r="L118" i="20"/>
  <c r="H16" i="20"/>
  <c r="F24" i="20"/>
  <c r="H24" i="20"/>
  <c r="F32" i="20"/>
  <c r="I43" i="22"/>
  <c r="E78" i="22" s="1"/>
  <c r="I114" i="22" s="1"/>
  <c r="AD114" i="22" s="1"/>
  <c r="H21" i="20"/>
  <c r="H37" i="20"/>
  <c r="I26" i="22"/>
  <c r="G10" i="20"/>
  <c r="I10" i="20" s="1"/>
  <c r="G12" i="20"/>
  <c r="H12" i="20"/>
  <c r="F12" i="20"/>
  <c r="G18" i="20"/>
  <c r="I23" i="22"/>
  <c r="G20" i="20"/>
  <c r="I20" i="20" s="1"/>
  <c r="H20" i="20"/>
  <c r="F20" i="20"/>
  <c r="G26" i="20"/>
  <c r="G28" i="20"/>
  <c r="I28" i="20" s="1"/>
  <c r="H28" i="20"/>
  <c r="F28" i="20"/>
  <c r="F31" i="20"/>
  <c r="G34" i="20"/>
  <c r="I34" i="20" s="1"/>
  <c r="W39" i="22"/>
  <c r="S74" i="22" s="1"/>
  <c r="G36" i="20"/>
  <c r="I36" i="20" s="1"/>
  <c r="H36" i="20"/>
  <c r="F36" i="20"/>
  <c r="H13" i="20"/>
  <c r="H29" i="20"/>
  <c r="I18" i="22"/>
  <c r="N114" i="20"/>
  <c r="R114" i="20" s="1"/>
  <c r="F10" i="20"/>
  <c r="F18" i="20"/>
  <c r="F26" i="20"/>
  <c r="F34" i="20"/>
  <c r="F14" i="20"/>
  <c r="F22" i="20"/>
  <c r="F30" i="20"/>
  <c r="F38" i="20"/>
  <c r="H14" i="20"/>
  <c r="H22" i="20"/>
  <c r="H30" i="20"/>
  <c r="H38" i="20"/>
  <c r="W36" i="22"/>
  <c r="S71" i="22" s="1"/>
  <c r="F9" i="20"/>
  <c r="D104" i="20" s="1"/>
  <c r="H11" i="20"/>
  <c r="I17" i="22"/>
  <c r="F13" i="20"/>
  <c r="H15" i="20"/>
  <c r="I21" i="22"/>
  <c r="F17" i="20"/>
  <c r="H19" i="20"/>
  <c r="F21" i="20"/>
  <c r="H23" i="20"/>
  <c r="I29" i="22"/>
  <c r="F25" i="20"/>
  <c r="H27" i="20"/>
  <c r="I33" i="22"/>
  <c r="F29" i="20"/>
  <c r="H31" i="20"/>
  <c r="I37" i="22"/>
  <c r="E72" i="22" s="1"/>
  <c r="I108" i="22" s="1"/>
  <c r="AD108" i="22" s="1"/>
  <c r="F33" i="20"/>
  <c r="H35" i="20"/>
  <c r="I41" i="22"/>
  <c r="E76" i="22" s="1"/>
  <c r="I112" i="22" s="1"/>
  <c r="W112" i="22" s="1"/>
  <c r="F37" i="20"/>
  <c r="G11" i="20"/>
  <c r="I11" i="20" s="1"/>
  <c r="G31" i="20"/>
  <c r="I31" i="20" s="1"/>
  <c r="G35" i="20"/>
  <c r="I35" i="20" s="1"/>
  <c r="G9" i="20"/>
  <c r="I16" i="22"/>
  <c r="G13" i="20"/>
  <c r="I20" i="22"/>
  <c r="G17" i="20"/>
  <c r="I17" i="20" s="1"/>
  <c r="G21" i="20"/>
  <c r="I21" i="20" s="1"/>
  <c r="G25" i="20"/>
  <c r="I25" i="20" s="1"/>
  <c r="I32" i="22"/>
  <c r="G29" i="20"/>
  <c r="I29" i="20" s="1"/>
  <c r="I36" i="22"/>
  <c r="G33" i="20"/>
  <c r="I33" i="20" s="1"/>
  <c r="G37" i="20"/>
  <c r="I37" i="20" s="1"/>
  <c r="G15" i="20"/>
  <c r="I15" i="20" s="1"/>
  <c r="G19" i="20"/>
  <c r="I19" i="20" s="1"/>
  <c r="G23" i="20"/>
  <c r="I23" i="20" s="1"/>
  <c r="G27" i="20"/>
  <c r="K3" i="20"/>
  <c r="Y8" i="20"/>
  <c r="V8" i="20"/>
  <c r="L8" i="20"/>
  <c r="P64" i="20"/>
  <c r="J3" i="20"/>
  <c r="P26" i="22"/>
  <c r="L61" i="22" s="1"/>
  <c r="W41" i="22"/>
  <c r="S76" i="22" s="1"/>
  <c r="P41" i="22"/>
  <c r="L76" i="22" s="1"/>
  <c r="P17" i="22"/>
  <c r="L52" i="22" s="1"/>
  <c r="P30" i="22"/>
  <c r="L65" i="22" s="1"/>
  <c r="C3" i="20"/>
  <c r="F8" i="20"/>
  <c r="P18" i="22"/>
  <c r="L53" i="22" s="1"/>
  <c r="P27" i="22"/>
  <c r="L62" i="22" s="1"/>
  <c r="P31" i="22"/>
  <c r="L66" i="22" s="1"/>
  <c r="P40" i="22"/>
  <c r="L75" i="22" s="1"/>
  <c r="P32" i="22"/>
  <c r="L67" i="22" s="1"/>
  <c r="AD43" i="22"/>
  <c r="Z78" i="22" s="1"/>
  <c r="P42" i="22"/>
  <c r="L77" i="22" s="1"/>
  <c r="N103" i="20"/>
  <c r="B16" i="35" s="1"/>
  <c r="L16" i="35" l="1"/>
  <c r="AM20" i="35" s="1"/>
  <c r="H16" i="35"/>
  <c r="S20" i="35" s="1"/>
  <c r="D16" i="35"/>
  <c r="J16" i="35"/>
  <c r="AD20" i="35" s="1"/>
  <c r="I16" i="35"/>
  <c r="T20" i="35" s="1"/>
  <c r="K16" i="35"/>
  <c r="AE20" i="35" s="1"/>
  <c r="G16" i="35"/>
  <c r="F16" i="35"/>
  <c r="I20" i="35" s="1"/>
  <c r="M16" i="35"/>
  <c r="AN20" i="35" s="1"/>
  <c r="E16" i="35"/>
  <c r="H20" i="35" s="1"/>
  <c r="D59" i="36"/>
  <c r="W19" i="36"/>
  <c r="W20" i="36" s="1"/>
  <c r="W21" i="36" s="1"/>
  <c r="W22" i="36" s="1"/>
  <c r="W23" i="36" s="1"/>
  <c r="W24" i="36" s="1"/>
  <c r="W25" i="36" s="1"/>
  <c r="W26" i="36" s="1"/>
  <c r="W27" i="36" s="1"/>
  <c r="W28" i="36" s="1"/>
  <c r="W29" i="36" s="1"/>
  <c r="W30" i="36" s="1"/>
  <c r="W31" i="36" s="1"/>
  <c r="W32" i="36" s="1"/>
  <c r="W33" i="36" s="1"/>
  <c r="W34" i="36" s="1"/>
  <c r="W35" i="36" s="1"/>
  <c r="W36" i="36" s="1"/>
  <c r="W37" i="36" s="1"/>
  <c r="W38" i="36" s="1"/>
  <c r="W39" i="36" s="1"/>
  <c r="W40" i="36" s="1"/>
  <c r="W41" i="36" s="1"/>
  <c r="W42" i="36" s="1"/>
  <c r="W43" i="36" s="1"/>
  <c r="W44" i="36" s="1"/>
  <c r="W45" i="36" s="1"/>
  <c r="W46" i="36" s="1"/>
  <c r="W47" i="36" s="1"/>
  <c r="W48" i="36" s="1"/>
  <c r="D52" i="36"/>
  <c r="V19" i="36"/>
  <c r="Z19" i="36"/>
  <c r="Z20" i="36" s="1"/>
  <c r="Z21" i="36" s="1"/>
  <c r="Z22" i="36" s="1"/>
  <c r="Z23" i="36" s="1"/>
  <c r="Z24" i="36" s="1"/>
  <c r="Z25" i="36" s="1"/>
  <c r="Z26" i="36" s="1"/>
  <c r="Z27" i="36" s="1"/>
  <c r="Z28" i="36" s="1"/>
  <c r="Z29" i="36" s="1"/>
  <c r="Z30" i="36" s="1"/>
  <c r="Z31" i="36" s="1"/>
  <c r="Z32" i="36" s="1"/>
  <c r="Z33" i="36" s="1"/>
  <c r="Z34" i="36" s="1"/>
  <c r="Z35" i="36" s="1"/>
  <c r="Z36" i="36" s="1"/>
  <c r="Z37" i="36" s="1"/>
  <c r="Z38" i="36" s="1"/>
  <c r="Z39" i="36" s="1"/>
  <c r="Z40" i="36" s="1"/>
  <c r="Z41" i="36" s="1"/>
  <c r="Z42" i="36" s="1"/>
  <c r="Z43" i="36" s="1"/>
  <c r="Z44" i="36" s="1"/>
  <c r="Z45" i="36" s="1"/>
  <c r="Z46" i="36" s="1"/>
  <c r="Z47" i="36" s="1"/>
  <c r="Z48" i="36" s="1"/>
  <c r="D53" i="36"/>
  <c r="N54" i="36" s="1"/>
  <c r="P54" i="36" s="1"/>
  <c r="S54" i="36" s="1"/>
  <c r="S118" i="20"/>
  <c r="P112" i="20"/>
  <c r="C104" i="20"/>
  <c r="C103" i="20"/>
  <c r="D38" i="36"/>
  <c r="AI38" i="36" s="1"/>
  <c r="G24" i="34"/>
  <c r="X23" i="34"/>
  <c r="E23" i="34"/>
  <c r="F23" i="34" s="1"/>
  <c r="C38" i="36" s="1"/>
  <c r="B40" i="35"/>
  <c r="P22" i="34"/>
  <c r="E37" i="36"/>
  <c r="M154" i="22"/>
  <c r="N161" i="22" s="1"/>
  <c r="L48" i="22"/>
  <c r="L119" i="22"/>
  <c r="F92" i="33"/>
  <c r="G93" i="33"/>
  <c r="I14" i="22"/>
  <c r="E49" i="22" s="1"/>
  <c r="I85" i="22" s="1"/>
  <c r="E120" i="22" s="1"/>
  <c r="AK38" i="22"/>
  <c r="P109" i="22" s="1"/>
  <c r="AK35" i="22"/>
  <c r="P106" i="22" s="1"/>
  <c r="N118" i="20"/>
  <c r="P118" i="20" s="1"/>
  <c r="O118" i="20"/>
  <c r="R118" i="20"/>
  <c r="T118" i="20" s="1"/>
  <c r="L119" i="20"/>
  <c r="E143" i="22"/>
  <c r="AD143" i="22" s="1"/>
  <c r="AK40" i="22"/>
  <c r="P111" i="22" s="1"/>
  <c r="E146" i="22"/>
  <c r="AK146" i="22" s="1"/>
  <c r="AK37" i="22"/>
  <c r="P108" i="22" s="1"/>
  <c r="E145" i="22"/>
  <c r="AD145" i="22" s="1"/>
  <c r="W108" i="22"/>
  <c r="AK39" i="22"/>
  <c r="P110" i="22" s="1"/>
  <c r="W114" i="22"/>
  <c r="E149" i="22"/>
  <c r="R149" i="22" s="1"/>
  <c r="E147" i="22"/>
  <c r="AD147" i="22" s="1"/>
  <c r="AK43" i="22"/>
  <c r="P114" i="22" s="1"/>
  <c r="AD109" i="22"/>
  <c r="W109" i="22"/>
  <c r="AD113" i="22"/>
  <c r="P33" i="22"/>
  <c r="L68" i="22" s="1"/>
  <c r="P28" i="22"/>
  <c r="L63" i="22" s="1"/>
  <c r="W20" i="22"/>
  <c r="S55" i="22" s="1"/>
  <c r="P20" i="22"/>
  <c r="L55" i="22" s="1"/>
  <c r="W22" i="22"/>
  <c r="S57" i="22" s="1"/>
  <c r="P22" i="22"/>
  <c r="L57" i="22" s="1"/>
  <c r="M8" i="20"/>
  <c r="AD13" i="22" s="1"/>
  <c r="W13" i="22"/>
  <c r="E148" i="22"/>
  <c r="L148" i="22" s="1"/>
  <c r="P35" i="22"/>
  <c r="L70" i="22" s="1"/>
  <c r="AD25" i="22"/>
  <c r="Z60" i="22" s="1"/>
  <c r="W25" i="22"/>
  <c r="S60" i="22" s="1"/>
  <c r="AK36" i="22"/>
  <c r="P107" i="22" s="1"/>
  <c r="E71" i="22"/>
  <c r="I107" i="22" s="1"/>
  <c r="AK41" i="22"/>
  <c r="P112" i="22" s="1"/>
  <c r="W110" i="22"/>
  <c r="P34" i="22"/>
  <c r="L69" i="22" s="1"/>
  <c r="H44" i="20"/>
  <c r="AB154" i="22" s="1"/>
  <c r="AF161" i="22" s="1"/>
  <c r="AK13" i="22"/>
  <c r="P84" i="22" s="1"/>
  <c r="W111" i="22"/>
  <c r="W24" i="22"/>
  <c r="S59" i="22" s="1"/>
  <c r="P24" i="22"/>
  <c r="L59" i="22" s="1"/>
  <c r="AD112" i="22"/>
  <c r="AK42" i="22"/>
  <c r="P113" i="22" s="1"/>
  <c r="W29" i="22"/>
  <c r="S64" i="22" s="1"/>
  <c r="P29" i="22"/>
  <c r="L64" i="22" s="1"/>
  <c r="P21" i="22"/>
  <c r="L56" i="22" s="1"/>
  <c r="P14" i="22"/>
  <c r="L49" i="22"/>
  <c r="AD22" i="22"/>
  <c r="Z57" i="22" s="1"/>
  <c r="AD20" i="22"/>
  <c r="Z55" i="22" s="1"/>
  <c r="AD24" i="22"/>
  <c r="Z59" i="22" s="1"/>
  <c r="AD29" i="22"/>
  <c r="Z64" i="22" s="1"/>
  <c r="N119" i="20"/>
  <c r="L120" i="20"/>
  <c r="P114" i="20" s="1"/>
  <c r="Q114" i="20" s="1"/>
  <c r="I12" i="20"/>
  <c r="W30" i="22"/>
  <c r="S65" i="22" s="1"/>
  <c r="I13" i="20"/>
  <c r="J103" i="20"/>
  <c r="I64" i="20"/>
  <c r="G8" i="20"/>
  <c r="H8" i="20" s="1"/>
  <c r="D103" i="20"/>
  <c r="K103" i="20" s="1"/>
  <c r="F12" i="26" s="1"/>
  <c r="G44" i="20"/>
  <c r="AA8" i="20"/>
  <c r="AB8" i="20" s="1"/>
  <c r="AC8" i="20" s="1"/>
  <c r="AD8" i="20" s="1"/>
  <c r="W8" i="20"/>
  <c r="X8" i="20" s="1"/>
  <c r="I27" i="20"/>
  <c r="I22" i="20"/>
  <c r="W19" i="22"/>
  <c r="S54" i="22" s="1"/>
  <c r="I14" i="20"/>
  <c r="I9" i="20"/>
  <c r="W14" i="22"/>
  <c r="S49" i="22" s="1"/>
  <c r="I26" i="20"/>
  <c r="I18" i="20"/>
  <c r="S38" i="20"/>
  <c r="S34" i="20"/>
  <c r="S28" i="20"/>
  <c r="S37" i="20"/>
  <c r="S35" i="20"/>
  <c r="S30" i="20"/>
  <c r="S23" i="20"/>
  <c r="S19" i="20"/>
  <c r="S15" i="20"/>
  <c r="S36" i="20"/>
  <c r="S27" i="20"/>
  <c r="S25" i="20"/>
  <c r="S17" i="20"/>
  <c r="S10" i="20"/>
  <c r="S12" i="20"/>
  <c r="S32" i="20"/>
  <c r="S24" i="20"/>
  <c r="S22" i="20"/>
  <c r="S14" i="20"/>
  <c r="S11" i="20"/>
  <c r="S31" i="20"/>
  <c r="S29" i="20"/>
  <c r="S26" i="20"/>
  <c r="S20" i="20"/>
  <c r="S18" i="20"/>
  <c r="S9" i="20"/>
  <c r="S21" i="20"/>
  <c r="S13" i="20"/>
  <c r="S33" i="20"/>
  <c r="S16" i="20"/>
  <c r="M112" i="20"/>
  <c r="R144" i="22"/>
  <c r="AK144" i="22"/>
  <c r="L144" i="22"/>
  <c r="X144" i="22"/>
  <c r="AD144" i="22"/>
  <c r="AP20" i="35" l="1"/>
  <c r="AN21" i="35"/>
  <c r="N52" i="36"/>
  <c r="G52" i="36"/>
  <c r="K52" i="36" s="1"/>
  <c r="D58" i="36"/>
  <c r="AO20" i="35"/>
  <c r="Z8" i="22" s="1"/>
  <c r="Z251" i="22" s="1"/>
  <c r="AM21" i="35"/>
  <c r="I21" i="35"/>
  <c r="K20" i="35"/>
  <c r="AF20" i="35"/>
  <c r="N8" i="22" s="1"/>
  <c r="N251" i="22" s="1"/>
  <c r="AD21" i="35"/>
  <c r="G59" i="36"/>
  <c r="K59" i="36" s="1"/>
  <c r="N58" i="36"/>
  <c r="T21" i="35"/>
  <c r="V20" i="35"/>
  <c r="V20" i="36"/>
  <c r="V21" i="36" s="1"/>
  <c r="V22" i="36" s="1"/>
  <c r="V23" i="36" s="1"/>
  <c r="V24" i="36" s="1"/>
  <c r="V25" i="36" s="1"/>
  <c r="V26" i="36" s="1"/>
  <c r="V27" i="36" s="1"/>
  <c r="V28" i="36" s="1"/>
  <c r="V29" i="36" s="1"/>
  <c r="V30" i="36" s="1"/>
  <c r="V31" i="36" s="1"/>
  <c r="V32" i="36" s="1"/>
  <c r="V33" i="36" s="1"/>
  <c r="V34" i="36" s="1"/>
  <c r="V35" i="36" s="1"/>
  <c r="V36" i="36" s="1"/>
  <c r="V37" i="36" s="1"/>
  <c r="V38" i="36" s="1"/>
  <c r="T19" i="36"/>
  <c r="H21" i="35"/>
  <c r="J20" i="35"/>
  <c r="AG20" i="35"/>
  <c r="AE21" i="35"/>
  <c r="S21" i="35"/>
  <c r="U20" i="35"/>
  <c r="M4" i="34" s="1"/>
  <c r="Z29" i="20"/>
  <c r="AC29" i="20"/>
  <c r="W29" i="20"/>
  <c r="V29" i="20"/>
  <c r="AB29" i="20"/>
  <c r="X29" i="20"/>
  <c r="AA29" i="20"/>
  <c r="Z31" i="20"/>
  <c r="AA31" i="20"/>
  <c r="W31" i="20"/>
  <c r="AB31" i="20"/>
  <c r="X31" i="20"/>
  <c r="V31" i="20"/>
  <c r="AC31" i="20"/>
  <c r="A21" i="29"/>
  <c r="V15" i="20"/>
  <c r="X15" i="20"/>
  <c r="W15" i="20"/>
  <c r="Z38" i="20"/>
  <c r="AA38" i="20"/>
  <c r="V38" i="20"/>
  <c r="W38" i="20"/>
  <c r="AC38" i="20"/>
  <c r="AB38" i="20"/>
  <c r="X38" i="20"/>
  <c r="O119" i="20"/>
  <c r="P113" i="20"/>
  <c r="Q113" i="20" s="1"/>
  <c r="A28" i="29"/>
  <c r="X22" i="20"/>
  <c r="W22" i="20"/>
  <c r="V22" i="20"/>
  <c r="Z36" i="20"/>
  <c r="AB36" i="20"/>
  <c r="X36" i="20"/>
  <c r="AC36" i="20"/>
  <c r="AA36" i="20"/>
  <c r="W36" i="20"/>
  <c r="V36" i="20"/>
  <c r="Z34" i="20"/>
  <c r="V34" i="20"/>
  <c r="X34" i="20"/>
  <c r="AA34" i="20"/>
  <c r="AC34" i="20"/>
  <c r="AB34" i="20"/>
  <c r="W34" i="20"/>
  <c r="Z33" i="20"/>
  <c r="V33" i="20"/>
  <c r="AC33" i="20"/>
  <c r="AA33" i="20"/>
  <c r="AB33" i="20"/>
  <c r="X33" i="20"/>
  <c r="W33" i="20"/>
  <c r="A24" i="29"/>
  <c r="W18" i="20"/>
  <c r="V18" i="20"/>
  <c r="X18" i="20"/>
  <c r="Z24" i="20"/>
  <c r="AB24" i="20"/>
  <c r="X24" i="20"/>
  <c r="V24" i="20"/>
  <c r="AA24" i="20"/>
  <c r="W24" i="20"/>
  <c r="AC24" i="20"/>
  <c r="A23" i="29"/>
  <c r="X17" i="20"/>
  <c r="W17" i="20"/>
  <c r="V17" i="20"/>
  <c r="Z35" i="20"/>
  <c r="AA35" i="20"/>
  <c r="W35" i="20"/>
  <c r="X35" i="20"/>
  <c r="V35" i="20"/>
  <c r="AC35" i="20"/>
  <c r="AB35" i="20"/>
  <c r="A19" i="29"/>
  <c r="X13" i="20"/>
  <c r="V13" i="20"/>
  <c r="W13" i="20"/>
  <c r="A26" i="29"/>
  <c r="W20" i="20"/>
  <c r="X20" i="20"/>
  <c r="V20" i="20"/>
  <c r="A17" i="29"/>
  <c r="V11" i="20"/>
  <c r="W11" i="20"/>
  <c r="X11" i="20"/>
  <c r="Z32" i="20"/>
  <c r="AB32" i="20"/>
  <c r="X32" i="20"/>
  <c r="V32" i="20"/>
  <c r="AA32" i="20"/>
  <c r="W32" i="20"/>
  <c r="AC32" i="20"/>
  <c r="Z25" i="20"/>
  <c r="AC25" i="20"/>
  <c r="AA25" i="20"/>
  <c r="AB25" i="20"/>
  <c r="X25" i="20"/>
  <c r="W25" i="20"/>
  <c r="V25" i="20"/>
  <c r="A25" i="29"/>
  <c r="V19" i="20"/>
  <c r="X19" i="20"/>
  <c r="W19" i="20"/>
  <c r="Z37" i="20"/>
  <c r="AC37" i="20"/>
  <c r="AA37" i="20"/>
  <c r="W37" i="20"/>
  <c r="AB37" i="20"/>
  <c r="X37" i="20"/>
  <c r="V37" i="20"/>
  <c r="Q112" i="20"/>
  <c r="A22" i="29"/>
  <c r="X16" i="20"/>
  <c r="W16" i="20"/>
  <c r="V16" i="20"/>
  <c r="A15" i="29"/>
  <c r="X9" i="20"/>
  <c r="W9" i="20"/>
  <c r="V9" i="20"/>
  <c r="A16" i="29"/>
  <c r="W10" i="20"/>
  <c r="X10" i="20"/>
  <c r="V10" i="20"/>
  <c r="Z30" i="20"/>
  <c r="V30" i="20"/>
  <c r="AB30" i="20"/>
  <c r="AC30" i="20"/>
  <c r="X30" i="20"/>
  <c r="AA30" i="20"/>
  <c r="W30" i="20"/>
  <c r="A27" i="29"/>
  <c r="X21" i="20"/>
  <c r="V21" i="20"/>
  <c r="W21" i="20"/>
  <c r="Z26" i="20"/>
  <c r="V26" i="20"/>
  <c r="X26" i="20"/>
  <c r="W26" i="20"/>
  <c r="AC26" i="20"/>
  <c r="AB26" i="20"/>
  <c r="AA26" i="20"/>
  <c r="A20" i="29"/>
  <c r="V14" i="20"/>
  <c r="X14" i="20"/>
  <c r="W14" i="20"/>
  <c r="A18" i="29"/>
  <c r="W12" i="20"/>
  <c r="V12" i="20"/>
  <c r="X12" i="20"/>
  <c r="Z27" i="20"/>
  <c r="AA27" i="20"/>
  <c r="W27" i="20"/>
  <c r="AC27" i="20"/>
  <c r="AB27" i="20"/>
  <c r="V27" i="20"/>
  <c r="X27" i="20"/>
  <c r="A29" i="29"/>
  <c r="V23" i="20"/>
  <c r="X23" i="20"/>
  <c r="W23" i="20"/>
  <c r="Z28" i="20"/>
  <c r="AC28" i="20"/>
  <c r="AB28" i="20"/>
  <c r="X28" i="20"/>
  <c r="AA28" i="20"/>
  <c r="W28" i="20"/>
  <c r="V28" i="20"/>
  <c r="V39" i="36"/>
  <c r="P23" i="34"/>
  <c r="B41" i="35"/>
  <c r="D39" i="36"/>
  <c r="AI39" i="36" s="1"/>
  <c r="G25" i="34"/>
  <c r="X24" i="34"/>
  <c r="E24" i="34"/>
  <c r="F24" i="34" s="1"/>
  <c r="C39" i="36" s="1"/>
  <c r="E38" i="36"/>
  <c r="N424" i="22"/>
  <c r="L586" i="22"/>
  <c r="F93" i="33"/>
  <c r="G94" i="33"/>
  <c r="I72" i="20"/>
  <c r="J72" i="20"/>
  <c r="I65" i="20"/>
  <c r="J65" i="20"/>
  <c r="J78" i="20"/>
  <c r="I78" i="20"/>
  <c r="J66" i="20"/>
  <c r="I66" i="20"/>
  <c r="I71" i="20"/>
  <c r="J71" i="20"/>
  <c r="J74" i="20"/>
  <c r="I74" i="20"/>
  <c r="I69" i="20"/>
  <c r="J69" i="20"/>
  <c r="I67" i="20"/>
  <c r="J67" i="20"/>
  <c r="I75" i="20"/>
  <c r="J75" i="20"/>
  <c r="I73" i="20"/>
  <c r="J73" i="20"/>
  <c r="I76" i="20"/>
  <c r="J76" i="20"/>
  <c r="I77" i="20"/>
  <c r="J77" i="20"/>
  <c r="J70" i="20"/>
  <c r="I70" i="20"/>
  <c r="I68" i="20"/>
  <c r="J68" i="20"/>
  <c r="I79" i="20"/>
  <c r="J79" i="20"/>
  <c r="AK14" i="22"/>
  <c r="P85" i="22" s="1"/>
  <c r="H57" i="20"/>
  <c r="Z21" i="20"/>
  <c r="H50" i="20"/>
  <c r="Z14" i="20"/>
  <c r="H48" i="20"/>
  <c r="Z12" i="20"/>
  <c r="H52" i="20"/>
  <c r="Z16" i="20"/>
  <c r="H45" i="20"/>
  <c r="Z9" i="20"/>
  <c r="H54" i="20"/>
  <c r="Z18" i="20"/>
  <c r="H53" i="20"/>
  <c r="Z17" i="20"/>
  <c r="H51" i="20"/>
  <c r="Z15" i="20"/>
  <c r="H59" i="20"/>
  <c r="Z23" i="20"/>
  <c r="H58" i="20"/>
  <c r="Z22" i="20"/>
  <c r="H46" i="20"/>
  <c r="Z10" i="20"/>
  <c r="H49" i="20"/>
  <c r="Z13" i="20"/>
  <c r="H56" i="20"/>
  <c r="Z20" i="20"/>
  <c r="H47" i="20"/>
  <c r="Z11" i="20"/>
  <c r="H55" i="20"/>
  <c r="Z19" i="20"/>
  <c r="S119" i="20"/>
  <c r="R119" i="20"/>
  <c r="T119" i="20" s="1"/>
  <c r="X146" i="22"/>
  <c r="AD146" i="22"/>
  <c r="R146" i="22"/>
  <c r="L146" i="22"/>
  <c r="AK147" i="22"/>
  <c r="J64" i="20"/>
  <c r="K64" i="20" s="1"/>
  <c r="G15" i="27" s="1"/>
  <c r="R143" i="22"/>
  <c r="N74" i="20"/>
  <c r="G74" i="20"/>
  <c r="Q24" i="29" s="1"/>
  <c r="A30" i="26"/>
  <c r="N159" i="22"/>
  <c r="F12" i="11"/>
  <c r="L216" i="22"/>
  <c r="L143" i="22"/>
  <c r="N69" i="20"/>
  <c r="G69" i="20"/>
  <c r="Q19" i="29" s="1"/>
  <c r="A25" i="26"/>
  <c r="G76" i="20"/>
  <c r="Q26" i="29" s="1"/>
  <c r="N76" i="20"/>
  <c r="A32" i="26"/>
  <c r="X148" i="22"/>
  <c r="X143" i="22"/>
  <c r="N77" i="20"/>
  <c r="G77" i="20"/>
  <c r="Q27" i="29" s="1"/>
  <c r="A33" i="26"/>
  <c r="N70" i="20"/>
  <c r="G70" i="20"/>
  <c r="Q20" i="29" s="1"/>
  <c r="A26" i="26"/>
  <c r="G68" i="20"/>
  <c r="Q18" i="29" s="1"/>
  <c r="N68" i="20"/>
  <c r="A24" i="11"/>
  <c r="A24" i="26"/>
  <c r="G79" i="20"/>
  <c r="Q29" i="29" s="1"/>
  <c r="N79" i="20"/>
  <c r="A35" i="26"/>
  <c r="G73" i="20"/>
  <c r="Q23" i="29" s="1"/>
  <c r="N73" i="20"/>
  <c r="A29" i="26"/>
  <c r="G71" i="20"/>
  <c r="Q21" i="29" s="1"/>
  <c r="N71" i="20"/>
  <c r="A27" i="26"/>
  <c r="L145" i="22"/>
  <c r="G67" i="20"/>
  <c r="Q17" i="29" s="1"/>
  <c r="N67" i="20"/>
  <c r="A23" i="26"/>
  <c r="A23" i="11"/>
  <c r="G75" i="20"/>
  <c r="Q25" i="29" s="1"/>
  <c r="N75" i="20"/>
  <c r="A31" i="26"/>
  <c r="AK143" i="22"/>
  <c r="N72" i="20"/>
  <c r="G72" i="20"/>
  <c r="Q22" i="29" s="1"/>
  <c r="A28" i="26"/>
  <c r="G65" i="20"/>
  <c r="Q15" i="29" s="1"/>
  <c r="N65" i="20"/>
  <c r="X45" i="20"/>
  <c r="A21" i="26"/>
  <c r="A21" i="11"/>
  <c r="N78" i="20"/>
  <c r="G78" i="20"/>
  <c r="Q28" i="29" s="1"/>
  <c r="A34" i="26"/>
  <c r="N66" i="20"/>
  <c r="G66" i="20"/>
  <c r="Q16" i="29" s="1"/>
  <c r="A22" i="11"/>
  <c r="A22" i="26"/>
  <c r="AL6" i="22"/>
  <c r="D64" i="20"/>
  <c r="AK148" i="22"/>
  <c r="R145" i="22"/>
  <c r="AK149" i="22"/>
  <c r="AK145" i="22"/>
  <c r="X149" i="22"/>
  <c r="X145" i="22"/>
  <c r="L149" i="22"/>
  <c r="AD149" i="22"/>
  <c r="L147" i="22"/>
  <c r="X147" i="22"/>
  <c r="R147" i="22"/>
  <c r="AD148" i="22"/>
  <c r="R148" i="22"/>
  <c r="K44" i="20"/>
  <c r="L44" i="20" s="1"/>
  <c r="AD31" i="22"/>
  <c r="Z66" i="22" s="1"/>
  <c r="W31" i="22"/>
  <c r="S66" i="22" s="1"/>
  <c r="AD16" i="22"/>
  <c r="Z51" i="22" s="1"/>
  <c r="W16" i="22"/>
  <c r="S51" i="22" s="1"/>
  <c r="AD23" i="22"/>
  <c r="Z58" i="22" s="1"/>
  <c r="W23" i="22"/>
  <c r="S58" i="22" s="1"/>
  <c r="AD15" i="22"/>
  <c r="Z50" i="22" s="1"/>
  <c r="W15" i="22"/>
  <c r="S50" i="22" s="1"/>
  <c r="AD32" i="22"/>
  <c r="Z67" i="22" s="1"/>
  <c r="W32" i="22"/>
  <c r="S67" i="22" s="1"/>
  <c r="AD18" i="22"/>
  <c r="Z53" i="22" s="1"/>
  <c r="W18" i="22"/>
  <c r="S53" i="22" s="1"/>
  <c r="AD17" i="22"/>
  <c r="Z52" i="22" s="1"/>
  <c r="W17" i="22"/>
  <c r="S52" i="22" s="1"/>
  <c r="AD34" i="22"/>
  <c r="Z69" i="22" s="1"/>
  <c r="W34" i="22"/>
  <c r="S69" i="22" s="1"/>
  <c r="AD27" i="22"/>
  <c r="Z62" i="22" s="1"/>
  <c r="W27" i="22"/>
  <c r="S62" i="22" s="1"/>
  <c r="W35" i="22"/>
  <c r="S70" i="22" s="1"/>
  <c r="AD21" i="22"/>
  <c r="Z56" i="22" s="1"/>
  <c r="W21" i="22"/>
  <c r="S56" i="22" s="1"/>
  <c r="R119" i="22"/>
  <c r="S48" i="22"/>
  <c r="R154" i="22"/>
  <c r="T161" i="22" s="1"/>
  <c r="AD107" i="22"/>
  <c r="W107" i="22"/>
  <c r="E142" i="22"/>
  <c r="Z48" i="22"/>
  <c r="W154" i="22"/>
  <c r="Z161" i="22" s="1"/>
  <c r="X119" i="22"/>
  <c r="AD119" i="22" s="1"/>
  <c r="AD28" i="22"/>
  <c r="Z63" i="22" s="1"/>
  <c r="W28" i="22"/>
  <c r="S63" i="22" s="1"/>
  <c r="AD35" i="22"/>
  <c r="Z70" i="22" s="1"/>
  <c r="AD33" i="22"/>
  <c r="Z68" i="22" s="1"/>
  <c r="W33" i="22"/>
  <c r="S68" i="22" s="1"/>
  <c r="U49" i="20"/>
  <c r="G49" i="20"/>
  <c r="G55" i="20"/>
  <c r="U55" i="20"/>
  <c r="G50" i="20"/>
  <c r="U50" i="20"/>
  <c r="U48" i="20"/>
  <c r="G48" i="20"/>
  <c r="G59" i="20"/>
  <c r="U59" i="20"/>
  <c r="U52" i="20"/>
  <c r="G52" i="20"/>
  <c r="U45" i="20"/>
  <c r="G45" i="20"/>
  <c r="G58" i="20"/>
  <c r="U58" i="20"/>
  <c r="G46" i="20"/>
  <c r="U46" i="20"/>
  <c r="U56" i="20"/>
  <c r="G56" i="20"/>
  <c r="G47" i="20"/>
  <c r="U47" i="20"/>
  <c r="U57" i="20"/>
  <c r="G57" i="20"/>
  <c r="G54" i="20"/>
  <c r="U54" i="20"/>
  <c r="U53" i="20"/>
  <c r="G53" i="20"/>
  <c r="G51" i="20"/>
  <c r="U51" i="20"/>
  <c r="O112" i="20"/>
  <c r="N112" i="20"/>
  <c r="C54" i="20"/>
  <c r="AB18" i="20"/>
  <c r="Y31" i="20"/>
  <c r="C53" i="20"/>
  <c r="AA17" i="20"/>
  <c r="C51" i="20"/>
  <c r="AA15" i="20"/>
  <c r="K51" i="20"/>
  <c r="AB15" i="20"/>
  <c r="Y35" i="20"/>
  <c r="AD35" i="20"/>
  <c r="Y38" i="20"/>
  <c r="AD38" i="20"/>
  <c r="C49" i="20"/>
  <c r="AB13" i="20"/>
  <c r="Y13" i="20"/>
  <c r="R76" i="20"/>
  <c r="D76" i="20"/>
  <c r="Q76" i="20"/>
  <c r="L76" i="20"/>
  <c r="C76" i="20"/>
  <c r="F26" i="29" s="1"/>
  <c r="P76" i="20"/>
  <c r="F76" i="20"/>
  <c r="K26" i="29" s="1"/>
  <c r="X56" i="20"/>
  <c r="T56" i="20"/>
  <c r="AD235" i="22" s="1"/>
  <c r="P56" i="20"/>
  <c r="X201" i="22" s="1"/>
  <c r="L56" i="20"/>
  <c r="C56" i="20"/>
  <c r="K76" i="20"/>
  <c r="O56" i="20"/>
  <c r="S201" i="22" s="1"/>
  <c r="J56" i="20"/>
  <c r="X235" i="22" s="1"/>
  <c r="D56" i="20"/>
  <c r="D96" i="20" s="1"/>
  <c r="K96" i="20" s="1"/>
  <c r="Y56" i="20"/>
  <c r="S56" i="20"/>
  <c r="AM201" i="22" s="1"/>
  <c r="AR201" i="22" s="1"/>
  <c r="N56" i="20"/>
  <c r="N201" i="22" s="1"/>
  <c r="I56" i="20"/>
  <c r="R235" i="22" s="1"/>
  <c r="E76" i="20"/>
  <c r="W56" i="20"/>
  <c r="V56" i="20"/>
  <c r="K56" i="20"/>
  <c r="AB20" i="20"/>
  <c r="O76" i="20"/>
  <c r="AA20" i="20"/>
  <c r="AD20" i="20"/>
  <c r="Y20" i="20"/>
  <c r="S76" i="20"/>
  <c r="Q56" i="20"/>
  <c r="AC201" i="22" s="1"/>
  <c r="R56" i="20"/>
  <c r="AH201" i="22" s="1"/>
  <c r="AC20" i="20"/>
  <c r="AB11" i="20"/>
  <c r="Y11" i="20"/>
  <c r="C47" i="20"/>
  <c r="K53" i="20"/>
  <c r="Y25" i="20"/>
  <c r="C55" i="20"/>
  <c r="Y19" i="20"/>
  <c r="AD37" i="20"/>
  <c r="Y37" i="20"/>
  <c r="R77" i="20"/>
  <c r="D77" i="20"/>
  <c r="Q77" i="20"/>
  <c r="L77" i="20"/>
  <c r="L27" i="29" s="1"/>
  <c r="C77" i="20"/>
  <c r="F27" i="29" s="1"/>
  <c r="P77" i="20"/>
  <c r="F77" i="20"/>
  <c r="K27" i="29" s="1"/>
  <c r="Y57" i="20"/>
  <c r="Q57" i="20"/>
  <c r="AC202" i="22" s="1"/>
  <c r="I57" i="20"/>
  <c r="R236" i="22" s="1"/>
  <c r="D57" i="20"/>
  <c r="D97" i="20" s="1"/>
  <c r="K97" i="20" s="1"/>
  <c r="S77" i="20"/>
  <c r="E77" i="20"/>
  <c r="X57" i="20"/>
  <c r="S57" i="20"/>
  <c r="AM202" i="22" s="1"/>
  <c r="AR202" i="22" s="1"/>
  <c r="N57" i="20"/>
  <c r="N202" i="22" s="1"/>
  <c r="O77" i="20"/>
  <c r="W57" i="20"/>
  <c r="R57" i="20"/>
  <c r="AH202" i="22" s="1"/>
  <c r="L57" i="20"/>
  <c r="T57" i="20"/>
  <c r="AD236" i="22" s="1"/>
  <c r="J57" i="20"/>
  <c r="X236" i="22" s="1"/>
  <c r="P57" i="20"/>
  <c r="X202" i="22" s="1"/>
  <c r="AA21" i="20"/>
  <c r="C57" i="20"/>
  <c r="AC21" i="20"/>
  <c r="K57" i="20"/>
  <c r="AD21" i="20"/>
  <c r="K77" i="20"/>
  <c r="H27" i="29" s="1"/>
  <c r="V57" i="20"/>
  <c r="AB21" i="20"/>
  <c r="O57" i="20"/>
  <c r="S202" i="22" s="1"/>
  <c r="Y21" i="20"/>
  <c r="K47" i="20"/>
  <c r="Y14" i="20"/>
  <c r="C50" i="20"/>
  <c r="AB14" i="20"/>
  <c r="C48" i="20"/>
  <c r="Y12" i="20"/>
  <c r="K48" i="20"/>
  <c r="Y27" i="20"/>
  <c r="P79" i="20"/>
  <c r="K79" i="20"/>
  <c r="F79" i="20"/>
  <c r="K29" i="29" s="1"/>
  <c r="W59" i="20"/>
  <c r="S59" i="20"/>
  <c r="AM204" i="22" s="1"/>
  <c r="AR204" i="22" s="1"/>
  <c r="O59" i="20"/>
  <c r="S204" i="22" s="1"/>
  <c r="K59" i="20"/>
  <c r="S79" i="20"/>
  <c r="O79" i="20"/>
  <c r="E79" i="20"/>
  <c r="D79" i="20"/>
  <c r="V59" i="20"/>
  <c r="Q59" i="20"/>
  <c r="AC204" i="22" s="1"/>
  <c r="L59" i="20"/>
  <c r="Q79" i="20"/>
  <c r="C79" i="20"/>
  <c r="F29" i="29" s="1"/>
  <c r="X59" i="20"/>
  <c r="P59" i="20"/>
  <c r="X204" i="22" s="1"/>
  <c r="I59" i="20"/>
  <c r="R238" i="22" s="1"/>
  <c r="C59" i="20"/>
  <c r="L79" i="20"/>
  <c r="N59" i="20"/>
  <c r="N204" i="22" s="1"/>
  <c r="R79" i="20"/>
  <c r="Y59" i="20"/>
  <c r="J59" i="20"/>
  <c r="X238" i="22" s="1"/>
  <c r="AC23" i="20"/>
  <c r="Y23" i="20"/>
  <c r="R59" i="20"/>
  <c r="AH204" i="22" s="1"/>
  <c r="AA23" i="20"/>
  <c r="T59" i="20"/>
  <c r="AD238" i="22" s="1"/>
  <c r="D59" i="20"/>
  <c r="D99" i="20" s="1"/>
  <c r="K99" i="20" s="1"/>
  <c r="AD23" i="20"/>
  <c r="AB23" i="20"/>
  <c r="L121" i="20"/>
  <c r="P115" i="20" s="1"/>
  <c r="Q115" i="20" s="1"/>
  <c r="S120" i="20"/>
  <c r="O120" i="20"/>
  <c r="N120" i="20"/>
  <c r="R120" i="20"/>
  <c r="C52" i="20"/>
  <c r="Y16" i="20"/>
  <c r="D45" i="20"/>
  <c r="C45" i="20"/>
  <c r="AB12" i="20"/>
  <c r="Q78" i="20"/>
  <c r="L78" i="20"/>
  <c r="L28" i="29" s="1"/>
  <c r="C78" i="20"/>
  <c r="F28" i="29" s="1"/>
  <c r="P78" i="20"/>
  <c r="K78" i="20"/>
  <c r="H28" i="29" s="1"/>
  <c r="F78" i="20"/>
  <c r="K28" i="29" s="1"/>
  <c r="O78" i="20"/>
  <c r="E78" i="20"/>
  <c r="V58" i="20"/>
  <c r="R58" i="20"/>
  <c r="AH203" i="22" s="1"/>
  <c r="N58" i="20"/>
  <c r="N203" i="22" s="1"/>
  <c r="J58" i="20"/>
  <c r="X237" i="22" s="1"/>
  <c r="W58" i="20"/>
  <c r="Q58" i="20"/>
  <c r="AC203" i="22" s="1"/>
  <c r="L58" i="20"/>
  <c r="S78" i="20"/>
  <c r="P58" i="20"/>
  <c r="X203" i="22" s="1"/>
  <c r="K58" i="20"/>
  <c r="D58" i="20"/>
  <c r="D98" i="20" s="1"/>
  <c r="K98" i="20" s="1"/>
  <c r="S58" i="20"/>
  <c r="AM203" i="22" s="1"/>
  <c r="AR203" i="22" s="1"/>
  <c r="D78" i="20"/>
  <c r="Y58" i="20"/>
  <c r="O58" i="20"/>
  <c r="S203" i="22" s="1"/>
  <c r="C58" i="20"/>
  <c r="AD22" i="20"/>
  <c r="X58" i="20"/>
  <c r="Y22" i="20"/>
  <c r="R78" i="20"/>
  <c r="I58" i="20"/>
  <c r="R237" i="22" s="1"/>
  <c r="T58" i="20"/>
  <c r="AD237" i="22" s="1"/>
  <c r="AC22" i="20"/>
  <c r="AB22" i="20"/>
  <c r="AA22" i="20"/>
  <c r="C46" i="20"/>
  <c r="K46" i="20"/>
  <c r="AB10" i="20"/>
  <c r="Y10" i="20"/>
  <c r="AD36" i="20"/>
  <c r="Y36" i="20"/>
  <c r="Y30" i="20"/>
  <c r="Y34" i="20"/>
  <c r="K55" i="20"/>
  <c r="P119" i="20"/>
  <c r="E10" i="3"/>
  <c r="F12" i="27"/>
  <c r="P52" i="36" l="1"/>
  <c r="V52" i="36" s="1"/>
  <c r="AI20" i="35"/>
  <c r="AJ20" i="35" s="1"/>
  <c r="AH20" i="35"/>
  <c r="T8" i="22"/>
  <c r="T251" i="22" s="1"/>
  <c r="K21" i="35"/>
  <c r="I22" i="35"/>
  <c r="N4" i="34"/>
  <c r="W20" i="35"/>
  <c r="X20" i="35" s="1"/>
  <c r="O4" i="34" s="1"/>
  <c r="AF21" i="35"/>
  <c r="AD22" i="35"/>
  <c r="AO21" i="35"/>
  <c r="AM22" i="35"/>
  <c r="S22" i="35"/>
  <c r="U21" i="35"/>
  <c r="M5" i="34" s="1"/>
  <c r="H22" i="35"/>
  <c r="J21" i="35"/>
  <c r="T22" i="35"/>
  <c r="V21" i="35"/>
  <c r="AP21" i="35"/>
  <c r="AN22" i="35"/>
  <c r="AG21" i="35"/>
  <c r="AE22" i="35"/>
  <c r="D65" i="36"/>
  <c r="T20" i="36"/>
  <c r="T21" i="36" s="1"/>
  <c r="T22" i="36" s="1"/>
  <c r="T23" i="36" s="1"/>
  <c r="T24" i="36" s="1"/>
  <c r="T25" i="36" s="1"/>
  <c r="T26" i="36" s="1"/>
  <c r="T27" i="36" s="1"/>
  <c r="T28" i="36" s="1"/>
  <c r="T29" i="36" s="1"/>
  <c r="T30" i="36" s="1"/>
  <c r="T31" i="36" s="1"/>
  <c r="T32" i="36" s="1"/>
  <c r="T33" i="36" s="1"/>
  <c r="T34" i="36" s="1"/>
  <c r="T35" i="36" s="1"/>
  <c r="T36" i="36" s="1"/>
  <c r="T37" i="36" s="1"/>
  <c r="T38" i="36" s="1"/>
  <c r="T39" i="36" s="1"/>
  <c r="T40" i="36" s="1"/>
  <c r="T41" i="36" s="1"/>
  <c r="T42" i="36" s="1"/>
  <c r="T43" i="36" s="1"/>
  <c r="T44" i="36" s="1"/>
  <c r="T45" i="36" s="1"/>
  <c r="T46" i="36" s="1"/>
  <c r="T47" i="36" s="1"/>
  <c r="T48" i="36" s="1"/>
  <c r="N59" i="36"/>
  <c r="P59" i="36" s="1"/>
  <c r="S59" i="36" s="1"/>
  <c r="G58" i="36"/>
  <c r="K58" i="36" s="1"/>
  <c r="P58" i="36" s="1"/>
  <c r="S58" i="36" s="1"/>
  <c r="N63" i="36"/>
  <c r="AR20" i="35"/>
  <c r="AS20" i="35" s="1"/>
  <c r="AF8" i="22"/>
  <c r="AF251" i="22" s="1"/>
  <c r="AQ20" i="35"/>
  <c r="AR8" i="22"/>
  <c r="K455" i="22" s="1"/>
  <c r="AL8" i="22"/>
  <c r="K454" i="22" s="1"/>
  <c r="Z6" i="22"/>
  <c r="Z249" i="22" s="1"/>
  <c r="B6" i="22"/>
  <c r="T6" i="22"/>
  <c r="T249" i="22" s="1"/>
  <c r="D40" i="36"/>
  <c r="AI40" i="36" s="1"/>
  <c r="G26" i="34"/>
  <c r="X25" i="34"/>
  <c r="E25" i="34"/>
  <c r="F25" i="34" s="1"/>
  <c r="C40" i="36" s="1"/>
  <c r="P24" i="34"/>
  <c r="E39" i="36"/>
  <c r="B42" i="35"/>
  <c r="V40" i="36"/>
  <c r="G30" i="27"/>
  <c r="H29" i="29"/>
  <c r="G27" i="27"/>
  <c r="H26" i="29"/>
  <c r="H30" i="27"/>
  <c r="L29" i="29"/>
  <c r="H27" i="27"/>
  <c r="L26" i="29"/>
  <c r="F30" i="27"/>
  <c r="J29" i="29"/>
  <c r="F28" i="27"/>
  <c r="J27" i="29"/>
  <c r="F27" i="27"/>
  <c r="J26" i="29"/>
  <c r="F29" i="27"/>
  <c r="J28" i="29"/>
  <c r="G95" i="33"/>
  <c r="F94" i="33"/>
  <c r="D190" i="22"/>
  <c r="F224" i="22" s="1"/>
  <c r="D85" i="20"/>
  <c r="L237" i="22"/>
  <c r="E98" i="20"/>
  <c r="L236" i="22"/>
  <c r="E97" i="20"/>
  <c r="L235" i="22"/>
  <c r="E96" i="20"/>
  <c r="L238" i="22"/>
  <c r="E99" i="20"/>
  <c r="D201" i="22"/>
  <c r="F235" i="22" s="1"/>
  <c r="G29" i="27"/>
  <c r="G28" i="27"/>
  <c r="D203" i="22"/>
  <c r="F237" i="22" s="1"/>
  <c r="D204" i="22"/>
  <c r="F238" i="22" s="1"/>
  <c r="H29" i="27"/>
  <c r="D202" i="22"/>
  <c r="F236" i="22" s="1"/>
  <c r="H28" i="27"/>
  <c r="R6" i="22"/>
  <c r="B155" i="22"/>
  <c r="AB155" i="22" s="1"/>
  <c r="N64" i="20"/>
  <c r="F20" i="11"/>
  <c r="F20" i="26"/>
  <c r="N6" i="22"/>
  <c r="F35" i="26"/>
  <c r="F35" i="11"/>
  <c r="F34" i="11"/>
  <c r="F34" i="26"/>
  <c r="F32" i="26"/>
  <c r="F32" i="11"/>
  <c r="F33" i="26"/>
  <c r="F33" i="11"/>
  <c r="H35" i="11"/>
  <c r="H35" i="26"/>
  <c r="E33" i="26"/>
  <c r="E33" i="11"/>
  <c r="E34" i="26"/>
  <c r="E34" i="11"/>
  <c r="G35" i="26"/>
  <c r="G35" i="11"/>
  <c r="I33" i="26"/>
  <c r="I33" i="11"/>
  <c r="I32" i="11"/>
  <c r="I32" i="26"/>
  <c r="H34" i="26"/>
  <c r="H34" i="11"/>
  <c r="I34" i="11"/>
  <c r="I34" i="26"/>
  <c r="E35" i="26"/>
  <c r="E35" i="11"/>
  <c r="H33" i="26"/>
  <c r="H33" i="11"/>
  <c r="H32" i="26"/>
  <c r="H32" i="11"/>
  <c r="G34" i="26"/>
  <c r="G34" i="11"/>
  <c r="E32" i="11"/>
  <c r="E32" i="26"/>
  <c r="I35" i="26"/>
  <c r="I35" i="11"/>
  <c r="G33" i="26"/>
  <c r="G33" i="11"/>
  <c r="G32" i="26"/>
  <c r="G32" i="11"/>
  <c r="AD14" i="22"/>
  <c r="Z49" i="22" s="1"/>
  <c r="AK142" i="22"/>
  <c r="L142" i="22"/>
  <c r="AD142" i="22"/>
  <c r="R142" i="22"/>
  <c r="X142" i="22"/>
  <c r="AC19" i="20"/>
  <c r="L68" i="20"/>
  <c r="AD15" i="20"/>
  <c r="AD34" i="20"/>
  <c r="AC13" i="20"/>
  <c r="AC16" i="20"/>
  <c r="AA12" i="20"/>
  <c r="AA19" i="20"/>
  <c r="AA14" i="20"/>
  <c r="Y26" i="20"/>
  <c r="Y15" i="20"/>
  <c r="AB16" i="20"/>
  <c r="K52" i="20"/>
  <c r="AC15" i="20"/>
  <c r="Y24" i="20"/>
  <c r="Y18" i="20"/>
  <c r="K54" i="20"/>
  <c r="Y29" i="20"/>
  <c r="K50" i="20"/>
  <c r="AD32" i="20"/>
  <c r="AA11" i="20"/>
  <c r="K49" i="20"/>
  <c r="Y17" i="20"/>
  <c r="AD33" i="20"/>
  <c r="Y33" i="20"/>
  <c r="R112" i="20"/>
  <c r="S112" i="20" s="1"/>
  <c r="AA16" i="20"/>
  <c r="AB19" i="20"/>
  <c r="AA18" i="20"/>
  <c r="AA10" i="20"/>
  <c r="AD29" i="20"/>
  <c r="Y28" i="20"/>
  <c r="AD27" i="20"/>
  <c r="AA13" i="20"/>
  <c r="AB17" i="20"/>
  <c r="AA9" i="20"/>
  <c r="T120" i="20"/>
  <c r="AB9" i="20"/>
  <c r="P120" i="20"/>
  <c r="S121" i="20"/>
  <c r="O121" i="20"/>
  <c r="R121" i="20"/>
  <c r="N121" i="20"/>
  <c r="P121" i="20" s="1"/>
  <c r="Y32" i="20"/>
  <c r="S52" i="36" l="1"/>
  <c r="V51" i="36" s="1"/>
  <c r="AH21" i="35"/>
  <c r="AI21" i="35"/>
  <c r="AJ21" i="35" s="1"/>
  <c r="T23" i="35"/>
  <c r="V22" i="35"/>
  <c r="U22" i="35"/>
  <c r="M6" i="34" s="1"/>
  <c r="S23" i="35"/>
  <c r="V53" i="36"/>
  <c r="V54" i="36" s="1"/>
  <c r="V55" i="36" s="1"/>
  <c r="AP22" i="35"/>
  <c r="AN23" i="35"/>
  <c r="AO22" i="35"/>
  <c r="AM23" i="35"/>
  <c r="N66" i="36"/>
  <c r="G65" i="36"/>
  <c r="K65" i="36" s="1"/>
  <c r="AQ21" i="35"/>
  <c r="AR21" i="35"/>
  <c r="AS21" i="35" s="1"/>
  <c r="J22" i="35"/>
  <c r="H23" i="35"/>
  <c r="I23" i="35"/>
  <c r="K22" i="35"/>
  <c r="AT20" i="35"/>
  <c r="AG22" i="35"/>
  <c r="AE23" i="35"/>
  <c r="W21" i="35"/>
  <c r="X21" i="35" s="1"/>
  <c r="O5" i="34" s="1"/>
  <c r="N5" i="34"/>
  <c r="AF22" i="35"/>
  <c r="AD23" i="35"/>
  <c r="AL251" i="22"/>
  <c r="AR251" i="22"/>
  <c r="U460" i="22"/>
  <c r="M465" i="22"/>
  <c r="B43" i="35"/>
  <c r="E40" i="36"/>
  <c r="V41" i="36"/>
  <c r="P25" i="34"/>
  <c r="D41" i="36"/>
  <c r="AI41" i="36" s="1"/>
  <c r="G27" i="34"/>
  <c r="X26" i="34"/>
  <c r="E26" i="34"/>
  <c r="F26" i="34" s="1"/>
  <c r="C41" i="36" s="1"/>
  <c r="H19" i="27"/>
  <c r="L18" i="29"/>
  <c r="G96" i="33"/>
  <c r="F95" i="33"/>
  <c r="B162" i="22"/>
  <c r="N162" i="22" s="1"/>
  <c r="B156" i="22"/>
  <c r="R156" i="22" s="1"/>
  <c r="R155" i="22"/>
  <c r="AN155" i="22"/>
  <c r="K85" i="20"/>
  <c r="L229" i="22"/>
  <c r="E90" i="20"/>
  <c r="L227" i="22"/>
  <c r="E88" i="20"/>
  <c r="L234" i="22"/>
  <c r="E95" i="20"/>
  <c r="L225" i="22"/>
  <c r="E86" i="20"/>
  <c r="L228" i="22"/>
  <c r="E89" i="20"/>
  <c r="L231" i="22"/>
  <c r="E92" i="20"/>
  <c r="L226" i="22"/>
  <c r="E87" i="20"/>
  <c r="AH155" i="22"/>
  <c r="M155" i="22"/>
  <c r="W155" i="22"/>
  <c r="P70" i="20"/>
  <c r="D70" i="20" s="1"/>
  <c r="L70" i="20"/>
  <c r="P69" i="20"/>
  <c r="D69" i="20" s="1"/>
  <c r="L69" i="20"/>
  <c r="P66" i="20"/>
  <c r="D66" i="20" s="1"/>
  <c r="T121" i="20"/>
  <c r="K45" i="20"/>
  <c r="AD13" i="20"/>
  <c r="AD10" i="20"/>
  <c r="AD19" i="20"/>
  <c r="L55" i="20" s="1"/>
  <c r="D75" i="20"/>
  <c r="P75" i="20"/>
  <c r="L66" i="20"/>
  <c r="L75" i="20"/>
  <c r="AD9" i="20"/>
  <c r="L45" i="20" s="1"/>
  <c r="AD24" i="20"/>
  <c r="P72" i="20"/>
  <c r="D72" i="20" s="1"/>
  <c r="L72" i="20"/>
  <c r="L51" i="20"/>
  <c r="P68" i="20"/>
  <c r="D68" i="20" s="1"/>
  <c r="D67" i="20"/>
  <c r="P67" i="20"/>
  <c r="AD26" i="20"/>
  <c r="AD16" i="20"/>
  <c r="AC18" i="20"/>
  <c r="AD18" i="20" s="1"/>
  <c r="L54" i="20" s="1"/>
  <c r="AC17" i="20"/>
  <c r="AD17" i="20" s="1"/>
  <c r="L53" i="20" s="1"/>
  <c r="AC14" i="20"/>
  <c r="AD14" i="20" s="1"/>
  <c r="L50" i="20" s="1"/>
  <c r="AD30" i="20"/>
  <c r="AD25" i="20"/>
  <c r="AD28" i="20"/>
  <c r="AC9" i="20"/>
  <c r="AD31" i="20"/>
  <c r="Y9" i="20"/>
  <c r="AD12" i="20"/>
  <c r="L48" i="20" s="1"/>
  <c r="AC11" i="20"/>
  <c r="AD11" i="20" s="1"/>
  <c r="L47" i="20" s="1"/>
  <c r="AC12" i="20"/>
  <c r="AC10" i="20"/>
  <c r="L67" i="20"/>
  <c r="AQ22" i="35" l="1"/>
  <c r="AR22" i="35"/>
  <c r="AS22" i="35" s="1"/>
  <c r="N6" i="34"/>
  <c r="W22" i="35"/>
  <c r="X22" i="35" s="1"/>
  <c r="O6" i="34" s="1"/>
  <c r="AF23" i="35"/>
  <c r="AD24" i="35"/>
  <c r="AO23" i="35"/>
  <c r="AM24" i="35"/>
  <c r="F19" i="36"/>
  <c r="V56" i="36"/>
  <c r="G19" i="36" s="1"/>
  <c r="G20" i="36" s="1"/>
  <c r="G21" i="36" s="1"/>
  <c r="G22" i="36" s="1"/>
  <c r="G23" i="36" s="1"/>
  <c r="G24" i="36" s="1"/>
  <c r="G25" i="36" s="1"/>
  <c r="G26" i="36" s="1"/>
  <c r="G27" i="36" s="1"/>
  <c r="G28" i="36" s="1"/>
  <c r="G29" i="36" s="1"/>
  <c r="G30" i="36" s="1"/>
  <c r="G31" i="36" s="1"/>
  <c r="G32" i="36" s="1"/>
  <c r="G33" i="36" s="1"/>
  <c r="G34" i="36" s="1"/>
  <c r="G35" i="36" s="1"/>
  <c r="G36" i="36" s="1"/>
  <c r="G37" i="36" s="1"/>
  <c r="G38" i="36" s="1"/>
  <c r="G39" i="36" s="1"/>
  <c r="G40" i="36" s="1"/>
  <c r="G41" i="36" s="1"/>
  <c r="G42" i="36" s="1"/>
  <c r="G43" i="36" s="1"/>
  <c r="G44" i="36" s="1"/>
  <c r="G45" i="36" s="1"/>
  <c r="G46" i="36" s="1"/>
  <c r="G47" i="36" s="1"/>
  <c r="G48" i="36" s="1"/>
  <c r="T24" i="35"/>
  <c r="V23" i="35"/>
  <c r="AG23" i="35"/>
  <c r="AE24" i="35"/>
  <c r="I24" i="35"/>
  <c r="K23" i="35"/>
  <c r="U23" i="35"/>
  <c r="M7" i="34" s="1"/>
  <c r="S24" i="35"/>
  <c r="AI22" i="35"/>
  <c r="AJ22" i="35" s="1"/>
  <c r="AH22" i="35"/>
  <c r="H24" i="35"/>
  <c r="J23" i="35"/>
  <c r="AP23" i="35"/>
  <c r="AN24" i="35"/>
  <c r="AT21" i="35"/>
  <c r="AF162" i="22"/>
  <c r="Z162" i="22"/>
  <c r="T162" i="22"/>
  <c r="D42" i="36"/>
  <c r="AI42" i="36" s="1"/>
  <c r="G28" i="34"/>
  <c r="X27" i="34"/>
  <c r="E27" i="34"/>
  <c r="F27" i="34" s="1"/>
  <c r="C42" i="36" s="1"/>
  <c r="E41" i="36"/>
  <c r="V42" i="36"/>
  <c r="B44" i="35"/>
  <c r="P26" i="34"/>
  <c r="H20" i="27"/>
  <c r="L19" i="29"/>
  <c r="H23" i="27"/>
  <c r="L22" i="29"/>
  <c r="H26" i="27"/>
  <c r="L25" i="29"/>
  <c r="H18" i="27"/>
  <c r="L17" i="29"/>
  <c r="H17" i="27"/>
  <c r="L16" i="29"/>
  <c r="H21" i="27"/>
  <c r="L20" i="29"/>
  <c r="W156" i="22"/>
  <c r="M156" i="22"/>
  <c r="B163" i="22"/>
  <c r="T163" i="22" s="1"/>
  <c r="F96" i="33"/>
  <c r="G97" i="33"/>
  <c r="L230" i="22"/>
  <c r="E91" i="20"/>
  <c r="L232" i="22"/>
  <c r="E93" i="20"/>
  <c r="L233" i="22"/>
  <c r="E94" i="20"/>
  <c r="F31" i="26"/>
  <c r="F31" i="11"/>
  <c r="F22" i="11"/>
  <c r="F22" i="26"/>
  <c r="F25" i="26"/>
  <c r="F25" i="11"/>
  <c r="F23" i="26"/>
  <c r="F23" i="11"/>
  <c r="F26" i="11"/>
  <c r="F26" i="26"/>
  <c r="F24" i="26"/>
  <c r="F24" i="11"/>
  <c r="F28" i="26"/>
  <c r="F28" i="11"/>
  <c r="L46" i="20"/>
  <c r="L52" i="20"/>
  <c r="P71" i="20"/>
  <c r="D71" i="20"/>
  <c r="L71" i="20"/>
  <c r="L49" i="20"/>
  <c r="P74" i="20"/>
  <c r="D74" i="20" s="1"/>
  <c r="L74" i="20"/>
  <c r="P73" i="20"/>
  <c r="D73" i="20"/>
  <c r="L73" i="20"/>
  <c r="AQ23" i="35" l="1"/>
  <c r="AR23" i="35"/>
  <c r="AS23" i="35" s="1"/>
  <c r="I25" i="35"/>
  <c r="K24" i="35"/>
  <c r="T25" i="35"/>
  <c r="V24" i="35"/>
  <c r="AF24" i="35"/>
  <c r="AD25" i="35"/>
  <c r="J24" i="35"/>
  <c r="H25" i="35"/>
  <c r="AH23" i="35"/>
  <c r="AI23" i="35"/>
  <c r="AJ23" i="35" s="1"/>
  <c r="H19" i="36"/>
  <c r="F20" i="36"/>
  <c r="U24" i="35"/>
  <c r="M8" i="34" s="1"/>
  <c r="S25" i="35"/>
  <c r="AG24" i="35"/>
  <c r="AE25" i="35"/>
  <c r="AP24" i="35"/>
  <c r="AN25" i="35"/>
  <c r="AT22" i="35"/>
  <c r="N7" i="34"/>
  <c r="W23" i="35"/>
  <c r="X23" i="35" s="1"/>
  <c r="O7" i="34" s="1"/>
  <c r="AO24" i="35"/>
  <c r="AM25" i="35"/>
  <c r="Z163" i="22"/>
  <c r="P27" i="34"/>
  <c r="E42" i="36"/>
  <c r="V43" i="36"/>
  <c r="B45" i="35"/>
  <c r="D43" i="36"/>
  <c r="AI43" i="36" s="1"/>
  <c r="G29" i="34"/>
  <c r="X28" i="34"/>
  <c r="E28" i="34"/>
  <c r="F28" i="34" s="1"/>
  <c r="C43" i="36" s="1"/>
  <c r="H25" i="27"/>
  <c r="L24" i="29"/>
  <c r="H24" i="27"/>
  <c r="L23" i="29"/>
  <c r="H22" i="27"/>
  <c r="L21" i="29"/>
  <c r="N163" i="22"/>
  <c r="AF163" i="22"/>
  <c r="F97" i="33"/>
  <c r="G98" i="33"/>
  <c r="C85" i="20"/>
  <c r="E11" i="23" s="1"/>
  <c r="E85" i="20"/>
  <c r="L224" i="22"/>
  <c r="F30" i="11"/>
  <c r="F30" i="26"/>
  <c r="F29" i="26"/>
  <c r="F29" i="11"/>
  <c r="F27" i="26"/>
  <c r="F27" i="11"/>
  <c r="P65" i="20"/>
  <c r="D65" i="20" s="1"/>
  <c r="L65" i="20"/>
  <c r="AP25" i="35" l="1"/>
  <c r="AN26" i="35"/>
  <c r="S26" i="35"/>
  <c r="U25" i="35"/>
  <c r="M9" i="34" s="1"/>
  <c r="AF25" i="35"/>
  <c r="AD26" i="35"/>
  <c r="AQ24" i="35"/>
  <c r="AR24" i="35"/>
  <c r="AS24" i="35" s="1"/>
  <c r="AT23" i="35"/>
  <c r="I26" i="35"/>
  <c r="K25" i="35"/>
  <c r="AO25" i="35"/>
  <c r="AM26" i="35"/>
  <c r="AG25" i="35"/>
  <c r="AE26" i="35"/>
  <c r="H20" i="36"/>
  <c r="F21" i="36"/>
  <c r="J25" i="35"/>
  <c r="H26" i="35"/>
  <c r="W24" i="35"/>
  <c r="X24" i="35" s="1"/>
  <c r="O8" i="34" s="1"/>
  <c r="N8" i="34"/>
  <c r="AI24" i="35"/>
  <c r="AJ24" i="35" s="1"/>
  <c r="AH24" i="35"/>
  <c r="K19" i="36"/>
  <c r="S4" i="34" s="1"/>
  <c r="Q4" i="34"/>
  <c r="T26" i="35"/>
  <c r="V25" i="35"/>
  <c r="D44" i="36"/>
  <c r="AI44" i="36" s="1"/>
  <c r="G30" i="34"/>
  <c r="X29" i="34"/>
  <c r="E29" i="34"/>
  <c r="F29" i="34" s="1"/>
  <c r="C44" i="36" s="1"/>
  <c r="E43" i="36"/>
  <c r="B46" i="35"/>
  <c r="V44" i="36"/>
  <c r="P28" i="34"/>
  <c r="L64" i="20"/>
  <c r="A50" i="13" s="1"/>
  <c r="L15" i="29"/>
  <c r="G99" i="33"/>
  <c r="F99" i="33" s="1"/>
  <c r="F98" i="33"/>
  <c r="H16" i="27"/>
  <c r="H85" i="20"/>
  <c r="H86" i="20" s="1"/>
  <c r="H87" i="20" s="1"/>
  <c r="H88" i="20" s="1"/>
  <c r="H89" i="20" s="1"/>
  <c r="H90" i="20" s="1"/>
  <c r="H91" i="20" s="1"/>
  <c r="H92" i="20" s="1"/>
  <c r="H93" i="20" s="1"/>
  <c r="H94" i="20" s="1"/>
  <c r="H95" i="20" s="1"/>
  <c r="H96" i="20" s="1"/>
  <c r="H97" i="20" s="1"/>
  <c r="H98" i="20" s="1"/>
  <c r="H99" i="20" s="1"/>
  <c r="G85" i="20"/>
  <c r="F21" i="26"/>
  <c r="F21" i="11"/>
  <c r="AT24" i="35" l="1"/>
  <c r="K20" i="36"/>
  <c r="S5" i="34" s="1"/>
  <c r="Q5" i="34"/>
  <c r="H27" i="35"/>
  <c r="J26" i="35"/>
  <c r="AG26" i="35"/>
  <c r="AE27" i="35"/>
  <c r="S27" i="35"/>
  <c r="U26" i="35"/>
  <c r="M10" i="34" s="1"/>
  <c r="N9" i="34"/>
  <c r="W25" i="35"/>
  <c r="X25" i="35" s="1"/>
  <c r="O9" i="34" s="1"/>
  <c r="V26" i="35"/>
  <c r="T27" i="35"/>
  <c r="AI25" i="35"/>
  <c r="AJ25" i="35" s="1"/>
  <c r="AH25" i="35"/>
  <c r="K26" i="35"/>
  <c r="I27" i="35"/>
  <c r="AF26" i="35"/>
  <c r="AD27" i="35"/>
  <c r="AP26" i="35"/>
  <c r="AN27" i="35"/>
  <c r="H21" i="36"/>
  <c r="F22" i="36"/>
  <c r="AO26" i="35"/>
  <c r="AM27" i="35"/>
  <c r="AQ25" i="35"/>
  <c r="AR25" i="35"/>
  <c r="AS25" i="35" s="1"/>
  <c r="M85" i="20"/>
  <c r="D45" i="36"/>
  <c r="AI45" i="36" s="1"/>
  <c r="G31" i="34"/>
  <c r="X30" i="34"/>
  <c r="E30" i="34"/>
  <c r="F30" i="34" s="1"/>
  <c r="C45" i="36" s="1"/>
  <c r="P29" i="34"/>
  <c r="E44" i="36"/>
  <c r="V45" i="36"/>
  <c r="B47" i="35"/>
  <c r="E25" i="23"/>
  <c r="G86" i="20"/>
  <c r="AR26" i="35" l="1"/>
  <c r="AS26" i="35" s="1"/>
  <c r="AQ26" i="35"/>
  <c r="W26" i="35"/>
  <c r="X26" i="35" s="1"/>
  <c r="O10" i="34" s="1"/>
  <c r="N10" i="34"/>
  <c r="F23" i="36"/>
  <c r="H22" i="36"/>
  <c r="AF27" i="35"/>
  <c r="AD28" i="35"/>
  <c r="AT25" i="35"/>
  <c r="S28" i="35"/>
  <c r="U27" i="35"/>
  <c r="M11" i="34" s="1"/>
  <c r="J27" i="35"/>
  <c r="H28" i="35"/>
  <c r="K21" i="36"/>
  <c r="S6" i="34" s="1"/>
  <c r="Q6" i="34"/>
  <c r="AG27" i="35"/>
  <c r="AE28" i="35"/>
  <c r="AO27" i="35"/>
  <c r="AM28" i="35"/>
  <c r="AP27" i="35"/>
  <c r="AN28" i="35"/>
  <c r="I28" i="35"/>
  <c r="K27" i="35"/>
  <c r="T28" i="35"/>
  <c r="V27" i="35"/>
  <c r="AI26" i="35"/>
  <c r="AJ26" i="35" s="1"/>
  <c r="AH26" i="35"/>
  <c r="P30" i="34"/>
  <c r="D46" i="36"/>
  <c r="AI46" i="36" s="1"/>
  <c r="G32" i="34"/>
  <c r="X31" i="34"/>
  <c r="E31" i="34"/>
  <c r="F31" i="34" s="1"/>
  <c r="C46" i="36" s="1"/>
  <c r="B48" i="35"/>
  <c r="V46" i="36"/>
  <c r="E45" i="36"/>
  <c r="I463" i="22"/>
  <c r="G87" i="20"/>
  <c r="AT26" i="35" l="1"/>
  <c r="AO28" i="35"/>
  <c r="AM29" i="35"/>
  <c r="K28" i="35"/>
  <c r="I29" i="35"/>
  <c r="S29" i="35"/>
  <c r="U28" i="35"/>
  <c r="M12" i="34" s="1"/>
  <c r="K22" i="36"/>
  <c r="S7" i="34" s="1"/>
  <c r="Q7" i="34"/>
  <c r="N11" i="34"/>
  <c r="W27" i="35"/>
  <c r="X27" i="35" s="1"/>
  <c r="O11" i="34" s="1"/>
  <c r="AP28" i="35"/>
  <c r="AN29" i="35"/>
  <c r="AG28" i="35"/>
  <c r="AE29" i="35"/>
  <c r="H29" i="35"/>
  <c r="J28" i="35"/>
  <c r="F24" i="36"/>
  <c r="H23" i="36"/>
  <c r="V28" i="35"/>
  <c r="T29" i="35"/>
  <c r="AQ27" i="35"/>
  <c r="AR27" i="35"/>
  <c r="AS27" i="35" s="1"/>
  <c r="AI27" i="35"/>
  <c r="AJ27" i="35" s="1"/>
  <c r="AH27" i="35"/>
  <c r="AF28" i="35"/>
  <c r="AD29" i="35"/>
  <c r="V47" i="36"/>
  <c r="B49" i="35"/>
  <c r="P31" i="34"/>
  <c r="E46" i="36"/>
  <c r="D47" i="36"/>
  <c r="AI47" i="36" s="1"/>
  <c r="G33" i="34"/>
  <c r="X32" i="34"/>
  <c r="E32" i="34"/>
  <c r="F32" i="34" s="1"/>
  <c r="C47" i="36" s="1"/>
  <c r="I458" i="22"/>
  <c r="P434" i="22"/>
  <c r="S465" i="22" s="1"/>
  <c r="G88" i="20"/>
  <c r="AF29" i="35" l="1"/>
  <c r="AD30" i="35"/>
  <c r="K23" i="36"/>
  <c r="S8" i="34" s="1"/>
  <c r="Q8" i="34"/>
  <c r="AG29" i="35"/>
  <c r="AE30" i="35"/>
  <c r="H24" i="36"/>
  <c r="F25" i="36"/>
  <c r="AH28" i="35"/>
  <c r="AI28" i="35"/>
  <c r="AJ28" i="35" s="1"/>
  <c r="AO29" i="35"/>
  <c r="AM30" i="35"/>
  <c r="AT27" i="35"/>
  <c r="T30" i="35"/>
  <c r="V29" i="35"/>
  <c r="AP29" i="35"/>
  <c r="AN30" i="35"/>
  <c r="S30" i="35"/>
  <c r="U29" i="35"/>
  <c r="M13" i="34" s="1"/>
  <c r="N12" i="34"/>
  <c r="W28" i="35"/>
  <c r="X28" i="35" s="1"/>
  <c r="O12" i="34" s="1"/>
  <c r="H30" i="35"/>
  <c r="J29" i="35"/>
  <c r="AQ28" i="35"/>
  <c r="AR28" i="35"/>
  <c r="AS28" i="35" s="1"/>
  <c r="I30" i="35"/>
  <c r="K29" i="35"/>
  <c r="E47" i="36"/>
  <c r="P33" i="34"/>
  <c r="P32" i="34"/>
  <c r="V48" i="36"/>
  <c r="D48" i="36"/>
  <c r="AI48" i="36" s="1"/>
  <c r="X33" i="34"/>
  <c r="E33" i="34"/>
  <c r="F33" i="34" s="1"/>
  <c r="C48" i="36" s="1"/>
  <c r="AA460" i="22"/>
  <c r="L470" i="22" s="1"/>
  <c r="S470" i="22" s="1"/>
  <c r="E549" i="22" s="1"/>
  <c r="AH434" i="22"/>
  <c r="AH440" i="22" s="1"/>
  <c r="G89" i="20"/>
  <c r="AR29" i="35" l="1"/>
  <c r="AS29" i="35" s="1"/>
  <c r="AQ29" i="35"/>
  <c r="AO30" i="35"/>
  <c r="AM31" i="35"/>
  <c r="H25" i="36"/>
  <c r="F26" i="36"/>
  <c r="K30" i="35"/>
  <c r="I31" i="35"/>
  <c r="H31" i="35"/>
  <c r="J30" i="35"/>
  <c r="N13" i="34"/>
  <c r="W29" i="35"/>
  <c r="X29" i="35" s="1"/>
  <c r="O13" i="34" s="1"/>
  <c r="K24" i="36"/>
  <c r="S9" i="34" s="1"/>
  <c r="Q9" i="34"/>
  <c r="U30" i="35"/>
  <c r="M14" i="34" s="1"/>
  <c r="S31" i="35"/>
  <c r="V30" i="35"/>
  <c r="T31" i="35"/>
  <c r="AG30" i="35"/>
  <c r="AE31" i="35"/>
  <c r="AF30" i="35"/>
  <c r="AD31" i="35"/>
  <c r="AP30" i="35"/>
  <c r="AN31" i="35"/>
  <c r="AT28" i="35"/>
  <c r="AH29" i="35"/>
  <c r="AI29" i="35"/>
  <c r="AJ29" i="35" s="1"/>
  <c r="E48" i="36"/>
  <c r="L578" i="22"/>
  <c r="E550" i="22"/>
  <c r="D552" i="22" s="1"/>
  <c r="G90" i="20"/>
  <c r="A48" i="13"/>
  <c r="AR30" i="35" l="1"/>
  <c r="AS30" i="35" s="1"/>
  <c r="AQ30" i="35"/>
  <c r="AH30" i="35"/>
  <c r="AI30" i="35"/>
  <c r="AJ30" i="35" s="1"/>
  <c r="I32" i="35"/>
  <c r="K31" i="35"/>
  <c r="AO31" i="35"/>
  <c r="AM32" i="35"/>
  <c r="AT29" i="35"/>
  <c r="AF31" i="35"/>
  <c r="AD32" i="35"/>
  <c r="T32" i="35"/>
  <c r="V31" i="35"/>
  <c r="N14" i="34"/>
  <c r="W30" i="35"/>
  <c r="X30" i="35" s="1"/>
  <c r="O14" i="34" s="1"/>
  <c r="H26" i="36"/>
  <c r="F27" i="36"/>
  <c r="AP31" i="35"/>
  <c r="AN32" i="35"/>
  <c r="AG31" i="35"/>
  <c r="AE32" i="35"/>
  <c r="U31" i="35"/>
  <c r="M15" i="34" s="1"/>
  <c r="S32" i="35"/>
  <c r="J31" i="35"/>
  <c r="H32" i="35"/>
  <c r="K25" i="36"/>
  <c r="S10" i="34" s="1"/>
  <c r="Q10" i="34"/>
  <c r="D57" i="36"/>
  <c r="G57" i="36" s="1"/>
  <c r="K57" i="36" s="1"/>
  <c r="P57" i="36" s="1"/>
  <c r="S57" i="36" s="1"/>
  <c r="S19" i="36"/>
  <c r="AD19" i="36"/>
  <c r="L577" i="22"/>
  <c r="J583" i="22"/>
  <c r="Q583" i="22" s="1"/>
  <c r="G91" i="20"/>
  <c r="U32" i="35" l="1"/>
  <c r="M16" i="34" s="1"/>
  <c r="S33" i="35"/>
  <c r="AP32" i="35"/>
  <c r="AN33" i="35"/>
  <c r="T33" i="35"/>
  <c r="V32" i="35"/>
  <c r="AO32" i="35"/>
  <c r="AM33" i="35"/>
  <c r="AQ31" i="35"/>
  <c r="AR31" i="35"/>
  <c r="AS31" i="35" s="1"/>
  <c r="AF32" i="35"/>
  <c r="AD33" i="35"/>
  <c r="AT30" i="35"/>
  <c r="J32" i="35"/>
  <c r="H33" i="35"/>
  <c r="AG32" i="35"/>
  <c r="AE33" i="35"/>
  <c r="F28" i="36"/>
  <c r="H27" i="36"/>
  <c r="AI31" i="35"/>
  <c r="AJ31" i="35" s="1"/>
  <c r="AH31" i="35"/>
  <c r="K26" i="36"/>
  <c r="S11" i="34" s="1"/>
  <c r="Q11" i="34"/>
  <c r="W31" i="35"/>
  <c r="X31" i="35" s="1"/>
  <c r="O15" i="34" s="1"/>
  <c r="N15" i="34"/>
  <c r="I33" i="35"/>
  <c r="K32" i="35"/>
  <c r="AD20" i="36"/>
  <c r="D66" i="36"/>
  <c r="S20" i="36"/>
  <c r="U19" i="36"/>
  <c r="G92" i="20"/>
  <c r="AT31" i="35" l="1"/>
  <c r="AH32" i="35"/>
  <c r="AI32" i="35"/>
  <c r="AJ32" i="35" s="1"/>
  <c r="AF33" i="35"/>
  <c r="AD34" i="35"/>
  <c r="AO33" i="35"/>
  <c r="AM34" i="35"/>
  <c r="AP33" i="35"/>
  <c r="AN34" i="35"/>
  <c r="I34" i="35"/>
  <c r="K33" i="35"/>
  <c r="K27" i="36"/>
  <c r="S12" i="34" s="1"/>
  <c r="Q12" i="34"/>
  <c r="J33" i="35"/>
  <c r="H34" i="35"/>
  <c r="AQ32" i="35"/>
  <c r="AR32" i="35"/>
  <c r="AS32" i="35" s="1"/>
  <c r="H28" i="36"/>
  <c r="F29" i="36"/>
  <c r="N16" i="34"/>
  <c r="W32" i="35"/>
  <c r="X32" i="35" s="1"/>
  <c r="O16" i="34" s="1"/>
  <c r="S34" i="35"/>
  <c r="U33" i="35"/>
  <c r="M17" i="34" s="1"/>
  <c r="AG33" i="35"/>
  <c r="AE34" i="35"/>
  <c r="T34" i="35"/>
  <c r="V33" i="35"/>
  <c r="S21" i="36"/>
  <c r="U20" i="36"/>
  <c r="N65" i="36"/>
  <c r="P65" i="36" s="1"/>
  <c r="S65" i="36" s="1"/>
  <c r="G66" i="36"/>
  <c r="K66" i="36" s="1"/>
  <c r="P66" i="36" s="1"/>
  <c r="S66" i="36" s="1"/>
  <c r="AD21" i="36"/>
  <c r="X19" i="36"/>
  <c r="AA19" i="36" s="1"/>
  <c r="AB19" i="36" s="1"/>
  <c r="G93" i="20"/>
  <c r="AH33" i="35" l="1"/>
  <c r="AI33" i="35"/>
  <c r="AJ33" i="35" s="1"/>
  <c r="AP34" i="35"/>
  <c r="AN35" i="35"/>
  <c r="AF34" i="35"/>
  <c r="AD35" i="35"/>
  <c r="N17" i="34"/>
  <c r="W33" i="35"/>
  <c r="X33" i="35" s="1"/>
  <c r="O17" i="34" s="1"/>
  <c r="AQ33" i="35"/>
  <c r="AR33" i="35"/>
  <c r="AS33" i="35" s="1"/>
  <c r="T35" i="35"/>
  <c r="V34" i="35"/>
  <c r="S35" i="35"/>
  <c r="U34" i="35"/>
  <c r="M18" i="34" s="1"/>
  <c r="F30" i="36"/>
  <c r="H29" i="36"/>
  <c r="H35" i="35"/>
  <c r="J34" i="35"/>
  <c r="AO34" i="35"/>
  <c r="AM35" i="35"/>
  <c r="AG34" i="35"/>
  <c r="AE35" i="35"/>
  <c r="K28" i="36"/>
  <c r="S13" i="34" s="1"/>
  <c r="Q13" i="34"/>
  <c r="K34" i="35"/>
  <c r="I35" i="35"/>
  <c r="AT32" i="35"/>
  <c r="X20" i="36"/>
  <c r="AA20" i="36" s="1"/>
  <c r="AB20" i="36" s="1"/>
  <c r="AE19" i="36"/>
  <c r="AD22" i="36"/>
  <c r="S22" i="36"/>
  <c r="U21" i="36"/>
  <c r="G94" i="20"/>
  <c r="F31" i="36" l="1"/>
  <c r="H30" i="36"/>
  <c r="T36" i="35"/>
  <c r="V35" i="35"/>
  <c r="AP35" i="35"/>
  <c r="AN36" i="35"/>
  <c r="I36" i="35"/>
  <c r="K35" i="35"/>
  <c r="AR34" i="35"/>
  <c r="AS34" i="35" s="1"/>
  <c r="AQ34" i="35"/>
  <c r="J35" i="35"/>
  <c r="H36" i="35"/>
  <c r="S36" i="35"/>
  <c r="U35" i="35"/>
  <c r="M19" i="34" s="1"/>
  <c r="AF35" i="35"/>
  <c r="AD36" i="35"/>
  <c r="AG35" i="35"/>
  <c r="AE36" i="35"/>
  <c r="AI34" i="35"/>
  <c r="AJ34" i="35" s="1"/>
  <c r="AH34" i="35"/>
  <c r="AO35" i="35"/>
  <c r="AM36" i="35"/>
  <c r="K29" i="36"/>
  <c r="S14" i="34" s="1"/>
  <c r="Q14" i="34"/>
  <c r="W34" i="35"/>
  <c r="X34" i="35" s="1"/>
  <c r="O18" i="34" s="1"/>
  <c r="N18" i="34"/>
  <c r="AT33" i="35"/>
  <c r="AE20" i="36"/>
  <c r="AG20" i="36" s="1"/>
  <c r="AH20" i="36" s="1"/>
  <c r="AJ20" i="36" s="1"/>
  <c r="K5" i="34" s="1"/>
  <c r="X21" i="36"/>
  <c r="AA21" i="36" s="1"/>
  <c r="AB21" i="36" s="1"/>
  <c r="S23" i="36"/>
  <c r="U22" i="36"/>
  <c r="D63" i="36"/>
  <c r="AG19" i="36"/>
  <c r="AH19" i="36" s="1"/>
  <c r="AJ19" i="36" s="1"/>
  <c r="K4" i="34" s="1"/>
  <c r="AD23" i="36"/>
  <c r="G95" i="20"/>
  <c r="AT34" i="35" l="1"/>
  <c r="AF36" i="35"/>
  <c r="AD37" i="35"/>
  <c r="H37" i="35"/>
  <c r="J36" i="35"/>
  <c r="W35" i="35"/>
  <c r="X35" i="35" s="1"/>
  <c r="O19" i="34" s="1"/>
  <c r="N19" i="34"/>
  <c r="I37" i="35"/>
  <c r="K36" i="35"/>
  <c r="T37" i="35"/>
  <c r="V36" i="35"/>
  <c r="AO36" i="35"/>
  <c r="AM37" i="35"/>
  <c r="AG36" i="35"/>
  <c r="AE37" i="35"/>
  <c r="AP36" i="35"/>
  <c r="AN37" i="35"/>
  <c r="K30" i="36"/>
  <c r="S15" i="34" s="1"/>
  <c r="Q15" i="34"/>
  <c r="AI35" i="35"/>
  <c r="AJ35" i="35" s="1"/>
  <c r="AH35" i="35"/>
  <c r="U36" i="35"/>
  <c r="M20" i="34" s="1"/>
  <c r="S37" i="35"/>
  <c r="AR35" i="35"/>
  <c r="AS35" i="35" s="1"/>
  <c r="AQ35" i="35"/>
  <c r="F32" i="36"/>
  <c r="H31" i="36"/>
  <c r="AE21" i="36"/>
  <c r="AG21" i="36" s="1"/>
  <c r="AH21" i="36" s="1"/>
  <c r="AJ21" i="36" s="1"/>
  <c r="K6" i="34" s="1"/>
  <c r="Z5" i="34"/>
  <c r="U5" i="34"/>
  <c r="W5" i="34"/>
  <c r="I5" i="34"/>
  <c r="V5" i="34"/>
  <c r="W4" i="34"/>
  <c r="U4" i="34"/>
  <c r="V4" i="34"/>
  <c r="I4" i="34"/>
  <c r="Z4" i="34"/>
  <c r="X22" i="36"/>
  <c r="AA22" i="36" s="1"/>
  <c r="AB22" i="36" s="1"/>
  <c r="AD24" i="36"/>
  <c r="N64" i="36"/>
  <c r="P64" i="36" s="1"/>
  <c r="S64" i="36" s="1"/>
  <c r="G63" i="36"/>
  <c r="K63" i="36" s="1"/>
  <c r="P63" i="36" s="1"/>
  <c r="S63" i="36" s="1"/>
  <c r="S24" i="36"/>
  <c r="U23" i="36"/>
  <c r="G96" i="20"/>
  <c r="K31" i="36" l="1"/>
  <c r="S16" i="34" s="1"/>
  <c r="Q16" i="34"/>
  <c r="S38" i="35"/>
  <c r="U37" i="35"/>
  <c r="M21" i="34" s="1"/>
  <c r="AG37" i="35"/>
  <c r="AE38" i="35"/>
  <c r="N20" i="34"/>
  <c r="W36" i="35"/>
  <c r="X36" i="35" s="1"/>
  <c r="O20" i="34" s="1"/>
  <c r="J37" i="35"/>
  <c r="H38" i="35"/>
  <c r="F33" i="36"/>
  <c r="H32" i="36"/>
  <c r="AI36" i="35"/>
  <c r="AJ36" i="35" s="1"/>
  <c r="AH36" i="35"/>
  <c r="T38" i="35"/>
  <c r="V37" i="35"/>
  <c r="AF37" i="35"/>
  <c r="AD38" i="35"/>
  <c r="AT35" i="35"/>
  <c r="AP37" i="35"/>
  <c r="AN38" i="35"/>
  <c r="AO37" i="35"/>
  <c r="AM38" i="35"/>
  <c r="AQ36" i="35"/>
  <c r="AR36" i="35"/>
  <c r="AS36" i="35" s="1"/>
  <c r="I38" i="35"/>
  <c r="K37" i="35"/>
  <c r="F46" i="20"/>
  <c r="F46" i="33"/>
  <c r="F45" i="20"/>
  <c r="F45" i="33"/>
  <c r="E45" i="33"/>
  <c r="M45" i="33" s="1"/>
  <c r="E45" i="20"/>
  <c r="M45" i="20" s="1"/>
  <c r="E46" i="33"/>
  <c r="M46" i="33" s="1"/>
  <c r="E46" i="20"/>
  <c r="M46" i="20" s="1"/>
  <c r="W6" i="34"/>
  <c r="Z6" i="34"/>
  <c r="V6" i="34"/>
  <c r="I6" i="34"/>
  <c r="U6" i="34"/>
  <c r="AE22" i="36"/>
  <c r="AG22" i="36" s="1"/>
  <c r="AH22" i="36" s="1"/>
  <c r="AJ22" i="36" s="1"/>
  <c r="K7" i="34" s="1"/>
  <c r="X23" i="36"/>
  <c r="AA23" i="36" s="1"/>
  <c r="AB23" i="36" s="1"/>
  <c r="S25" i="36"/>
  <c r="U24" i="36"/>
  <c r="AD25" i="36"/>
  <c r="G97" i="20"/>
  <c r="AO38" i="35" l="1"/>
  <c r="AM39" i="35"/>
  <c r="T39" i="35"/>
  <c r="V38" i="35"/>
  <c r="H33" i="36"/>
  <c r="F34" i="36"/>
  <c r="I39" i="35"/>
  <c r="K38" i="35"/>
  <c r="AF38" i="35"/>
  <c r="AD39" i="35"/>
  <c r="AT36" i="35"/>
  <c r="J38" i="35"/>
  <c r="H39" i="35"/>
  <c r="S39" i="35"/>
  <c r="U38" i="35"/>
  <c r="M22" i="34" s="1"/>
  <c r="AP38" i="35"/>
  <c r="AN39" i="35"/>
  <c r="AG38" i="35"/>
  <c r="AE39" i="35"/>
  <c r="AQ37" i="35"/>
  <c r="AR37" i="35"/>
  <c r="AS37" i="35" s="1"/>
  <c r="W37" i="35"/>
  <c r="X37" i="35" s="1"/>
  <c r="O21" i="34" s="1"/>
  <c r="N21" i="34"/>
  <c r="K32" i="36"/>
  <c r="S17" i="34" s="1"/>
  <c r="Q17" i="34"/>
  <c r="AI37" i="35"/>
  <c r="AJ37" i="35" s="1"/>
  <c r="AH37" i="35"/>
  <c r="I561" i="22"/>
  <c r="I560" i="22"/>
  <c r="F47" i="33"/>
  <c r="F47" i="20"/>
  <c r="E47" i="20"/>
  <c r="M47" i="20" s="1"/>
  <c r="E47" i="33"/>
  <c r="M47" i="33" s="1"/>
  <c r="AE23" i="36"/>
  <c r="AG23" i="36" s="1"/>
  <c r="AH23" i="36" s="1"/>
  <c r="AJ23" i="36" s="1"/>
  <c r="K8" i="34" s="1"/>
  <c r="Z7" i="34"/>
  <c r="U7" i="34"/>
  <c r="W7" i="34"/>
  <c r="I7" i="34"/>
  <c r="V7" i="34"/>
  <c r="X24" i="36"/>
  <c r="AA24" i="36" s="1"/>
  <c r="AB24" i="36" s="1"/>
  <c r="S26" i="36"/>
  <c r="U25" i="36"/>
  <c r="AD26" i="36"/>
  <c r="G98" i="20"/>
  <c r="AT37" i="35" l="1"/>
  <c r="AR38" i="35"/>
  <c r="AS38" i="35" s="1"/>
  <c r="AQ38" i="35"/>
  <c r="N22" i="34"/>
  <c r="W38" i="35"/>
  <c r="X38" i="35" s="1"/>
  <c r="O22" i="34" s="1"/>
  <c r="AG39" i="35"/>
  <c r="AE40" i="35"/>
  <c r="K39" i="35"/>
  <c r="I40" i="35"/>
  <c r="V39" i="35"/>
  <c r="T40" i="35"/>
  <c r="AH38" i="35"/>
  <c r="AI38" i="35"/>
  <c r="AJ38" i="35" s="1"/>
  <c r="S40" i="35"/>
  <c r="U39" i="35"/>
  <c r="M23" i="34" s="1"/>
  <c r="AF39" i="35"/>
  <c r="AD40" i="35"/>
  <c r="H34" i="36"/>
  <c r="F35" i="36"/>
  <c r="AO39" i="35"/>
  <c r="AM40" i="35"/>
  <c r="AP39" i="35"/>
  <c r="AN40" i="35"/>
  <c r="H40" i="35"/>
  <c r="J39" i="35"/>
  <c r="K33" i="36"/>
  <c r="S18" i="34" s="1"/>
  <c r="Q18" i="34"/>
  <c r="I562" i="22"/>
  <c r="F48" i="33"/>
  <c r="F48" i="20"/>
  <c r="E48" i="33"/>
  <c r="M48" i="33" s="1"/>
  <c r="E48" i="20"/>
  <c r="M48" i="20" s="1"/>
  <c r="AE24" i="36"/>
  <c r="AG24" i="36" s="1"/>
  <c r="AH24" i="36" s="1"/>
  <c r="AJ24" i="36" s="1"/>
  <c r="K9" i="34" s="1"/>
  <c r="W8" i="34"/>
  <c r="Z8" i="34"/>
  <c r="V8" i="34"/>
  <c r="I8" i="34"/>
  <c r="U8" i="34"/>
  <c r="X25" i="36"/>
  <c r="AA25" i="36" s="1"/>
  <c r="AB25" i="36" s="1"/>
  <c r="S27" i="36"/>
  <c r="U26" i="36"/>
  <c r="AD27" i="36"/>
  <c r="G99" i="20"/>
  <c r="AT38" i="35" l="1"/>
  <c r="H41" i="35"/>
  <c r="J40" i="35"/>
  <c r="AP40" i="35"/>
  <c r="AN41" i="35"/>
  <c r="H35" i="36"/>
  <c r="F36" i="36"/>
  <c r="T41" i="35"/>
  <c r="V40" i="35"/>
  <c r="AG40" i="35"/>
  <c r="AE41" i="35"/>
  <c r="AQ39" i="35"/>
  <c r="AR39" i="35"/>
  <c r="AS39" i="35" s="1"/>
  <c r="K34" i="36"/>
  <c r="S19" i="34" s="1"/>
  <c r="Q19" i="34"/>
  <c r="S41" i="35"/>
  <c r="U40" i="35"/>
  <c r="M24" i="34" s="1"/>
  <c r="W39" i="35"/>
  <c r="X39" i="35" s="1"/>
  <c r="O23" i="34" s="1"/>
  <c r="N23" i="34"/>
  <c r="AH39" i="35"/>
  <c r="AI39" i="35"/>
  <c r="AJ39" i="35" s="1"/>
  <c r="AO40" i="35"/>
  <c r="AM41" i="35"/>
  <c r="AF40" i="35"/>
  <c r="AD41" i="35"/>
  <c r="I41" i="35"/>
  <c r="K40" i="35"/>
  <c r="I563" i="22"/>
  <c r="F49" i="20"/>
  <c r="F49" i="33"/>
  <c r="E49" i="33"/>
  <c r="M49" i="33" s="1"/>
  <c r="E49" i="20"/>
  <c r="M49" i="20" s="1"/>
  <c r="AE25" i="36"/>
  <c r="AG25" i="36" s="1"/>
  <c r="AH25" i="36" s="1"/>
  <c r="AJ25" i="36" s="1"/>
  <c r="K10" i="34" s="1"/>
  <c r="V9" i="34"/>
  <c r="I9" i="34"/>
  <c r="Z9" i="34"/>
  <c r="U9" i="34"/>
  <c r="W9" i="34"/>
  <c r="S28" i="36"/>
  <c r="U27" i="36"/>
  <c r="X26" i="36"/>
  <c r="AA26" i="36" s="1"/>
  <c r="AB26" i="36" s="1"/>
  <c r="AD28" i="36"/>
  <c r="AT39" i="35" l="1"/>
  <c r="N24" i="34"/>
  <c r="W40" i="35"/>
  <c r="X40" i="35" s="1"/>
  <c r="O24" i="34" s="1"/>
  <c r="AP41" i="35"/>
  <c r="AN42" i="35"/>
  <c r="AO41" i="35"/>
  <c r="AM42" i="35"/>
  <c r="S42" i="35"/>
  <c r="U41" i="35"/>
  <c r="M25" i="34" s="1"/>
  <c r="V41" i="35"/>
  <c r="T42" i="35"/>
  <c r="AR40" i="35"/>
  <c r="AS40" i="35" s="1"/>
  <c r="AQ40" i="35"/>
  <c r="K41" i="35"/>
  <c r="I42" i="35"/>
  <c r="AG41" i="35"/>
  <c r="AE42" i="35"/>
  <c r="H36" i="36"/>
  <c r="F37" i="36"/>
  <c r="AF41" i="35"/>
  <c r="AD42" i="35"/>
  <c r="AI40" i="35"/>
  <c r="AJ40" i="35" s="1"/>
  <c r="AH40" i="35"/>
  <c r="K35" i="36"/>
  <c r="S20" i="34" s="1"/>
  <c r="Q20" i="34"/>
  <c r="H42" i="35"/>
  <c r="J41" i="35"/>
  <c r="I564" i="22"/>
  <c r="F50" i="20"/>
  <c r="F50" i="33"/>
  <c r="E50" i="33"/>
  <c r="M50" i="33" s="1"/>
  <c r="E50" i="20"/>
  <c r="M50" i="20" s="1"/>
  <c r="W10" i="34"/>
  <c r="V10" i="34"/>
  <c r="I10" i="34"/>
  <c r="Z10" i="34"/>
  <c r="U10" i="34"/>
  <c r="AE26" i="36"/>
  <c r="AG26" i="36" s="1"/>
  <c r="AH26" i="36" s="1"/>
  <c r="AJ26" i="36" s="1"/>
  <c r="K11" i="34" s="1"/>
  <c r="X27" i="36"/>
  <c r="AA27" i="36" s="1"/>
  <c r="AB27" i="36" s="1"/>
  <c r="AD29" i="36"/>
  <c r="S29" i="36"/>
  <c r="U28" i="36"/>
  <c r="AI41" i="35" l="1"/>
  <c r="AJ41" i="35" s="1"/>
  <c r="AH41" i="35"/>
  <c r="S43" i="35"/>
  <c r="U42" i="35"/>
  <c r="M26" i="34" s="1"/>
  <c r="AQ41" i="35"/>
  <c r="AR41" i="35"/>
  <c r="AS41" i="35" s="1"/>
  <c r="AT40" i="35"/>
  <c r="F38" i="36"/>
  <c r="H37" i="36"/>
  <c r="K42" i="35"/>
  <c r="I43" i="35"/>
  <c r="V42" i="35"/>
  <c r="T43" i="35"/>
  <c r="AO42" i="35"/>
  <c r="AM43" i="35"/>
  <c r="K36" i="36"/>
  <c r="S21" i="34" s="1"/>
  <c r="Q21" i="34"/>
  <c r="W41" i="35"/>
  <c r="X41" i="35" s="1"/>
  <c r="O25" i="34" s="1"/>
  <c r="N25" i="34"/>
  <c r="H43" i="35"/>
  <c r="J42" i="35"/>
  <c r="AF42" i="35"/>
  <c r="AD43" i="35"/>
  <c r="AG42" i="35"/>
  <c r="AE43" i="35"/>
  <c r="AP42" i="35"/>
  <c r="AN43" i="35"/>
  <c r="I565" i="22"/>
  <c r="F51" i="33"/>
  <c r="F51" i="20"/>
  <c r="E51" i="20"/>
  <c r="M51" i="20" s="1"/>
  <c r="E51" i="33"/>
  <c r="M51" i="33" s="1"/>
  <c r="AE27" i="36"/>
  <c r="AG27" i="36" s="1"/>
  <c r="AH27" i="36" s="1"/>
  <c r="AJ27" i="36" s="1"/>
  <c r="K12" i="34" s="1"/>
  <c r="V11" i="34"/>
  <c r="I11" i="34"/>
  <c r="Z11" i="34"/>
  <c r="U11" i="34"/>
  <c r="W11" i="34"/>
  <c r="AD30" i="36"/>
  <c r="X28" i="36"/>
  <c r="AA28" i="36" s="1"/>
  <c r="AB28" i="36" s="1"/>
  <c r="S30" i="36"/>
  <c r="U29" i="36"/>
  <c r="AG43" i="35" l="1"/>
  <c r="AE44" i="35"/>
  <c r="AP43" i="35"/>
  <c r="AN44" i="35"/>
  <c r="AF43" i="35"/>
  <c r="AD44" i="35"/>
  <c r="W42" i="35"/>
  <c r="X42" i="35" s="1"/>
  <c r="O26" i="34" s="1"/>
  <c r="N26" i="34"/>
  <c r="H38" i="36"/>
  <c r="F39" i="36"/>
  <c r="AQ42" i="35"/>
  <c r="AR42" i="35"/>
  <c r="AS42" i="35" s="1"/>
  <c r="AO43" i="35"/>
  <c r="AM44" i="35"/>
  <c r="K43" i="35"/>
  <c r="I44" i="35"/>
  <c r="S44" i="35"/>
  <c r="U43" i="35"/>
  <c r="M27" i="34" s="1"/>
  <c r="AT41" i="35"/>
  <c r="AH42" i="35"/>
  <c r="AI42" i="35"/>
  <c r="AJ42" i="35" s="1"/>
  <c r="H44" i="35"/>
  <c r="J43" i="35"/>
  <c r="V43" i="35"/>
  <c r="T44" i="35"/>
  <c r="K37" i="36"/>
  <c r="S22" i="34" s="1"/>
  <c r="Q22" i="34"/>
  <c r="I566" i="22"/>
  <c r="F52" i="33"/>
  <c r="F52" i="20"/>
  <c r="E52" i="33"/>
  <c r="M52" i="33" s="1"/>
  <c r="E52" i="20"/>
  <c r="M52" i="20" s="1"/>
  <c r="W12" i="34"/>
  <c r="V12" i="34"/>
  <c r="I12" i="34"/>
  <c r="U12" i="34"/>
  <c r="Z12" i="34"/>
  <c r="AE28" i="36"/>
  <c r="AG28" i="36" s="1"/>
  <c r="AH28" i="36" s="1"/>
  <c r="AJ28" i="36" s="1"/>
  <c r="K13" i="34" s="1"/>
  <c r="X29" i="36"/>
  <c r="AA29" i="36" s="1"/>
  <c r="AB29" i="36" s="1"/>
  <c r="S31" i="36"/>
  <c r="U30" i="36"/>
  <c r="AD31" i="36"/>
  <c r="AT42" i="35" l="1"/>
  <c r="AP44" i="35"/>
  <c r="AN45" i="35"/>
  <c r="H45" i="35"/>
  <c r="J44" i="35"/>
  <c r="AO44" i="35"/>
  <c r="AM45" i="35"/>
  <c r="F40" i="36"/>
  <c r="H39" i="36"/>
  <c r="AQ43" i="35"/>
  <c r="AR43" i="35"/>
  <c r="AS43" i="35" s="1"/>
  <c r="V44" i="35"/>
  <c r="T45" i="35"/>
  <c r="S45" i="35"/>
  <c r="U44" i="35"/>
  <c r="M28" i="34" s="1"/>
  <c r="K38" i="36"/>
  <c r="S23" i="34" s="1"/>
  <c r="Q23" i="34"/>
  <c r="AF44" i="35"/>
  <c r="AD45" i="35"/>
  <c r="AG44" i="35"/>
  <c r="AE45" i="35"/>
  <c r="W43" i="35"/>
  <c r="X43" i="35" s="1"/>
  <c r="O27" i="34" s="1"/>
  <c r="N27" i="34"/>
  <c r="I45" i="35"/>
  <c r="K44" i="35"/>
  <c r="AI43" i="35"/>
  <c r="AJ43" i="35" s="1"/>
  <c r="AH43" i="35"/>
  <c r="I567" i="22"/>
  <c r="F53" i="20"/>
  <c r="F53" i="33"/>
  <c r="E53" i="33"/>
  <c r="M53" i="33" s="1"/>
  <c r="E53" i="20"/>
  <c r="M53" i="20" s="1"/>
  <c r="AE29" i="36"/>
  <c r="AG29" i="36" s="1"/>
  <c r="AH29" i="36" s="1"/>
  <c r="AJ29" i="36" s="1"/>
  <c r="K14" i="34" s="1"/>
  <c r="W13" i="34"/>
  <c r="Z13" i="34"/>
  <c r="V13" i="34"/>
  <c r="I13" i="34"/>
  <c r="U13" i="34"/>
  <c r="X30" i="36"/>
  <c r="AA30" i="36" s="1"/>
  <c r="AB30" i="36" s="1"/>
  <c r="S32" i="36"/>
  <c r="U31" i="36"/>
  <c r="AD32" i="36"/>
  <c r="I46" i="35" l="1"/>
  <c r="K45" i="35"/>
  <c r="AG45" i="35"/>
  <c r="AE46" i="35"/>
  <c r="V45" i="35"/>
  <c r="T46" i="35"/>
  <c r="K39" i="36"/>
  <c r="S24" i="34" s="1"/>
  <c r="Q24" i="34"/>
  <c r="AT43" i="35"/>
  <c r="AI44" i="35"/>
  <c r="AJ44" i="35" s="1"/>
  <c r="AH44" i="35"/>
  <c r="N28" i="34"/>
  <c r="W44" i="35"/>
  <c r="X44" i="35" s="1"/>
  <c r="O28" i="34" s="1"/>
  <c r="F41" i="36"/>
  <c r="H40" i="36"/>
  <c r="J45" i="35"/>
  <c r="H46" i="35"/>
  <c r="AF45" i="35"/>
  <c r="AD46" i="35"/>
  <c r="AO45" i="35"/>
  <c r="AM46" i="35"/>
  <c r="AP45" i="35"/>
  <c r="AN46" i="35"/>
  <c r="U45" i="35"/>
  <c r="M29" i="34" s="1"/>
  <c r="S46" i="35"/>
  <c r="AR44" i="35"/>
  <c r="AS44" i="35" s="1"/>
  <c r="AQ44" i="35"/>
  <c r="I568" i="22"/>
  <c r="F54" i="20"/>
  <c r="F54" i="33"/>
  <c r="E54" i="33"/>
  <c r="M54" i="33" s="1"/>
  <c r="E54" i="20"/>
  <c r="M54" i="20" s="1"/>
  <c r="AE30" i="36"/>
  <c r="AG30" i="36" s="1"/>
  <c r="AH30" i="36" s="1"/>
  <c r="AJ30" i="36" s="1"/>
  <c r="K15" i="34" s="1"/>
  <c r="W14" i="34"/>
  <c r="V14" i="34"/>
  <c r="I14" i="34"/>
  <c r="Z14" i="34"/>
  <c r="U14" i="34"/>
  <c r="X31" i="36"/>
  <c r="AA31" i="36" s="1"/>
  <c r="AB31" i="36" s="1"/>
  <c r="S33" i="36"/>
  <c r="U32" i="36"/>
  <c r="AD33" i="36"/>
  <c r="AP46" i="35" l="1"/>
  <c r="AN47" i="35"/>
  <c r="AF46" i="35"/>
  <c r="AD47" i="35"/>
  <c r="K40" i="36"/>
  <c r="S25" i="34" s="1"/>
  <c r="Q25" i="34"/>
  <c r="AG46" i="35"/>
  <c r="AE47" i="35"/>
  <c r="AQ45" i="35"/>
  <c r="AR45" i="35"/>
  <c r="AS45" i="35" s="1"/>
  <c r="F42" i="36"/>
  <c r="H41" i="36"/>
  <c r="AT44" i="35"/>
  <c r="AH45" i="35"/>
  <c r="AI45" i="35"/>
  <c r="AJ45" i="35" s="1"/>
  <c r="S47" i="35"/>
  <c r="U46" i="35"/>
  <c r="M30" i="34" s="1"/>
  <c r="AO46" i="35"/>
  <c r="AM47" i="35"/>
  <c r="J46" i="35"/>
  <c r="H47" i="35"/>
  <c r="T47" i="35"/>
  <c r="V46" i="35"/>
  <c r="W45" i="35"/>
  <c r="X45" i="35" s="1"/>
  <c r="O29" i="34" s="1"/>
  <c r="N29" i="34"/>
  <c r="I47" i="35"/>
  <c r="K46" i="35"/>
  <c r="I569" i="22"/>
  <c r="F55" i="33"/>
  <c r="F55" i="20"/>
  <c r="E55" i="20"/>
  <c r="M55" i="20" s="1"/>
  <c r="E55" i="33"/>
  <c r="M55" i="33" s="1"/>
  <c r="W15" i="34"/>
  <c r="V15" i="34"/>
  <c r="I15" i="34"/>
  <c r="Z15" i="34"/>
  <c r="U15" i="34"/>
  <c r="AE31" i="36"/>
  <c r="AG31" i="36" s="1"/>
  <c r="AH31" i="36" s="1"/>
  <c r="AJ31" i="36" s="1"/>
  <c r="K16" i="34" s="1"/>
  <c r="AD34" i="36"/>
  <c r="X32" i="36"/>
  <c r="AA32" i="36" s="1"/>
  <c r="AB32" i="36" s="1"/>
  <c r="S34" i="36"/>
  <c r="U33" i="36"/>
  <c r="S48" i="35" l="1"/>
  <c r="U47" i="35"/>
  <c r="M31" i="34" s="1"/>
  <c r="K41" i="36"/>
  <c r="S26" i="34" s="1"/>
  <c r="Q26" i="34"/>
  <c r="AG47" i="35"/>
  <c r="AE48" i="35"/>
  <c r="AF47" i="35"/>
  <c r="AD48" i="35"/>
  <c r="I48" i="35"/>
  <c r="K47" i="35"/>
  <c r="N30" i="34"/>
  <c r="W46" i="35"/>
  <c r="X46" i="35" s="1"/>
  <c r="O30" i="34" s="1"/>
  <c r="AO47" i="35"/>
  <c r="AM48" i="35"/>
  <c r="H42" i="36"/>
  <c r="F43" i="36"/>
  <c r="AI46" i="35"/>
  <c r="AJ46" i="35" s="1"/>
  <c r="AH46" i="35"/>
  <c r="V47" i="35"/>
  <c r="T48" i="35"/>
  <c r="AT45" i="35"/>
  <c r="AP47" i="35"/>
  <c r="AN48" i="35"/>
  <c r="J47" i="35"/>
  <c r="H48" i="35"/>
  <c r="AQ46" i="35"/>
  <c r="AR46" i="35"/>
  <c r="AS46" i="35" s="1"/>
  <c r="I570" i="22"/>
  <c r="F56" i="20"/>
  <c r="F56" i="33"/>
  <c r="E56" i="33"/>
  <c r="M56" i="33" s="1"/>
  <c r="E56" i="20"/>
  <c r="M56" i="20" s="1"/>
  <c r="AE32" i="36"/>
  <c r="AG32" i="36" s="1"/>
  <c r="AH32" i="36" s="1"/>
  <c r="AJ32" i="36" s="1"/>
  <c r="K17" i="34" s="1"/>
  <c r="W16" i="34"/>
  <c r="V16" i="34"/>
  <c r="I16" i="34"/>
  <c r="Z16" i="34"/>
  <c r="U16" i="34"/>
  <c r="X33" i="36"/>
  <c r="AA33" i="36" s="1"/>
  <c r="AB33" i="36" s="1"/>
  <c r="S35" i="36"/>
  <c r="U34" i="36"/>
  <c r="AD35" i="36"/>
  <c r="AP48" i="35" l="1"/>
  <c r="AN49" i="35"/>
  <c r="AP49" i="35" s="1"/>
  <c r="AR49" i="35" s="1"/>
  <c r="AS49" i="35" s="1"/>
  <c r="N31" i="34"/>
  <c r="W47" i="35"/>
  <c r="X47" i="35" s="1"/>
  <c r="O31" i="34" s="1"/>
  <c r="K42" i="36"/>
  <c r="S27" i="34" s="1"/>
  <c r="Q27" i="34"/>
  <c r="AF48" i="35"/>
  <c r="AD49" i="35"/>
  <c r="AF49" i="35" s="1"/>
  <c r="AQ47" i="35"/>
  <c r="AR47" i="35"/>
  <c r="AS47" i="35" s="1"/>
  <c r="AT46" i="35"/>
  <c r="AO48" i="35"/>
  <c r="AM49" i="35"/>
  <c r="AO49" i="35" s="1"/>
  <c r="AG48" i="35"/>
  <c r="AE49" i="35"/>
  <c r="AG49" i="35" s="1"/>
  <c r="H49" i="35"/>
  <c r="J49" i="35" s="1"/>
  <c r="J48" i="35"/>
  <c r="T49" i="35"/>
  <c r="V49" i="35" s="1"/>
  <c r="V48" i="35"/>
  <c r="H43" i="36"/>
  <c r="F44" i="36"/>
  <c r="K48" i="35"/>
  <c r="I49" i="35"/>
  <c r="K49" i="35" s="1"/>
  <c r="AI47" i="35"/>
  <c r="AJ47" i="35" s="1"/>
  <c r="AH47" i="35"/>
  <c r="U48" i="35"/>
  <c r="M32" i="34" s="1"/>
  <c r="S49" i="35"/>
  <c r="U49" i="35" s="1"/>
  <c r="M33" i="34" s="1"/>
  <c r="I571" i="22"/>
  <c r="I201" i="22"/>
  <c r="F57" i="20"/>
  <c r="F57" i="33"/>
  <c r="E57" i="33"/>
  <c r="M57" i="33" s="1"/>
  <c r="E57" i="20"/>
  <c r="M57" i="20" s="1"/>
  <c r="AE33" i="36"/>
  <c r="AG33" i="36" s="1"/>
  <c r="AH33" i="36" s="1"/>
  <c r="AJ33" i="36" s="1"/>
  <c r="K18" i="34" s="1"/>
  <c r="W17" i="34"/>
  <c r="V17" i="34"/>
  <c r="I17" i="34"/>
  <c r="Z17" i="34"/>
  <c r="U17" i="34"/>
  <c r="X34" i="36"/>
  <c r="AA34" i="36" s="1"/>
  <c r="AB34" i="36" s="1"/>
  <c r="S36" i="36"/>
  <c r="U35" i="36"/>
  <c r="AD36" i="36"/>
  <c r="AQ49" i="35" l="1"/>
  <c r="AT47" i="35"/>
  <c r="N32" i="34"/>
  <c r="W48" i="35"/>
  <c r="X48" i="35" s="1"/>
  <c r="O32" i="34" s="1"/>
  <c r="AH49" i="35"/>
  <c r="AI49" i="35"/>
  <c r="AJ49" i="35" s="1"/>
  <c r="N33" i="34"/>
  <c r="W49" i="35"/>
  <c r="X49" i="35" s="1"/>
  <c r="O33" i="34" s="1"/>
  <c r="AI48" i="35"/>
  <c r="AJ48" i="35" s="1"/>
  <c r="AH48" i="35"/>
  <c r="H44" i="36"/>
  <c r="F45" i="36"/>
  <c r="K43" i="36"/>
  <c r="S28" i="34" s="1"/>
  <c r="Q28" i="34"/>
  <c r="AR48" i="35"/>
  <c r="AS48" i="35" s="1"/>
  <c r="AQ48" i="35"/>
  <c r="I572" i="22"/>
  <c r="I202" i="22"/>
  <c r="F58" i="20"/>
  <c r="F58" i="33"/>
  <c r="E58" i="33"/>
  <c r="M58" i="33" s="1"/>
  <c r="E58" i="20"/>
  <c r="M58" i="20" s="1"/>
  <c r="AE34" i="36"/>
  <c r="AG34" i="36" s="1"/>
  <c r="AH34" i="36" s="1"/>
  <c r="AJ34" i="36" s="1"/>
  <c r="K19" i="34" s="1"/>
  <c r="W18" i="34"/>
  <c r="V18" i="34"/>
  <c r="I18" i="34"/>
  <c r="Z18" i="34"/>
  <c r="U18" i="34"/>
  <c r="X35" i="36"/>
  <c r="AA35" i="36" s="1"/>
  <c r="AB35" i="36" s="1"/>
  <c r="S37" i="36"/>
  <c r="U36" i="36"/>
  <c r="AD37" i="36"/>
  <c r="F46" i="36" l="1"/>
  <c r="H45" i="36"/>
  <c r="AT49" i="35"/>
  <c r="K44" i="36"/>
  <c r="S29" i="34" s="1"/>
  <c r="Q29" i="34"/>
  <c r="AT48" i="35"/>
  <c r="I203" i="22"/>
  <c r="I573" i="22"/>
  <c r="F59" i="33"/>
  <c r="F59" i="20"/>
  <c r="E59" i="20"/>
  <c r="M59" i="20" s="1"/>
  <c r="E59" i="33"/>
  <c r="M59" i="33" s="1"/>
  <c r="AE35" i="36"/>
  <c r="AG35" i="36" s="1"/>
  <c r="AH35" i="36" s="1"/>
  <c r="AJ35" i="36" s="1"/>
  <c r="K20" i="34" s="1"/>
  <c r="W19" i="34"/>
  <c r="V19" i="34"/>
  <c r="I19" i="34"/>
  <c r="Z19" i="34"/>
  <c r="U19" i="34"/>
  <c r="X36" i="36"/>
  <c r="AA36" i="36" s="1"/>
  <c r="AB36" i="36" s="1"/>
  <c r="AD38" i="36"/>
  <c r="S38" i="36"/>
  <c r="U37" i="36"/>
  <c r="K45" i="36" l="1"/>
  <c r="S30" i="34" s="1"/>
  <c r="Q30" i="34"/>
  <c r="F47" i="36"/>
  <c r="H46" i="36"/>
  <c r="I204" i="22"/>
  <c r="I574" i="22"/>
  <c r="AE36" i="36"/>
  <c r="AG36" i="36" s="1"/>
  <c r="AH36" i="36" s="1"/>
  <c r="AJ36" i="36" s="1"/>
  <c r="K21" i="34" s="1"/>
  <c r="W20" i="34"/>
  <c r="V20" i="34"/>
  <c r="I20" i="34"/>
  <c r="Z20" i="34"/>
  <c r="U20" i="34"/>
  <c r="X37" i="36"/>
  <c r="AA37" i="36" s="1"/>
  <c r="AB37" i="36" s="1"/>
  <c r="AD39" i="36"/>
  <c r="S39" i="36"/>
  <c r="U38" i="36"/>
  <c r="K46" i="36" l="1"/>
  <c r="S31" i="34" s="1"/>
  <c r="Q31" i="34"/>
  <c r="H47" i="36"/>
  <c r="F48" i="36"/>
  <c r="H48" i="36" s="1"/>
  <c r="AE37" i="36"/>
  <c r="AG37" i="36" s="1"/>
  <c r="AH37" i="36" s="1"/>
  <c r="AJ37" i="36" s="1"/>
  <c r="K22" i="34" s="1"/>
  <c r="W21" i="34"/>
  <c r="V21" i="34"/>
  <c r="I21" i="34"/>
  <c r="Z21" i="34"/>
  <c r="U21" i="34"/>
  <c r="AD40" i="36"/>
  <c r="X38" i="36"/>
  <c r="AA38" i="36" s="1"/>
  <c r="AB38" i="36" s="1"/>
  <c r="S40" i="36"/>
  <c r="U39" i="36"/>
  <c r="K48" i="36" l="1"/>
  <c r="S33" i="34" s="1"/>
  <c r="Q33" i="34"/>
  <c r="K47" i="36"/>
  <c r="S32" i="34" s="1"/>
  <c r="Q32" i="34"/>
  <c r="AE38" i="36"/>
  <c r="AG38" i="36" s="1"/>
  <c r="AH38" i="36" s="1"/>
  <c r="AJ38" i="36" s="1"/>
  <c r="K23" i="34" s="1"/>
  <c r="W22" i="34"/>
  <c r="V22" i="34"/>
  <c r="I22" i="34"/>
  <c r="Z22" i="34"/>
  <c r="U22" i="34"/>
  <c r="X39" i="36"/>
  <c r="AA39" i="36" s="1"/>
  <c r="AB39" i="36" s="1"/>
  <c r="S41" i="36"/>
  <c r="U40" i="36"/>
  <c r="AD41" i="36"/>
  <c r="AE39" i="36" l="1"/>
  <c r="AG39" i="36" s="1"/>
  <c r="AH39" i="36" s="1"/>
  <c r="AJ39" i="36" s="1"/>
  <c r="K24" i="34" s="1"/>
  <c r="W23" i="34"/>
  <c r="V23" i="34"/>
  <c r="I23" i="34"/>
  <c r="Z23" i="34"/>
  <c r="U23" i="34"/>
  <c r="X40" i="36"/>
  <c r="AA40" i="36" s="1"/>
  <c r="AB40" i="36" s="1"/>
  <c r="S42" i="36"/>
  <c r="U41" i="36"/>
  <c r="AD42" i="36"/>
  <c r="AE40" i="36" l="1"/>
  <c r="AG40" i="36" s="1"/>
  <c r="AH40" i="36" s="1"/>
  <c r="AJ40" i="36" s="1"/>
  <c r="K25" i="34" s="1"/>
  <c r="W24" i="34"/>
  <c r="V24" i="34"/>
  <c r="I24" i="34"/>
  <c r="Z24" i="34"/>
  <c r="U24" i="34"/>
  <c r="X41" i="36"/>
  <c r="AA41" i="36" s="1"/>
  <c r="AB41" i="36" s="1"/>
  <c r="S43" i="36"/>
  <c r="U42" i="36"/>
  <c r="AD43" i="36"/>
  <c r="AE41" i="36" l="1"/>
  <c r="AG41" i="36" s="1"/>
  <c r="AH41" i="36" s="1"/>
  <c r="AJ41" i="36" s="1"/>
  <c r="K26" i="34" s="1"/>
  <c r="W25" i="34"/>
  <c r="V25" i="34"/>
  <c r="I25" i="34"/>
  <c r="Z25" i="34"/>
  <c r="U25" i="34"/>
  <c r="X42" i="36"/>
  <c r="AA42" i="36" s="1"/>
  <c r="AB42" i="36" s="1"/>
  <c r="S44" i="36"/>
  <c r="U43" i="36"/>
  <c r="AD44" i="36"/>
  <c r="AE42" i="36" l="1"/>
  <c r="AG42" i="36" s="1"/>
  <c r="AH42" i="36" s="1"/>
  <c r="AJ42" i="36" s="1"/>
  <c r="K27" i="34" s="1"/>
  <c r="W26" i="34"/>
  <c r="V26" i="34"/>
  <c r="I26" i="34"/>
  <c r="Z26" i="34"/>
  <c r="U26" i="34"/>
  <c r="AD45" i="36"/>
  <c r="X43" i="36"/>
  <c r="AA43" i="36" s="1"/>
  <c r="AB43" i="36" s="1"/>
  <c r="S45" i="36"/>
  <c r="U44" i="36"/>
  <c r="W27" i="34" l="1"/>
  <c r="V27" i="34"/>
  <c r="I27" i="34"/>
  <c r="Z27" i="34"/>
  <c r="U27" i="34"/>
  <c r="AE43" i="36"/>
  <c r="AG43" i="36" s="1"/>
  <c r="AH43" i="36" s="1"/>
  <c r="AJ43" i="36" s="1"/>
  <c r="K28" i="34" s="1"/>
  <c r="X44" i="36"/>
  <c r="AA44" i="36" s="1"/>
  <c r="AB44" i="36" s="1"/>
  <c r="S46" i="36"/>
  <c r="U45" i="36"/>
  <c r="AD46" i="36"/>
  <c r="AE44" i="36" l="1"/>
  <c r="AG44" i="36" s="1"/>
  <c r="AH44" i="36" s="1"/>
  <c r="AJ44" i="36" s="1"/>
  <c r="K29" i="34" s="1"/>
  <c r="W28" i="34"/>
  <c r="V28" i="34"/>
  <c r="I28" i="34"/>
  <c r="Z28" i="34"/>
  <c r="U28" i="34"/>
  <c r="X45" i="36"/>
  <c r="AA45" i="36" s="1"/>
  <c r="AB45" i="36" s="1"/>
  <c r="S47" i="36"/>
  <c r="U46" i="36"/>
  <c r="AD47" i="36"/>
  <c r="AE45" i="36" l="1"/>
  <c r="AG45" i="36" s="1"/>
  <c r="AH45" i="36" s="1"/>
  <c r="AJ45" i="36" s="1"/>
  <c r="K30" i="34" s="1"/>
  <c r="W29" i="34"/>
  <c r="V29" i="34"/>
  <c r="I29" i="34"/>
  <c r="Z29" i="34"/>
  <c r="U29" i="34"/>
  <c r="X46" i="36"/>
  <c r="AA46" i="36" s="1"/>
  <c r="AB46" i="36" s="1"/>
  <c r="S48" i="36"/>
  <c r="U48" i="36" s="1"/>
  <c r="U47" i="36"/>
  <c r="AD48" i="36"/>
  <c r="AE46" i="36" l="1"/>
  <c r="AG46" i="36" s="1"/>
  <c r="AH46" i="36" s="1"/>
  <c r="AJ46" i="36" s="1"/>
  <c r="K31" i="34" s="1"/>
  <c r="W30" i="34"/>
  <c r="V30" i="34"/>
  <c r="I30" i="34"/>
  <c r="Z30" i="34"/>
  <c r="U30" i="34"/>
  <c r="X47" i="36"/>
  <c r="AA47" i="36" s="1"/>
  <c r="AB47" i="36" s="1"/>
  <c r="X48" i="36"/>
  <c r="AA48" i="36" s="1"/>
  <c r="AB48" i="36" s="1"/>
  <c r="AE47" i="36" l="1"/>
  <c r="AG47" i="36" s="1"/>
  <c r="AH47" i="36" s="1"/>
  <c r="AJ47" i="36" s="1"/>
  <c r="K32" i="34" s="1"/>
  <c r="AE48" i="36"/>
  <c r="AG48" i="36" s="1"/>
  <c r="AH48" i="36" s="1"/>
  <c r="AJ48" i="36" s="1"/>
  <c r="K33" i="34" s="1"/>
  <c r="W31" i="34"/>
  <c r="V31" i="34"/>
  <c r="I31" i="34"/>
  <c r="Z31" i="34"/>
  <c r="U31" i="34"/>
  <c r="W33" i="34" l="1"/>
  <c r="V33" i="34"/>
  <c r="I33" i="34"/>
  <c r="Z33" i="34"/>
  <c r="U33" i="34"/>
  <c r="W32" i="34"/>
  <c r="V32" i="34"/>
  <c r="I32" i="34"/>
  <c r="Z32" i="34"/>
  <c r="U32" i="34"/>
  <c r="D42" i="3" l="1"/>
  <c r="D41" i="3"/>
  <c r="D40" i="3"/>
  <c r="D39" i="3"/>
  <c r="D38" i="3"/>
  <c r="D35" i="3"/>
  <c r="D34" i="3"/>
  <c r="G12" i="3"/>
  <c r="F12" i="3"/>
  <c r="E12" i="3"/>
  <c r="H4" i="3"/>
  <c r="E4" i="3"/>
  <c r="C4" i="3"/>
  <c r="H3" i="3"/>
  <c r="E3" i="3"/>
  <c r="C3" i="3"/>
  <c r="E33" i="3"/>
  <c r="D13" i="3" l="1"/>
  <c r="D36" i="3"/>
  <c r="A29" i="11"/>
  <c r="A24" i="27"/>
  <c r="A18" i="27"/>
  <c r="A23" i="27"/>
  <c r="A28" i="11"/>
  <c r="D37" i="3"/>
  <c r="A30" i="11"/>
  <c r="A25" i="27"/>
  <c r="A27" i="27"/>
  <c r="A32" i="11"/>
  <c r="F29" i="3"/>
  <c r="F13" i="3"/>
  <c r="F21" i="3"/>
  <c r="F18" i="3"/>
  <c r="F26" i="3"/>
  <c r="F17" i="3"/>
  <c r="F25" i="3"/>
  <c r="F14" i="3"/>
  <c r="F22" i="3"/>
  <c r="F30" i="3"/>
  <c r="F16" i="3"/>
  <c r="F20" i="3"/>
  <c r="F24" i="3"/>
  <c r="F28" i="3"/>
  <c r="F15" i="3"/>
  <c r="F19" i="3"/>
  <c r="F23" i="3"/>
  <c r="F27" i="3"/>
  <c r="G13" i="3"/>
  <c r="G22" i="3"/>
  <c r="G24" i="3"/>
  <c r="E31" i="3"/>
  <c r="E35" i="3"/>
  <c r="E37" i="3"/>
  <c r="E40" i="3"/>
  <c r="G14" i="3"/>
  <c r="G16" i="3"/>
  <c r="G19" i="3"/>
  <c r="G20" i="3"/>
  <c r="G23" i="3"/>
  <c r="G26" i="3"/>
  <c r="G28" i="3"/>
  <c r="G29" i="3"/>
  <c r="G42" i="3"/>
  <c r="G41" i="3"/>
  <c r="G40" i="3"/>
  <c r="G39" i="3"/>
  <c r="G38" i="3"/>
  <c r="G37" i="3"/>
  <c r="G36" i="3"/>
  <c r="G35" i="3"/>
  <c r="G34" i="3"/>
  <c r="G33" i="3"/>
  <c r="G32" i="3"/>
  <c r="G31" i="3"/>
  <c r="F42" i="3"/>
  <c r="F41" i="3"/>
  <c r="F40" i="3"/>
  <c r="F39" i="3"/>
  <c r="F38" i="3"/>
  <c r="F37" i="3"/>
  <c r="F36" i="3"/>
  <c r="F35" i="3"/>
  <c r="F34" i="3"/>
  <c r="F33" i="3"/>
  <c r="F32" i="3"/>
  <c r="F31" i="3"/>
  <c r="G15" i="3"/>
  <c r="G17" i="3"/>
  <c r="G18" i="3"/>
  <c r="G21" i="3"/>
  <c r="G25" i="3"/>
  <c r="G27" i="3"/>
  <c r="G30" i="3"/>
  <c r="E32" i="3"/>
  <c r="E34" i="3"/>
  <c r="E36" i="3"/>
  <c r="E38" i="3"/>
  <c r="E39" i="3"/>
  <c r="E41" i="3"/>
  <c r="E4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A6" i="26"/>
  <c r="A13" i="26" l="1"/>
  <c r="A15" i="26"/>
  <c r="A12" i="26"/>
  <c r="A14" i="26"/>
  <c r="A8" i="26"/>
  <c r="A17" i="26" s="1"/>
  <c r="A30" i="27"/>
  <c r="A35" i="11"/>
  <c r="A19" i="27"/>
  <c r="A22" i="27"/>
  <c r="A27" i="11"/>
  <c r="A33" i="11"/>
  <c r="A28" i="27"/>
  <c r="A17" i="27"/>
  <c r="A25" i="11"/>
  <c r="A20" i="27"/>
  <c r="A26" i="27"/>
  <c r="A31" i="11"/>
  <c r="A34" i="11"/>
  <c r="A29" i="27"/>
  <c r="A26" i="11"/>
  <c r="A21" i="27"/>
  <c r="A16" i="27"/>
  <c r="A10" i="26"/>
  <c r="A19" i="26" s="1"/>
  <c r="A11" i="26"/>
  <c r="A20" i="26" s="1"/>
  <c r="A9" i="26"/>
  <c r="A18" i="26" s="1"/>
  <c r="A7" i="26"/>
  <c r="A16" i="26" s="1"/>
  <c r="A6" i="27"/>
  <c r="A11" i="27" l="1"/>
  <c r="A8" i="27"/>
  <c r="A12" i="27"/>
  <c r="A7" i="27"/>
  <c r="A15" i="27"/>
  <c r="A9" i="27"/>
  <c r="A13" i="27"/>
  <c r="A10" i="27"/>
  <c r="A14" i="27"/>
  <c r="A6" i="11" l="1"/>
  <c r="A13" i="11" l="1"/>
  <c r="A9" i="11"/>
  <c r="A18" i="11" s="1"/>
  <c r="A12" i="11"/>
  <c r="A8" i="11"/>
  <c r="A17" i="11" s="1"/>
  <c r="A11" i="11"/>
  <c r="A20" i="11" s="1"/>
  <c r="A14" i="11"/>
  <c r="A15" i="11"/>
  <c r="A7" i="11"/>
  <c r="A16" i="11" s="1"/>
  <c r="A10" i="11"/>
  <c r="A19" i="11" s="1"/>
  <c r="A4" i="26" l="1"/>
  <c r="D30" i="27" l="1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9" i="11"/>
  <c r="D8" i="11"/>
  <c r="D7" i="11"/>
  <c r="D6" i="11"/>
  <c r="E27" i="27" l="1"/>
  <c r="E30" i="27"/>
  <c r="E28" i="27"/>
  <c r="E29" i="27"/>
  <c r="D9" i="27" l="1"/>
  <c r="D8" i="27"/>
  <c r="D7" i="27"/>
  <c r="D6" i="27"/>
  <c r="D9" i="26"/>
  <c r="D8" i="26"/>
  <c r="D7" i="26"/>
  <c r="D6" i="26"/>
  <c r="A4" i="11" l="1"/>
  <c r="D46" i="20" l="1"/>
  <c r="D86" i="20" s="1"/>
  <c r="K86" i="20" l="1"/>
  <c r="D191" i="22"/>
  <c r="F225" i="22" s="1"/>
  <c r="E50" i="22"/>
  <c r="I86" i="22" s="1"/>
  <c r="AK15" i="22"/>
  <c r="P86" i="22" s="1"/>
  <c r="D14" i="3"/>
  <c r="D47" i="20" l="1"/>
  <c r="D87" i="20" s="1"/>
  <c r="D48" i="20"/>
  <c r="D88" i="20" s="1"/>
  <c r="K88" i="20" s="1"/>
  <c r="E121" i="22"/>
  <c r="K87" i="20" l="1"/>
  <c r="D193" i="22"/>
  <c r="F227" i="22" s="1"/>
  <c r="D192" i="22"/>
  <c r="F226" i="22" s="1"/>
  <c r="D49" i="20"/>
  <c r="D89" i="20" s="1"/>
  <c r="K89" i="20" s="1"/>
  <c r="AK17" i="22"/>
  <c r="P88" i="22" s="1"/>
  <c r="E52" i="22"/>
  <c r="I88" i="22" s="1"/>
  <c r="E51" i="22"/>
  <c r="I87" i="22" s="1"/>
  <c r="AK16" i="22"/>
  <c r="P87" i="22" s="1"/>
  <c r="D16" i="3"/>
  <c r="D15" i="3"/>
  <c r="D194" i="22" l="1"/>
  <c r="F228" i="22" s="1"/>
  <c r="D50" i="20"/>
  <c r="D90" i="20" s="1"/>
  <c r="K90" i="20" s="1"/>
  <c r="E53" i="22"/>
  <c r="I89" i="22" s="1"/>
  <c r="AK18" i="22"/>
  <c r="P89" i="22" s="1"/>
  <c r="E122" i="22"/>
  <c r="E123" i="22"/>
  <c r="D17" i="3"/>
  <c r="D195" i="22" l="1"/>
  <c r="F229" i="22" s="1"/>
  <c r="D51" i="20"/>
  <c r="D91" i="20" s="1"/>
  <c r="K91" i="20" s="1"/>
  <c r="E54" i="22"/>
  <c r="I90" i="22" s="1"/>
  <c r="AK19" i="22"/>
  <c r="P90" i="22" s="1"/>
  <c r="G155" i="22"/>
  <c r="E124" i="22"/>
  <c r="D18" i="3"/>
  <c r="D196" i="22" l="1"/>
  <c r="F230" i="22" s="1"/>
  <c r="D52" i="20"/>
  <c r="D92" i="20" s="1"/>
  <c r="K92" i="20" s="1"/>
  <c r="E125" i="22"/>
  <c r="AK20" i="22"/>
  <c r="P91" i="22" s="1"/>
  <c r="E55" i="22"/>
  <c r="I91" i="22" s="1"/>
  <c r="H162" i="22"/>
  <c r="G156" i="22"/>
  <c r="H163" i="22" s="1"/>
  <c r="I169" i="22"/>
  <c r="D19" i="3"/>
  <c r="D197" i="22" l="1"/>
  <c r="F231" i="22" s="1"/>
  <c r="D53" i="20"/>
  <c r="D93" i="20" s="1"/>
  <c r="K93" i="20" s="1"/>
  <c r="AK21" i="22"/>
  <c r="P92" i="22" s="1"/>
  <c r="E56" i="22"/>
  <c r="I92" i="22" s="1"/>
  <c r="E126" i="22"/>
  <c r="D20" i="3"/>
  <c r="D198" i="22" l="1"/>
  <c r="F232" i="22" s="1"/>
  <c r="D54" i="20"/>
  <c r="D94" i="20" s="1"/>
  <c r="K94" i="20" s="1"/>
  <c r="E127" i="22"/>
  <c r="E57" i="22"/>
  <c r="I93" i="22" s="1"/>
  <c r="AK22" i="22"/>
  <c r="P93" i="22" s="1"/>
  <c r="D21" i="3"/>
  <c r="D199" i="22" l="1"/>
  <c r="F233" i="22" s="1"/>
  <c r="D55" i="20"/>
  <c r="D95" i="20" s="1"/>
  <c r="AK23" i="22"/>
  <c r="P94" i="22" s="1"/>
  <c r="E58" i="22"/>
  <c r="I94" i="22" s="1"/>
  <c r="E128" i="22"/>
  <c r="D22" i="3"/>
  <c r="K95" i="20" l="1"/>
  <c r="J85" i="20"/>
  <c r="J86" i="20" s="1"/>
  <c r="J87" i="20" s="1"/>
  <c r="J88" i="20" s="1"/>
  <c r="J89" i="20" s="1"/>
  <c r="J90" i="20" s="1"/>
  <c r="J91" i="20" s="1"/>
  <c r="J92" i="20" s="1"/>
  <c r="J93" i="20" s="1"/>
  <c r="J94" i="20" s="1"/>
  <c r="J95" i="20" s="1"/>
  <c r="J96" i="20" s="1"/>
  <c r="J97" i="20" s="1"/>
  <c r="J98" i="20" s="1"/>
  <c r="J99" i="20" s="1"/>
  <c r="I85" i="20"/>
  <c r="D200" i="22"/>
  <c r="F234" i="22" s="1"/>
  <c r="E129" i="22"/>
  <c r="AK24" i="22"/>
  <c r="P95" i="22" s="1"/>
  <c r="E59" i="22"/>
  <c r="I95" i="22" s="1"/>
  <c r="D23" i="3"/>
  <c r="I86" i="20" l="1"/>
  <c r="F85" i="20"/>
  <c r="L85" i="20" s="1"/>
  <c r="E18" i="23" s="1"/>
  <c r="E130" i="22"/>
  <c r="E60" i="22"/>
  <c r="I96" i="22" s="1"/>
  <c r="AK25" i="22"/>
  <c r="P96" i="22" s="1"/>
  <c r="D24" i="3"/>
  <c r="I87" i="20" l="1"/>
  <c r="F86" i="20"/>
  <c r="E61" i="22"/>
  <c r="I97" i="22" s="1"/>
  <c r="AK26" i="22"/>
  <c r="P97" i="22" s="1"/>
  <c r="E131" i="22"/>
  <c r="D25" i="3"/>
  <c r="I88" i="20" l="1"/>
  <c r="F87" i="20"/>
  <c r="E62" i="22"/>
  <c r="I98" i="22" s="1"/>
  <c r="AK27" i="22"/>
  <c r="P98" i="22" s="1"/>
  <c r="E132" i="22"/>
  <c r="D26" i="3"/>
  <c r="I89" i="20" l="1"/>
  <c r="F88" i="20"/>
  <c r="AK28" i="22"/>
  <c r="P99" i="22" s="1"/>
  <c r="E63" i="22"/>
  <c r="I99" i="22" s="1"/>
  <c r="E133" i="22"/>
  <c r="D27" i="3"/>
  <c r="I90" i="20" l="1"/>
  <c r="F89" i="20"/>
  <c r="E64" i="22"/>
  <c r="I100" i="22" s="1"/>
  <c r="AK29" i="22"/>
  <c r="P100" i="22" s="1"/>
  <c r="E134" i="22"/>
  <c r="D28" i="3"/>
  <c r="I91" i="20" l="1"/>
  <c r="F90" i="20"/>
  <c r="E65" i="22"/>
  <c r="I101" i="22" s="1"/>
  <c r="AK30" i="22"/>
  <c r="P101" i="22" s="1"/>
  <c r="E135" i="22"/>
  <c r="D29" i="3"/>
  <c r="I92" i="20" l="1"/>
  <c r="F91" i="20"/>
  <c r="E66" i="22"/>
  <c r="I102" i="22" s="1"/>
  <c r="AK31" i="22"/>
  <c r="P102" i="22" s="1"/>
  <c r="E136" i="22"/>
  <c r="D30" i="3"/>
  <c r="I93" i="20" l="1"/>
  <c r="F92" i="20"/>
  <c r="AK32" i="22"/>
  <c r="P103" i="22" s="1"/>
  <c r="E67" i="22"/>
  <c r="I103" i="22" s="1"/>
  <c r="E137" i="22"/>
  <c r="D31" i="3"/>
  <c r="I94" i="20" l="1"/>
  <c r="F93" i="20"/>
  <c r="AL51" i="22"/>
  <c r="AK33" i="22"/>
  <c r="P104" i="22" s="1"/>
  <c r="E68" i="22"/>
  <c r="I104" i="22" s="1"/>
  <c r="E138" i="22"/>
  <c r="D32" i="3"/>
  <c r="I95" i="20" l="1"/>
  <c r="F94" i="20"/>
  <c r="AL50" i="22"/>
  <c r="O7" i="20"/>
  <c r="E139" i="22"/>
  <c r="E69" i="22"/>
  <c r="I105" i="22" s="1"/>
  <c r="AK34" i="22"/>
  <c r="P105" i="22" s="1"/>
  <c r="AR6" i="22"/>
  <c r="D33" i="3"/>
  <c r="I96" i="20" l="1"/>
  <c r="F95" i="20"/>
  <c r="R138" i="22"/>
  <c r="Q7" i="20"/>
  <c r="AJ59" i="22" s="1"/>
  <c r="AJ55" i="22"/>
  <c r="X138" i="22"/>
  <c r="N50" i="20"/>
  <c r="N195" i="22" s="1"/>
  <c r="N45" i="20"/>
  <c r="N190" i="22" s="1"/>
  <c r="N54" i="20"/>
  <c r="N199" i="22" s="1"/>
  <c r="N49" i="20"/>
  <c r="N194" i="22" s="1"/>
  <c r="N51" i="20"/>
  <c r="N196" i="22" s="1"/>
  <c r="N46" i="20"/>
  <c r="N191" i="22" s="1"/>
  <c r="Q46" i="20"/>
  <c r="AC191" i="22" s="1"/>
  <c r="N52" i="20"/>
  <c r="N197" i="22" s="1"/>
  <c r="N48" i="20"/>
  <c r="N193" i="22" s="1"/>
  <c r="N47" i="20"/>
  <c r="N192" i="22" s="1"/>
  <c r="Q47" i="20"/>
  <c r="AC192" i="22" s="1"/>
  <c r="O45" i="20"/>
  <c r="S190" i="22" s="1"/>
  <c r="N53" i="20"/>
  <c r="N198" i="22" s="1"/>
  <c r="O54" i="20"/>
  <c r="S199" i="22" s="1"/>
  <c r="O47" i="20"/>
  <c r="S192" i="22" s="1"/>
  <c r="O48" i="20"/>
  <c r="S193" i="22" s="1"/>
  <c r="O50" i="20"/>
  <c r="S195" i="22" s="1"/>
  <c r="Q53" i="20"/>
  <c r="AC198" i="22" s="1"/>
  <c r="Q48" i="20"/>
  <c r="AC193" i="22" s="1"/>
  <c r="Q51" i="20"/>
  <c r="AC196" i="22" s="1"/>
  <c r="Q55" i="20"/>
  <c r="AC200" i="22" s="1"/>
  <c r="N55" i="20"/>
  <c r="O51" i="20"/>
  <c r="S196" i="22" s="1"/>
  <c r="O53" i="20"/>
  <c r="S198" i="22" s="1"/>
  <c r="Q49" i="20"/>
  <c r="AC194" i="22" s="1"/>
  <c r="Q50" i="20"/>
  <c r="AC195" i="22" s="1"/>
  <c r="O55" i="20"/>
  <c r="S200" i="22" s="1"/>
  <c r="Q54" i="20"/>
  <c r="AC199" i="22" s="1"/>
  <c r="O52" i="20"/>
  <c r="S197" i="22" s="1"/>
  <c r="O46" i="20"/>
  <c r="S191" i="22" s="1"/>
  <c r="O49" i="20"/>
  <c r="S194" i="22" s="1"/>
  <c r="Q52" i="20"/>
  <c r="AC197" i="22" s="1"/>
  <c r="P50" i="20"/>
  <c r="X195" i="22" s="1"/>
  <c r="Q45" i="20"/>
  <c r="AC190" i="22" s="1"/>
  <c r="P51" i="20"/>
  <c r="X196" i="22" s="1"/>
  <c r="P53" i="20"/>
  <c r="X198" i="22" s="1"/>
  <c r="P55" i="20"/>
  <c r="X200" i="22" s="1"/>
  <c r="P47" i="20"/>
  <c r="X192" i="22" s="1"/>
  <c r="P49" i="20"/>
  <c r="X194" i="22" s="1"/>
  <c r="P48" i="20"/>
  <c r="X193" i="22" s="1"/>
  <c r="P54" i="20"/>
  <c r="X199" i="22" s="1"/>
  <c r="P45" i="20"/>
  <c r="X190" i="22" s="1"/>
  <c r="P52" i="20"/>
  <c r="X197" i="22" s="1"/>
  <c r="P46" i="20"/>
  <c r="X191" i="22" s="1"/>
  <c r="R141" i="22"/>
  <c r="L141" i="22"/>
  <c r="X141" i="22"/>
  <c r="L120" i="22"/>
  <c r="X120" i="22"/>
  <c r="R120" i="22"/>
  <c r="AD120" i="22" s="1"/>
  <c r="R121" i="22"/>
  <c r="X121" i="22"/>
  <c r="L121" i="22"/>
  <c r="X123" i="22"/>
  <c r="L123" i="22"/>
  <c r="X122" i="22"/>
  <c r="R122" i="22"/>
  <c r="R123" i="22"/>
  <c r="L122" i="22"/>
  <c r="L124" i="22"/>
  <c r="X124" i="22"/>
  <c r="R124" i="22"/>
  <c r="AD124" i="22" s="1"/>
  <c r="L125" i="22"/>
  <c r="X125" i="22"/>
  <c r="R125" i="22"/>
  <c r="X126" i="22"/>
  <c r="L126" i="22"/>
  <c r="R126" i="22"/>
  <c r="L127" i="22"/>
  <c r="R127" i="22"/>
  <c r="X127" i="22"/>
  <c r="R128" i="22"/>
  <c r="L128" i="22"/>
  <c r="X128" i="22"/>
  <c r="X129" i="22"/>
  <c r="L129" i="22"/>
  <c r="R129" i="22"/>
  <c r="R130" i="22"/>
  <c r="X130" i="22"/>
  <c r="L130" i="22"/>
  <c r="R131" i="22"/>
  <c r="X131" i="22"/>
  <c r="L131" i="22"/>
  <c r="X132" i="22"/>
  <c r="L132" i="22"/>
  <c r="R132" i="22"/>
  <c r="AD132" i="22" s="1"/>
  <c r="L133" i="22"/>
  <c r="X133" i="22"/>
  <c r="R133" i="22"/>
  <c r="R134" i="22"/>
  <c r="X134" i="22"/>
  <c r="L134" i="22"/>
  <c r="L135" i="22"/>
  <c r="R135" i="22"/>
  <c r="X135" i="22"/>
  <c r="L136" i="22"/>
  <c r="R136" i="22"/>
  <c r="X136" i="22"/>
  <c r="X137" i="22"/>
  <c r="R137" i="22"/>
  <c r="L137" i="22"/>
  <c r="L138" i="22"/>
  <c r="AD138" i="22" s="1"/>
  <c r="E140" i="22"/>
  <c r="X139" i="22"/>
  <c r="L139" i="22"/>
  <c r="R139" i="22"/>
  <c r="AD139" i="22" s="1"/>
  <c r="I97" i="20" l="1"/>
  <c r="F96" i="20"/>
  <c r="R55" i="20"/>
  <c r="AH200" i="22" s="1"/>
  <c r="N200" i="22"/>
  <c r="B8" i="22"/>
  <c r="R49" i="20"/>
  <c r="AH194" i="22" s="1"/>
  <c r="R47" i="20"/>
  <c r="AH192" i="22" s="1"/>
  <c r="R54" i="20"/>
  <c r="AH199" i="22" s="1"/>
  <c r="R53" i="20"/>
  <c r="AH198" i="22" s="1"/>
  <c r="R48" i="20"/>
  <c r="AH193" i="22" s="1"/>
  <c r="R46" i="20"/>
  <c r="AH191" i="22" s="1"/>
  <c r="R45" i="20"/>
  <c r="AH190" i="22" s="1"/>
  <c r="AD121" i="22"/>
  <c r="R52" i="20"/>
  <c r="AH197" i="22" s="1"/>
  <c r="R51" i="20"/>
  <c r="AH196" i="22" s="1"/>
  <c r="R50" i="20"/>
  <c r="AH195" i="22" s="1"/>
  <c r="AD135" i="22"/>
  <c r="AD134" i="22"/>
  <c r="AD123" i="22"/>
  <c r="AD136" i="22"/>
  <c r="AD133" i="22"/>
  <c r="AD131" i="22"/>
  <c r="AD129" i="22"/>
  <c r="AD125" i="22"/>
  <c r="AD122" i="22"/>
  <c r="AD141" i="22"/>
  <c r="R140" i="22"/>
  <c r="L140" i="22"/>
  <c r="X140" i="22"/>
  <c r="AD130" i="22"/>
  <c r="AD127" i="22"/>
  <c r="AD137" i="22"/>
  <c r="AD128" i="22"/>
  <c r="AD126" i="22"/>
  <c r="I98" i="20" l="1"/>
  <c r="F97" i="20"/>
  <c r="AD140" i="22"/>
  <c r="I99" i="20" l="1"/>
  <c r="F99" i="20" s="1"/>
  <c r="F98" i="20"/>
  <c r="S51" i="20" l="1"/>
  <c r="I196" i="22"/>
  <c r="S55" i="20"/>
  <c r="I200" i="22"/>
  <c r="S45" i="20"/>
  <c r="I190" i="22"/>
  <c r="S54" i="20"/>
  <c r="I199" i="22"/>
  <c r="S47" i="20"/>
  <c r="I192" i="22"/>
  <c r="S52" i="20"/>
  <c r="I197" i="22"/>
  <c r="S49" i="20"/>
  <c r="I194" i="22"/>
  <c r="S46" i="20"/>
  <c r="I191" i="22"/>
  <c r="S48" i="20"/>
  <c r="I193" i="22"/>
  <c r="S53" i="20"/>
  <c r="I198" i="22"/>
  <c r="V52" i="20"/>
  <c r="V49" i="20"/>
  <c r="Y49" i="20"/>
  <c r="V55" i="20"/>
  <c r="V54" i="20"/>
  <c r="Y51" i="20"/>
  <c r="V51" i="20"/>
  <c r="V45" i="20"/>
  <c r="V46" i="20"/>
  <c r="Y48" i="20"/>
  <c r="V48" i="20"/>
  <c r="V47" i="20"/>
  <c r="Y47" i="20"/>
  <c r="Y53" i="20"/>
  <c r="V53" i="20"/>
  <c r="T53" i="20" l="1"/>
  <c r="AD232" i="22" s="1"/>
  <c r="AM198" i="22"/>
  <c r="T46" i="20"/>
  <c r="AD225" i="22" s="1"/>
  <c r="AM191" i="22"/>
  <c r="T52" i="20"/>
  <c r="AD231" i="22" s="1"/>
  <c r="AM197" i="22"/>
  <c r="T54" i="20"/>
  <c r="AD233" i="22" s="1"/>
  <c r="AM199" i="22"/>
  <c r="T55" i="20"/>
  <c r="AD234" i="22" s="1"/>
  <c r="AM200" i="22"/>
  <c r="S50" i="20"/>
  <c r="I195" i="22"/>
  <c r="T48" i="20"/>
  <c r="AD227" i="22" s="1"/>
  <c r="AM193" i="22"/>
  <c r="T49" i="20"/>
  <c r="AD228" i="22" s="1"/>
  <c r="AM194" i="22"/>
  <c r="T47" i="20"/>
  <c r="AD226" i="22" s="1"/>
  <c r="AM192" i="22"/>
  <c r="T45" i="20"/>
  <c r="AD224" i="22" s="1"/>
  <c r="AM190" i="22"/>
  <c r="T51" i="20"/>
  <c r="AD230" i="22" s="1"/>
  <c r="AM196" i="22"/>
  <c r="Y46" i="20"/>
  <c r="Y45" i="20"/>
  <c r="Y54" i="20"/>
  <c r="V50" i="20"/>
  <c r="Y55" i="20"/>
  <c r="Y52" i="20"/>
  <c r="T50" i="20" l="1"/>
  <c r="AD229" i="22" s="1"/>
  <c r="AM195" i="22"/>
  <c r="W50" i="20"/>
  <c r="X50" i="20" s="1"/>
  <c r="Y50" i="20"/>
  <c r="B3" i="20" s="1"/>
  <c r="C43" i="13" s="1"/>
  <c r="Y60" i="20"/>
  <c r="O64" i="20" l="1"/>
  <c r="J46" i="20"/>
  <c r="X225" i="22" s="1"/>
  <c r="J50" i="20"/>
  <c r="X229" i="22" s="1"/>
  <c r="J51" i="20"/>
  <c r="X230" i="22" s="1"/>
  <c r="J52" i="20"/>
  <c r="X231" i="22" s="1"/>
  <c r="J54" i="20"/>
  <c r="X233" i="22" s="1"/>
  <c r="I48" i="20"/>
  <c r="R227" i="22" s="1"/>
  <c r="I54" i="20"/>
  <c r="R233" i="22" s="1"/>
  <c r="I52" i="20"/>
  <c r="R231" i="22" s="1"/>
  <c r="I49" i="20"/>
  <c r="R228" i="22" s="1"/>
  <c r="I47" i="20"/>
  <c r="I53" i="20"/>
  <c r="I51" i="20"/>
  <c r="R230" i="22" s="1"/>
  <c r="I50" i="20"/>
  <c r="R229" i="22" s="1"/>
  <c r="I46" i="20"/>
  <c r="R225" i="22" s="1"/>
  <c r="I55" i="20"/>
  <c r="R234" i="22" s="1"/>
  <c r="I45" i="20"/>
  <c r="R224" i="22" s="1"/>
  <c r="W47" i="20"/>
  <c r="X48" i="20"/>
  <c r="W55" i="20"/>
  <c r="W52" i="20"/>
  <c r="W53" i="20"/>
  <c r="X53" i="20" s="1"/>
  <c r="X55" i="20"/>
  <c r="W45" i="20"/>
  <c r="X54" i="20"/>
  <c r="X47" i="20"/>
  <c r="W48" i="20"/>
  <c r="X52" i="20"/>
  <c r="W46" i="20"/>
  <c r="X46" i="20" s="1"/>
  <c r="W54" i="20"/>
  <c r="W49" i="20"/>
  <c r="X49" i="20" s="1"/>
  <c r="X51" i="20"/>
  <c r="W51" i="20"/>
  <c r="J53" i="20" l="1"/>
  <c r="X232" i="22" s="1"/>
  <c r="R232" i="22"/>
  <c r="J47" i="20"/>
  <c r="X226" i="22" s="1"/>
  <c r="R226" i="22"/>
  <c r="R73" i="20"/>
  <c r="F73" i="20" s="1"/>
  <c r="K23" i="29" s="1"/>
  <c r="R67" i="20"/>
  <c r="F67" i="20" s="1"/>
  <c r="K17" i="29" s="1"/>
  <c r="R66" i="20"/>
  <c r="F66" i="20" s="1"/>
  <c r="K16" i="29" s="1"/>
  <c r="Q66" i="20"/>
  <c r="K66" i="20" s="1"/>
  <c r="Q69" i="20"/>
  <c r="K69" i="20" s="1"/>
  <c r="J55" i="20"/>
  <c r="X234" i="22" s="1"/>
  <c r="R71" i="20"/>
  <c r="F71" i="20" s="1"/>
  <c r="K21" i="29" s="1"/>
  <c r="V78" i="20"/>
  <c r="V77" i="20"/>
  <c r="Q71" i="20"/>
  <c r="K71" i="20" s="1"/>
  <c r="Q72" i="20"/>
  <c r="K72" i="20" s="1"/>
  <c r="J49" i="20"/>
  <c r="X228" i="22" s="1"/>
  <c r="J48" i="20"/>
  <c r="X227" i="22" s="1"/>
  <c r="J45" i="20"/>
  <c r="X224" i="22" s="1"/>
  <c r="R74" i="20"/>
  <c r="F74" i="20" s="1"/>
  <c r="K24" i="29" s="1"/>
  <c r="Q64" i="20"/>
  <c r="R64" i="20" s="1"/>
  <c r="S64" i="20" s="1"/>
  <c r="O70" i="20"/>
  <c r="C70" i="20" s="1"/>
  <c r="F20" i="29" s="1"/>
  <c r="O68" i="20"/>
  <c r="C68" i="20" s="1"/>
  <c r="F18" i="29" s="1"/>
  <c r="O75" i="20"/>
  <c r="C75" i="20" s="1"/>
  <c r="F25" i="29" s="1"/>
  <c r="O73" i="20"/>
  <c r="C73" i="20" s="1"/>
  <c r="F23" i="29" s="1"/>
  <c r="O74" i="20"/>
  <c r="C74" i="20" s="1"/>
  <c r="F24" i="29" s="1"/>
  <c r="O69" i="20"/>
  <c r="C69" i="20" s="1"/>
  <c r="F19" i="29" s="1"/>
  <c r="O72" i="20"/>
  <c r="C72" i="20" s="1"/>
  <c r="F22" i="29" s="1"/>
  <c r="O65" i="20"/>
  <c r="C65" i="20" s="1"/>
  <c r="F15" i="29" s="1"/>
  <c r="O66" i="20"/>
  <c r="C66" i="20" s="1"/>
  <c r="F16" i="29" s="1"/>
  <c r="O71" i="20"/>
  <c r="C71" i="20" s="1"/>
  <c r="F21" i="29" s="1"/>
  <c r="O67" i="20"/>
  <c r="C67" i="20" s="1"/>
  <c r="F17" i="29" s="1"/>
  <c r="Q73" i="20"/>
  <c r="K73" i="20" s="1"/>
  <c r="R72" i="20"/>
  <c r="F72" i="20" s="1"/>
  <c r="K22" i="29" s="1"/>
  <c r="Q67" i="20"/>
  <c r="K67" i="20" s="1"/>
  <c r="E67" i="20"/>
  <c r="G23" i="27" l="1"/>
  <c r="H22" i="29"/>
  <c r="G18" i="27"/>
  <c r="H17" i="29"/>
  <c r="G22" i="27"/>
  <c r="H21" i="29"/>
  <c r="G24" i="27"/>
  <c r="H23" i="29"/>
  <c r="G17" i="27"/>
  <c r="H16" i="29"/>
  <c r="G20" i="27"/>
  <c r="H19" i="29"/>
  <c r="F18" i="27"/>
  <c r="J17" i="29"/>
  <c r="E21" i="11"/>
  <c r="E21" i="26"/>
  <c r="E29" i="26"/>
  <c r="E29" i="11"/>
  <c r="G23" i="11"/>
  <c r="G23" i="26"/>
  <c r="E23" i="26"/>
  <c r="E23" i="11"/>
  <c r="E28" i="26"/>
  <c r="E28" i="11"/>
  <c r="E31" i="26"/>
  <c r="E31" i="11"/>
  <c r="H30" i="26"/>
  <c r="H30" i="11"/>
  <c r="H27" i="11"/>
  <c r="H27" i="26"/>
  <c r="H22" i="11"/>
  <c r="H22" i="26"/>
  <c r="E27" i="26"/>
  <c r="E27" i="11"/>
  <c r="H23" i="11"/>
  <c r="H23" i="26"/>
  <c r="E25" i="26"/>
  <c r="E25" i="11"/>
  <c r="E24" i="26"/>
  <c r="E24" i="11"/>
  <c r="H28" i="11"/>
  <c r="H28" i="26"/>
  <c r="E22" i="26"/>
  <c r="E22" i="11"/>
  <c r="E30" i="26"/>
  <c r="E30" i="11"/>
  <c r="E26" i="26"/>
  <c r="E26" i="11"/>
  <c r="H29" i="11"/>
  <c r="H29" i="26"/>
  <c r="R68" i="20"/>
  <c r="F68" i="20"/>
  <c r="K18" i="29" s="1"/>
  <c r="E73" i="20"/>
  <c r="F69" i="20"/>
  <c r="K19" i="29" s="1"/>
  <c r="R69" i="20"/>
  <c r="E71" i="20"/>
  <c r="Q65" i="20"/>
  <c r="F75" i="20"/>
  <c r="K25" i="29" s="1"/>
  <c r="R75" i="20"/>
  <c r="Q70" i="20"/>
  <c r="E66" i="20"/>
  <c r="R70" i="20"/>
  <c r="F70" i="20" s="1"/>
  <c r="K20" i="29" s="1"/>
  <c r="Q75" i="20"/>
  <c r="S73" i="20"/>
  <c r="S65" i="20"/>
  <c r="S70" i="20"/>
  <c r="S75" i="20"/>
  <c r="S74" i="20"/>
  <c r="S71" i="20"/>
  <c r="S67" i="20"/>
  <c r="S72" i="20"/>
  <c r="S69" i="20"/>
  <c r="S68" i="20"/>
  <c r="S66" i="20"/>
  <c r="R65" i="20"/>
  <c r="F65" i="20"/>
  <c r="K15" i="29" s="1"/>
  <c r="E72" i="20"/>
  <c r="E69" i="20"/>
  <c r="Q68" i="20"/>
  <c r="Q74" i="20"/>
  <c r="F22" i="27" l="1"/>
  <c r="J21" i="29"/>
  <c r="F20" i="27"/>
  <c r="J19" i="29"/>
  <c r="F23" i="27"/>
  <c r="J22" i="29"/>
  <c r="F17" i="27"/>
  <c r="J16" i="29"/>
  <c r="F24" i="27"/>
  <c r="J23" i="29"/>
  <c r="G25" i="26"/>
  <c r="G25" i="11"/>
  <c r="I23" i="26"/>
  <c r="I23" i="11"/>
  <c r="H26" i="26"/>
  <c r="H26" i="11"/>
  <c r="H25" i="26"/>
  <c r="H25" i="11"/>
  <c r="G28" i="26"/>
  <c r="G28" i="11"/>
  <c r="I24" i="11"/>
  <c r="I24" i="26"/>
  <c r="I27" i="26"/>
  <c r="I27" i="11"/>
  <c r="G22" i="26"/>
  <c r="G22" i="11"/>
  <c r="G29" i="26"/>
  <c r="G29" i="11"/>
  <c r="I22" i="26"/>
  <c r="I22" i="11"/>
  <c r="I26" i="26"/>
  <c r="I26" i="11"/>
  <c r="H31" i="11"/>
  <c r="H31" i="26"/>
  <c r="I25" i="26"/>
  <c r="I25" i="11"/>
  <c r="I29" i="26"/>
  <c r="I29" i="11"/>
  <c r="G27" i="11"/>
  <c r="G27" i="26"/>
  <c r="H24" i="26"/>
  <c r="H24" i="11"/>
  <c r="H21" i="26"/>
  <c r="H21" i="11"/>
  <c r="I30" i="26"/>
  <c r="I30" i="11"/>
  <c r="I28" i="11"/>
  <c r="I28" i="26"/>
  <c r="I31" i="26"/>
  <c r="I31" i="11"/>
  <c r="I21" i="26"/>
  <c r="I21" i="11"/>
  <c r="K65" i="20"/>
  <c r="E65" i="20"/>
  <c r="K74" i="20"/>
  <c r="E74" i="20"/>
  <c r="K70" i="20"/>
  <c r="E70" i="20"/>
  <c r="K68" i="20"/>
  <c r="E68" i="20"/>
  <c r="K75" i="20"/>
  <c r="E75" i="20"/>
  <c r="E25" i="27"/>
  <c r="E21" i="27"/>
  <c r="E23" i="27"/>
  <c r="E24" i="27"/>
  <c r="E20" i="27"/>
  <c r="E19" i="27"/>
  <c r="E26" i="27"/>
  <c r="E18" i="27"/>
  <c r="E17" i="27"/>
  <c r="E22" i="27"/>
  <c r="E16" i="27"/>
  <c r="G19" i="27" l="1"/>
  <c r="H18" i="29"/>
  <c r="G25" i="27"/>
  <c r="H24" i="29"/>
  <c r="G26" i="27"/>
  <c r="H25" i="29"/>
  <c r="G21" i="27"/>
  <c r="H20" i="29"/>
  <c r="G16" i="27"/>
  <c r="H15" i="29"/>
  <c r="F19" i="27"/>
  <c r="J18" i="29"/>
  <c r="F26" i="27"/>
  <c r="J25" i="29"/>
  <c r="F21" i="27"/>
  <c r="J20" i="29"/>
  <c r="F16" i="27"/>
  <c r="J15" i="29"/>
  <c r="F25" i="27"/>
  <c r="J24" i="29"/>
  <c r="G26" i="26"/>
  <c r="G26" i="11"/>
  <c r="G21" i="11"/>
  <c r="G21" i="26"/>
  <c r="G24" i="26"/>
  <c r="G24" i="11"/>
  <c r="G30" i="26"/>
  <c r="G30" i="11"/>
  <c r="G31" i="26"/>
  <c r="G31" i="11"/>
  <c r="P171" i="22" l="1"/>
  <c r="W106" i="22"/>
  <c r="AD106" i="22" s="1"/>
  <c r="W85" i="22"/>
  <c r="AD85" i="22" s="1"/>
  <c r="AM162" i="22"/>
  <c r="H8" i="22"/>
  <c r="P172" i="22"/>
  <c r="AM163" i="22"/>
  <c r="W86" i="22"/>
  <c r="AD86" i="22" s="1"/>
  <c r="W87" i="22"/>
  <c r="AD87" i="22" s="1"/>
  <c r="W88" i="22"/>
  <c r="AD88" i="22" s="1"/>
  <c r="W89" i="22"/>
  <c r="AD89" i="22" s="1"/>
  <c r="W90" i="22"/>
  <c r="AD90" i="22" s="1"/>
  <c r="W91" i="22"/>
  <c r="AD91" i="22" s="1"/>
  <c r="W92" i="22"/>
  <c r="AD92" i="22" s="1"/>
  <c r="W93" i="22"/>
  <c r="AD93" i="22" s="1"/>
  <c r="W94" i="22"/>
  <c r="AD94" i="22" s="1"/>
  <c r="W95" i="22"/>
  <c r="AD95" i="22" s="1"/>
  <c r="W96" i="22"/>
  <c r="AD96" i="22" s="1"/>
  <c r="W97" i="22"/>
  <c r="AD97" i="22" s="1"/>
  <c r="W98" i="22"/>
  <c r="AD98" i="22" s="1"/>
  <c r="W99" i="22"/>
  <c r="AD99" i="22" s="1"/>
  <c r="W100" i="22"/>
  <c r="AD100" i="22" s="1"/>
  <c r="W101" i="22"/>
  <c r="AD101" i="22" s="1"/>
  <c r="W102" i="22"/>
  <c r="AD102" i="22" s="1"/>
  <c r="W103" i="22"/>
  <c r="AD103" i="22" s="1"/>
  <c r="W104" i="22"/>
  <c r="AD104" i="22" s="1"/>
  <c r="W105" i="22"/>
  <c r="AD105" i="22" s="1"/>
  <c r="AK139" i="22"/>
  <c r="AK121" i="22"/>
  <c r="AK120" i="22"/>
  <c r="AK138" i="22"/>
  <c r="AK124" i="22"/>
  <c r="AK132" i="22"/>
  <c r="AK140" i="22"/>
  <c r="AK127" i="22"/>
  <c r="AK136" i="22"/>
  <c r="AK125" i="22"/>
  <c r="AK141" i="22"/>
  <c r="AK135" i="22"/>
  <c r="AK122" i="22"/>
  <c r="AK123" i="22"/>
  <c r="AK131" i="22"/>
  <c r="AK129" i="22"/>
  <c r="AK133" i="22"/>
  <c r="AK126" i="22"/>
  <c r="AK137" i="22"/>
  <c r="AK128" i="22"/>
  <c r="AK134" i="22"/>
  <c r="AK130" i="22"/>
  <c r="P173" i="22" l="1"/>
  <c r="AH172" i="22"/>
  <c r="P174" i="22"/>
  <c r="AH171" i="22"/>
  <c r="P170" i="22"/>
  <c r="AH170" i="22" l="1"/>
  <c r="M179" i="22" s="1"/>
  <c r="AH174" i="22"/>
  <c r="AH173" i="22"/>
  <c r="AP170" i="22" l="1"/>
  <c r="R208" i="22" l="1"/>
  <c r="R209" i="22"/>
  <c r="I170" i="22" l="1"/>
  <c r="I175" i="22" l="1"/>
  <c r="AR199" i="22" l="1"/>
  <c r="AR194" i="22"/>
  <c r="AR200" i="22"/>
  <c r="AR192" i="22"/>
  <c r="AR193" i="22"/>
  <c r="AR198" i="22"/>
  <c r="AR191" i="22"/>
  <c r="AR197" i="22"/>
  <c r="AR196" i="22"/>
  <c r="AR190" i="22"/>
  <c r="AR195" i="22" l="1"/>
  <c r="E8" i="20" l="1"/>
  <c r="H6" i="22"/>
  <c r="C44" i="20"/>
  <c r="M118" i="20"/>
  <c r="Q118" i="20" s="1"/>
  <c r="E8" i="33"/>
  <c r="H249" i="22"/>
  <c r="C44" i="33"/>
  <c r="AK491" i="22" l="1"/>
  <c r="P496" i="22" s="1"/>
  <c r="W496" i="22" s="1"/>
  <c r="A416" i="22"/>
  <c r="A423" i="22"/>
  <c r="A158" i="22"/>
  <c r="A151" i="22"/>
  <c r="D44" i="33"/>
  <c r="I256" i="22"/>
  <c r="L12" i="3"/>
  <c r="Z8" i="33"/>
  <c r="I44" i="33" s="1"/>
  <c r="D44" i="20"/>
  <c r="I13" i="22"/>
  <c r="Z8" i="20"/>
  <c r="I44" i="20" s="1"/>
  <c r="D12" i="3"/>
  <c r="E44" i="20" l="1"/>
  <c r="C64" i="20"/>
  <c r="C64" i="33"/>
  <c r="E44" i="33"/>
  <c r="E64" i="33"/>
  <c r="J44" i="33"/>
  <c r="E48" i="22"/>
  <c r="G154" i="22"/>
  <c r="E291" i="22"/>
  <c r="G419" i="22"/>
  <c r="J44" i="20"/>
  <c r="E64" i="20"/>
  <c r="M44" i="33" l="1"/>
  <c r="N44" i="33" s="1"/>
  <c r="O44" i="33" s="1"/>
  <c r="P44" i="33" s="1"/>
  <c r="Q44" i="33" s="1"/>
  <c r="R44" i="33" s="1"/>
  <c r="S44" i="33" s="1"/>
  <c r="T44" i="33" s="1"/>
  <c r="X44" i="33" s="1"/>
  <c r="F44" i="33"/>
  <c r="M44" i="20"/>
  <c r="N44" i="20" s="1"/>
  <c r="AH154" i="22" s="1"/>
  <c r="M170" i="22" s="1"/>
  <c r="F44" i="20"/>
  <c r="G20" i="26"/>
  <c r="G20" i="11"/>
  <c r="F15" i="27"/>
  <c r="M169" i="22"/>
  <c r="H161" i="22"/>
  <c r="AM161" i="22" s="1"/>
  <c r="F64" i="20"/>
  <c r="AN154" i="22"/>
  <c r="M175" i="22" s="1"/>
  <c r="AM175" i="22" s="1"/>
  <c r="H182" i="22" s="1"/>
  <c r="N213" i="22" s="1"/>
  <c r="U213" i="22" s="1"/>
  <c r="I84" i="22"/>
  <c r="AJ56" i="22"/>
  <c r="AJ60" i="22"/>
  <c r="H426" i="22"/>
  <c r="AM426" i="22" s="1"/>
  <c r="M434" i="22"/>
  <c r="F64" i="33"/>
  <c r="AN419" i="22"/>
  <c r="M440" i="22" s="1"/>
  <c r="AM440" i="22" s="1"/>
  <c r="H552" i="22" s="1"/>
  <c r="N583" i="22" s="1"/>
  <c r="U583" i="22" s="1"/>
  <c r="G19" i="29"/>
  <c r="G18" i="29"/>
  <c r="G17" i="29"/>
  <c r="G16" i="29"/>
  <c r="G21" i="29"/>
  <c r="G15" i="29"/>
  <c r="G29" i="29"/>
  <c r="G28" i="29"/>
  <c r="E20" i="11"/>
  <c r="G27" i="29"/>
  <c r="G26" i="29"/>
  <c r="G25" i="29"/>
  <c r="G24" i="29"/>
  <c r="E20" i="26"/>
  <c r="G22" i="29"/>
  <c r="G20" i="29"/>
  <c r="G23" i="29"/>
  <c r="E15" i="27"/>
  <c r="I327" i="22"/>
  <c r="AJ303" i="22"/>
  <c r="AJ299" i="22"/>
  <c r="O44" i="20" l="1"/>
  <c r="P44" i="20" s="1"/>
  <c r="Q44" i="20" s="1"/>
  <c r="R44" i="20" s="1"/>
  <c r="S44" i="20" s="1"/>
  <c r="T44" i="20" s="1"/>
  <c r="X44" i="20" s="1"/>
  <c r="G64" i="20" s="1"/>
  <c r="AH419" i="22"/>
  <c r="M435" i="22" s="1"/>
  <c r="L474" i="22" s="1"/>
  <c r="N220" i="22"/>
  <c r="H20" i="26"/>
  <c r="H20" i="11"/>
  <c r="U169" i="22"/>
  <c r="N590" i="22"/>
  <c r="Q538" i="22"/>
  <c r="P491" i="22"/>
  <c r="R503" i="22"/>
  <c r="Q524" i="22"/>
  <c r="U170" i="22"/>
  <c r="W327" i="22"/>
  <c r="AD327" i="22" s="1"/>
  <c r="E362" i="22"/>
  <c r="U44" i="20"/>
  <c r="V44" i="20" s="1"/>
  <c r="L444" i="22"/>
  <c r="U434" i="22"/>
  <c r="W84" i="22"/>
  <c r="AD84" i="22" s="1"/>
  <c r="E119" i="22"/>
  <c r="G64" i="33"/>
  <c r="U44" i="33"/>
  <c r="V44" i="33" s="1"/>
  <c r="U435" i="22" l="1"/>
  <c r="V436" i="22" s="1"/>
  <c r="AM434" i="22"/>
  <c r="W465" i="22"/>
  <c r="AE460" i="22"/>
  <c r="AM170" i="22"/>
  <c r="V171" i="22"/>
  <c r="AM169" i="22"/>
  <c r="J459" i="22"/>
  <c r="R452" i="22"/>
  <c r="AI448" i="22"/>
  <c r="D189" i="22"/>
  <c r="AK119" i="22"/>
  <c r="I20" i="11"/>
  <c r="I20" i="26"/>
  <c r="AK362" i="22"/>
  <c r="D559" i="22"/>
  <c r="F17" i="11"/>
  <c r="F17" i="26"/>
  <c r="AJ478" i="22" l="1"/>
  <c r="P482" i="22" s="1"/>
  <c r="W482" i="22" s="1"/>
  <c r="P470" i="22"/>
  <c r="W470" i="22" s="1"/>
  <c r="AM435" i="22"/>
  <c r="I189" i="22"/>
  <c r="N189" i="22" s="1"/>
  <c r="S189" i="22" s="1"/>
  <c r="X189" i="22" s="1"/>
  <c r="AC189" i="22" s="1"/>
  <c r="AH189" i="22" s="1"/>
  <c r="AM189" i="22" s="1"/>
  <c r="F223" i="22"/>
  <c r="R223" i="22" s="1"/>
  <c r="X223" i="22" s="1"/>
  <c r="AD223" i="22" s="1"/>
  <c r="I559" i="22"/>
  <c r="N559" i="22" s="1"/>
  <c r="S559" i="22" s="1"/>
  <c r="X559" i="22" s="1"/>
  <c r="AC559" i="22" s="1"/>
  <c r="AH559" i="22" s="1"/>
  <c r="AM559" i="22" s="1"/>
  <c r="F593" i="22"/>
  <c r="R593" i="22" s="1"/>
  <c r="X593" i="22" s="1"/>
  <c r="AD593" i="22" s="1"/>
  <c r="AN171" i="22"/>
  <c r="V172" i="22"/>
  <c r="V437" i="22"/>
  <c r="AN436" i="22"/>
  <c r="AN437" i="22" l="1"/>
  <c r="AM503" i="22"/>
  <c r="P508" i="22" s="1"/>
  <c r="W508" i="22" s="1"/>
  <c r="V438" i="22"/>
  <c r="V173" i="22"/>
  <c r="AN172" i="22"/>
  <c r="AN438" i="22" l="1"/>
  <c r="V439" i="22"/>
  <c r="AL524" i="22"/>
  <c r="P529" i="22" s="1"/>
  <c r="W529" i="22" s="1"/>
  <c r="V174" i="22"/>
  <c r="AN173" i="22"/>
  <c r="AL538" i="22" l="1"/>
  <c r="P543" i="22" s="1"/>
  <c r="W543" i="22" s="1"/>
  <c r="AN439" i="22"/>
  <c r="AN174" i="22"/>
  <c r="P169" i="22" l="1"/>
  <c r="AH169" i="22" l="1"/>
  <c r="AH175" i="22" l="1"/>
  <c r="E179" i="22"/>
  <c r="L208" i="22" s="1"/>
  <c r="E180" i="22" l="1"/>
  <c r="D182" i="22" s="1"/>
  <c r="L207" i="22" s="1"/>
  <c r="J213" i="22" l="1"/>
  <c r="Q213" i="22" s="1"/>
  <c r="M20" i="35" l="1"/>
  <c r="N20" i="35" s="1"/>
  <c r="J4" i="34" s="1"/>
  <c r="H4" i="34" s="1"/>
  <c r="M21" i="35" l="1"/>
  <c r="N21" i="35" s="1"/>
  <c r="J5" i="34" s="1"/>
  <c r="H5" i="34" s="1"/>
  <c r="M22" i="35" l="1"/>
  <c r="N22" i="35" s="1"/>
  <c r="J6" i="34" s="1"/>
  <c r="H6" i="34" s="1"/>
  <c r="M23" i="35" l="1"/>
  <c r="N23" i="35" s="1"/>
  <c r="J7" i="34" s="1"/>
  <c r="H7" i="34" s="1"/>
  <c r="M24" i="35" l="1"/>
  <c r="N24" i="35" s="1"/>
  <c r="J8" i="34" s="1"/>
  <c r="H8" i="34" s="1"/>
  <c r="M25" i="35" l="1"/>
  <c r="N25" i="35" s="1"/>
  <c r="J9" i="34" s="1"/>
  <c r="H9" i="34" s="1"/>
  <c r="M26" i="35" l="1"/>
  <c r="N26" i="35" s="1"/>
  <c r="J10" i="34" s="1"/>
  <c r="H10" i="34" s="1"/>
  <c r="M27" i="35" l="1"/>
  <c r="N27" i="35" s="1"/>
  <c r="J11" i="34" s="1"/>
  <c r="H11" i="34" s="1"/>
  <c r="M28" i="35" l="1"/>
  <c r="N28" i="35" s="1"/>
  <c r="J12" i="34" s="1"/>
  <c r="H12" i="34" s="1"/>
  <c r="M29" i="35" l="1"/>
  <c r="N29" i="35" s="1"/>
  <c r="J13" i="34" s="1"/>
  <c r="H13" i="34" s="1"/>
  <c r="M30" i="35" l="1"/>
  <c r="N30" i="35" s="1"/>
  <c r="J14" i="34" s="1"/>
  <c r="H14" i="34" s="1"/>
  <c r="M31" i="35" l="1"/>
  <c r="N31" i="35" s="1"/>
  <c r="J15" i="34" s="1"/>
  <c r="H15" i="34" s="1"/>
  <c r="M32" i="35" l="1"/>
  <c r="N32" i="35" s="1"/>
  <c r="J16" i="34" s="1"/>
  <c r="H16" i="34" s="1"/>
  <c r="M33" i="35" l="1"/>
  <c r="N33" i="35" s="1"/>
  <c r="J17" i="34" s="1"/>
  <c r="H17" i="34" s="1"/>
  <c r="M34" i="35" l="1"/>
  <c r="N34" i="35" s="1"/>
  <c r="J18" i="34" s="1"/>
  <c r="H18" i="34" s="1"/>
  <c r="M35" i="35" l="1"/>
  <c r="N35" i="35" s="1"/>
  <c r="J19" i="34" s="1"/>
  <c r="H19" i="34" s="1"/>
  <c r="M36" i="35" l="1"/>
  <c r="N36" i="35" s="1"/>
  <c r="J20" i="34" s="1"/>
  <c r="H20" i="34" s="1"/>
  <c r="M37" i="35" l="1"/>
  <c r="N37" i="35" s="1"/>
  <c r="J21" i="34" s="1"/>
  <c r="H21" i="34" s="1"/>
  <c r="M38" i="35" l="1"/>
  <c r="N38" i="35" s="1"/>
  <c r="J22" i="34" s="1"/>
  <c r="H22" i="34" s="1"/>
  <c r="M39" i="35" l="1"/>
  <c r="N39" i="35" s="1"/>
  <c r="J23" i="34" s="1"/>
  <c r="H23" i="34" s="1"/>
  <c r="M40" i="35" l="1"/>
  <c r="N40" i="35" s="1"/>
  <c r="J24" i="34" s="1"/>
  <c r="H24" i="34" s="1"/>
  <c r="M41" i="35" l="1"/>
  <c r="N41" i="35" s="1"/>
  <c r="J25" i="34" s="1"/>
  <c r="H25" i="34" s="1"/>
  <c r="M42" i="35" l="1"/>
  <c r="N42" i="35" s="1"/>
  <c r="J26" i="34" s="1"/>
  <c r="H26" i="34" s="1"/>
  <c r="M43" i="35" l="1"/>
  <c r="N43" i="35" s="1"/>
  <c r="J27" i="34" s="1"/>
  <c r="H27" i="34" s="1"/>
  <c r="M44" i="35" l="1"/>
  <c r="N44" i="35" s="1"/>
  <c r="J28" i="34" s="1"/>
  <c r="H28" i="34" s="1"/>
  <c r="M45" i="35" l="1"/>
  <c r="N45" i="35" s="1"/>
  <c r="J29" i="34" s="1"/>
  <c r="H29" i="34" s="1"/>
  <c r="M46" i="35" l="1"/>
  <c r="N46" i="35" s="1"/>
  <c r="J30" i="34" s="1"/>
  <c r="H30" i="34" s="1"/>
  <c r="M47" i="35" l="1"/>
  <c r="N47" i="35" s="1"/>
  <c r="J31" i="34" s="1"/>
  <c r="H31" i="34" s="1"/>
  <c r="M48" i="35" l="1"/>
  <c r="N48" i="35" s="1"/>
  <c r="J32" i="34" s="1"/>
  <c r="H32" i="34" s="1"/>
  <c r="M49" i="35" l="1"/>
  <c r="N49" i="35" s="1"/>
  <c r="J33" i="34" s="1"/>
  <c r="H33" i="34" s="1"/>
</calcChain>
</file>

<file path=xl/sharedStrings.xml><?xml version="1.0" encoding="utf-8"?>
<sst xmlns="http://schemas.openxmlformats.org/spreadsheetml/2006/main" count="1464" uniqueCount="758">
  <si>
    <r>
      <t>3회</t>
    </r>
    <r>
      <rPr>
        <b/>
        <sz val="9"/>
        <color indexed="9"/>
        <rFont val="굴림"/>
        <family val="3"/>
        <charset val="129"/>
      </rPr>
      <t/>
    </r>
  </si>
  <si>
    <r>
      <t xml:space="preserve">CALIBRATION </t>
    </r>
    <r>
      <rPr>
        <b/>
        <sz val="20"/>
        <rFont val="돋움"/>
        <family val="3"/>
        <charset val="129"/>
      </rPr>
      <t>기본정보</t>
    </r>
    <phoneticPr fontId="5" type="noConversion"/>
  </si>
  <si>
    <r>
      <t xml:space="preserve">[1] </t>
    </r>
    <r>
      <rPr>
        <b/>
        <sz val="8"/>
        <rFont val="맑은 고딕"/>
        <family val="3"/>
        <charset val="129"/>
      </rPr>
      <t>교정정보</t>
    </r>
    <r>
      <rPr>
        <b/>
        <sz val="8"/>
        <rFont val="Tahoma"/>
        <family val="2"/>
      </rPr>
      <t/>
    </r>
    <phoneticPr fontId="5" type="noConversion"/>
  </si>
  <si>
    <t>등록번호</t>
    <phoneticPr fontId="5" type="noConversion"/>
  </si>
  <si>
    <r>
      <rPr>
        <sz val="8"/>
        <rFont val="맑은 고딕"/>
        <family val="3"/>
        <charset val="129"/>
      </rPr>
      <t>접수번호</t>
    </r>
    <phoneticPr fontId="5" type="noConversion"/>
  </si>
  <si>
    <r>
      <rPr>
        <sz val="8"/>
        <rFont val="맑은 고딕"/>
        <family val="3"/>
        <charset val="129"/>
      </rPr>
      <t>의뢰기관</t>
    </r>
    <phoneticPr fontId="5" type="noConversion"/>
  </si>
  <si>
    <r>
      <rPr>
        <sz val="8"/>
        <rFont val="맑은 고딕"/>
        <family val="3"/>
        <charset val="129"/>
      </rPr>
      <t>교정일자</t>
    </r>
    <phoneticPr fontId="5" type="noConversion"/>
  </si>
  <si>
    <r>
      <rPr>
        <sz val="8"/>
        <rFont val="맑은 고딕"/>
        <family val="3"/>
        <charset val="129"/>
      </rPr>
      <t>기기명</t>
    </r>
    <phoneticPr fontId="5" type="noConversion"/>
  </si>
  <si>
    <t>교정절차서1</t>
    <phoneticPr fontId="5" type="noConversion"/>
  </si>
  <si>
    <r>
      <rPr>
        <sz val="8"/>
        <rFont val="맑은 고딕"/>
        <family val="3"/>
        <charset val="129"/>
      </rPr>
      <t>제작회사</t>
    </r>
    <phoneticPr fontId="5" type="noConversion"/>
  </si>
  <si>
    <t>교정절차서2</t>
    <phoneticPr fontId="5" type="noConversion"/>
  </si>
  <si>
    <r>
      <rPr>
        <sz val="8"/>
        <rFont val="맑은 고딕"/>
        <family val="3"/>
        <charset val="129"/>
      </rPr>
      <t>형식</t>
    </r>
    <phoneticPr fontId="5" type="noConversion"/>
  </si>
  <si>
    <t>접수확인자</t>
    <phoneticPr fontId="5" type="noConversion"/>
  </si>
  <si>
    <r>
      <rPr>
        <sz val="8"/>
        <rFont val="맑은 고딕"/>
        <family val="3"/>
        <charset val="129"/>
      </rPr>
      <t>기기번호</t>
    </r>
    <phoneticPr fontId="5" type="noConversion"/>
  </si>
  <si>
    <t>인증교정자</t>
    <phoneticPr fontId="5" type="noConversion"/>
  </si>
  <si>
    <t>기술책임자</t>
    <phoneticPr fontId="5" type="noConversion"/>
  </si>
  <si>
    <r>
      <rPr>
        <sz val="8"/>
        <rFont val="맑은 고딕"/>
        <family val="3"/>
        <charset val="129"/>
      </rPr>
      <t>교정주기</t>
    </r>
    <phoneticPr fontId="5" type="noConversion"/>
  </si>
  <si>
    <r>
      <t>KOLAS</t>
    </r>
    <r>
      <rPr>
        <sz val="8"/>
        <rFont val="맑은 고딕"/>
        <family val="3"/>
        <charset val="129"/>
      </rPr>
      <t>유무</t>
    </r>
    <phoneticPr fontId="5" type="noConversion"/>
  </si>
  <si>
    <t>1: KOLAS 성적서
0: 비공인성적서</t>
    <phoneticPr fontId="5" type="noConversion"/>
  </si>
  <si>
    <r>
      <t xml:space="preserve">[2] </t>
    </r>
    <r>
      <rPr>
        <b/>
        <sz val="8"/>
        <rFont val="맑은 고딕"/>
        <family val="3"/>
        <charset val="129"/>
      </rPr>
      <t>교정환경</t>
    </r>
    <r>
      <rPr>
        <b/>
        <sz val="8"/>
        <rFont val="Tahoma"/>
        <family val="2"/>
      </rPr>
      <t/>
    </r>
    <phoneticPr fontId="5" type="noConversion"/>
  </si>
  <si>
    <r>
      <rPr>
        <sz val="8"/>
        <rFont val="맑은 고딕"/>
        <family val="3"/>
        <charset val="129"/>
      </rPr>
      <t>최저온도</t>
    </r>
    <phoneticPr fontId="5" type="noConversion"/>
  </si>
  <si>
    <t>최저습도</t>
    <phoneticPr fontId="5" type="noConversion"/>
  </si>
  <si>
    <t>최저기압</t>
    <phoneticPr fontId="5" type="noConversion"/>
  </si>
  <si>
    <t>교정장소</t>
    <phoneticPr fontId="5" type="noConversion"/>
  </si>
  <si>
    <t>0: KC00-011 고정표준실
1: 현장교정
4: KC10-244 고정표준실</t>
    <phoneticPr fontId="5" type="noConversion"/>
  </si>
  <si>
    <r>
      <rPr>
        <sz val="8"/>
        <rFont val="맑은 고딕"/>
        <family val="3"/>
        <charset val="129"/>
      </rPr>
      <t>최고온도</t>
    </r>
    <phoneticPr fontId="5" type="noConversion"/>
  </si>
  <si>
    <r>
      <rPr>
        <sz val="8"/>
        <rFont val="맑은 고딕"/>
        <family val="3"/>
        <charset val="129"/>
      </rPr>
      <t>최고습도</t>
    </r>
    <phoneticPr fontId="5" type="noConversion"/>
  </si>
  <si>
    <t>최고기압</t>
    <phoneticPr fontId="5" type="noConversion"/>
  </si>
  <si>
    <r>
      <t xml:space="preserve">[3] </t>
    </r>
    <r>
      <rPr>
        <b/>
        <sz val="8"/>
        <rFont val="맑은 고딕"/>
        <family val="3"/>
        <charset val="129"/>
      </rPr>
      <t>교정방법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소급성서술</t>
    </r>
    <r>
      <rPr>
        <b/>
        <sz val="8"/>
        <rFont val="Tahoma"/>
        <family val="2"/>
      </rPr>
      <t/>
    </r>
    <phoneticPr fontId="5" type="noConversion"/>
  </si>
  <si>
    <r>
      <t xml:space="preserve">[4] </t>
    </r>
    <r>
      <rPr>
        <b/>
        <sz val="8"/>
        <rFont val="맑은 고딕"/>
        <family val="3"/>
        <charset val="129"/>
      </rPr>
      <t>교정에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사용한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표준장비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명세</t>
    </r>
    <r>
      <rPr>
        <b/>
        <sz val="8"/>
        <rFont val="Tahoma"/>
        <family val="2"/>
      </rPr>
      <t/>
    </r>
    <phoneticPr fontId="5" type="noConversion"/>
  </si>
  <si>
    <r>
      <rPr>
        <sz val="8"/>
        <rFont val="맑은 고딕"/>
        <family val="3"/>
        <charset val="129"/>
      </rPr>
      <t>등록번호</t>
    </r>
    <phoneticPr fontId="5" type="noConversion"/>
  </si>
  <si>
    <t>기기명</t>
    <phoneticPr fontId="5" type="noConversion"/>
  </si>
  <si>
    <t>제작회사</t>
    <phoneticPr fontId="5" type="noConversion"/>
  </si>
  <si>
    <t>기기번호</t>
    <phoneticPr fontId="5" type="noConversion"/>
  </si>
  <si>
    <t>차기교정예정일자</t>
    <phoneticPr fontId="5" type="noConversion"/>
  </si>
  <si>
    <r>
      <t>교 정 결 과</t>
    </r>
    <r>
      <rPr>
        <sz val="9"/>
        <rFont val="Arial Unicode MS"/>
        <family val="3"/>
        <charset val="129"/>
      </rPr>
      <t xml:space="preserve">
</t>
    </r>
    <r>
      <rPr>
        <b/>
        <sz val="12"/>
        <rFont val="Arial Unicode MS"/>
        <family val="3"/>
        <charset val="129"/>
      </rPr>
      <t>CALIBRATION RESULT</t>
    </r>
    <phoneticPr fontId="5" type="noConversion"/>
  </si>
  <si>
    <t>세부분류코드</t>
    <phoneticPr fontId="5" type="noConversion"/>
  </si>
  <si>
    <t xml:space="preserve"> 성적서발급번호(Certificate No) :</t>
    <phoneticPr fontId="5" type="noConversion"/>
  </si>
  <si>
    <r>
      <t xml:space="preserve">[5] </t>
    </r>
    <r>
      <rPr>
        <b/>
        <sz val="8"/>
        <rFont val="돋움"/>
        <family val="3"/>
        <charset val="129"/>
      </rPr>
      <t>교정결과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검토</t>
    </r>
    <phoneticPr fontId="5" type="noConversion"/>
  </si>
  <si>
    <t>전체</t>
    <phoneticPr fontId="5" type="noConversion"/>
  </si>
  <si>
    <t>특이사항</t>
    <phoneticPr fontId="5" type="noConversion"/>
  </si>
  <si>
    <t>PASS</t>
    <phoneticPr fontId="5" type="noConversion"/>
  </si>
  <si>
    <t>FIAL</t>
    <phoneticPr fontId="5" type="noConversion"/>
  </si>
  <si>
    <t>교정자 확인</t>
    <phoneticPr fontId="5" type="noConversion"/>
  </si>
  <si>
    <t>확인전</t>
  </si>
  <si>
    <t>CONDITION</t>
    <phoneticPr fontId="5" type="noConversion"/>
  </si>
  <si>
    <t>MEASURED VALUE</t>
    <phoneticPr fontId="5" type="noConversion"/>
  </si>
  <si>
    <t>번호</t>
    <phoneticPr fontId="5" type="noConversion"/>
  </si>
  <si>
    <t>명목압력
(SI단위)</t>
    <phoneticPr fontId="5" type="noConversion"/>
  </si>
  <si>
    <t>표준기압력
(SI단위)</t>
    <phoneticPr fontId="5" type="noConversion"/>
  </si>
  <si>
    <t>SI단위</t>
    <phoneticPr fontId="5" type="noConversion"/>
  </si>
  <si>
    <t>CMC</t>
    <phoneticPr fontId="5" type="noConversion"/>
  </si>
  <si>
    <t>분해능</t>
    <phoneticPr fontId="5" type="noConversion"/>
  </si>
  <si>
    <r>
      <t>1</t>
    </r>
    <r>
      <rPr>
        <b/>
        <sz val="9"/>
        <color indexed="9"/>
        <rFont val="굴림"/>
        <family val="3"/>
        <charset val="129"/>
      </rPr>
      <t>회</t>
    </r>
    <phoneticPr fontId="5" type="noConversion"/>
  </si>
  <si>
    <t>지시값
평균</t>
    <phoneticPr fontId="5" type="noConversion"/>
  </si>
  <si>
    <t>[Pressure Calibration]</t>
    <phoneticPr fontId="5" type="noConversion"/>
  </si>
  <si>
    <t>CMC 검토</t>
    <phoneticPr fontId="5" type="noConversion"/>
  </si>
  <si>
    <t>측정점
번호</t>
    <phoneticPr fontId="5" type="noConversion"/>
  </si>
  <si>
    <t>번호</t>
  </si>
  <si>
    <t>등록번호</t>
  </si>
  <si>
    <t>단위</t>
  </si>
  <si>
    <t>확장불확도</t>
  </si>
  <si>
    <t>k</t>
  </si>
  <si>
    <t>기준기교정일</t>
  </si>
  <si>
    <t>표준압력</t>
    <phoneticPr fontId="5" type="noConversion"/>
  </si>
  <si>
    <t>1회</t>
    <phoneticPr fontId="5" type="noConversion"/>
  </si>
  <si>
    <t>2회</t>
    <phoneticPr fontId="5" type="noConversion"/>
  </si>
  <si>
    <t>=</t>
    <phoneticPr fontId="5" type="noConversion"/>
  </si>
  <si>
    <t>D5. 불확도 기여량 :</t>
    <phoneticPr fontId="5" type="noConversion"/>
  </si>
  <si>
    <t>표준기</t>
    <phoneticPr fontId="5" type="noConversion"/>
  </si>
  <si>
    <t>히스테리시스</t>
    <phoneticPr fontId="5" type="noConversion"/>
  </si>
  <si>
    <t>단위</t>
    <phoneticPr fontId="5" type="noConversion"/>
  </si>
  <si>
    <t>부록</t>
    <phoneticPr fontId="5" type="noConversion"/>
  </si>
  <si>
    <t>Spec</t>
    <phoneticPr fontId="5" type="noConversion"/>
  </si>
  <si>
    <t>● 교정결과</t>
    <phoneticPr fontId="5" type="noConversion"/>
  </si>
  <si>
    <t>기준기명(종류)</t>
  </si>
  <si>
    <t>명목값</t>
  </si>
  <si>
    <t>기준값</t>
  </si>
  <si>
    <t>측정값</t>
  </si>
  <si>
    <t>보정값</t>
  </si>
  <si>
    <t>불확도 1</t>
  </si>
  <si>
    <t>불확도 단위</t>
  </si>
  <si>
    <t>포함인자</t>
  </si>
  <si>
    <t>최소눈금</t>
  </si>
  <si>
    <t>적용단위</t>
  </si>
  <si>
    <t>a</t>
  </si>
  <si>
    <t>b</t>
  </si>
  <si>
    <t>교정일자</t>
  </si>
  <si>
    <t>Resolution</t>
    <phoneticPr fontId="5" type="noConversion"/>
  </si>
  <si>
    <t>Display</t>
    <phoneticPr fontId="5" type="noConversion"/>
  </si>
  <si>
    <t>SPEC</t>
    <phoneticPr fontId="5" type="noConversion"/>
  </si>
  <si>
    <t>MIN</t>
    <phoneticPr fontId="5" type="noConversion"/>
  </si>
  <si>
    <t>MAX</t>
    <phoneticPr fontId="5" type="noConversion"/>
  </si>
  <si>
    <t>UNIT</t>
    <phoneticPr fontId="5" type="noConversion"/>
  </si>
  <si>
    <t>3회</t>
    <phoneticPr fontId="5" type="noConversion"/>
  </si>
  <si>
    <t>STD Name</t>
    <phoneticPr fontId="5" type="noConversion"/>
  </si>
  <si>
    <t>최대압력</t>
    <phoneticPr fontId="5" type="noConversion"/>
  </si>
  <si>
    <t>DUT단위</t>
    <phoneticPr fontId="5" type="noConversion"/>
  </si>
  <si>
    <t>Nominal</t>
    <phoneticPr fontId="5" type="noConversion"/>
  </si>
  <si>
    <t>Standard</t>
    <phoneticPr fontId="5" type="noConversion"/>
  </si>
  <si>
    <t>Measured</t>
    <phoneticPr fontId="5" type="noConversion"/>
  </si>
  <si>
    <t>Unit</t>
    <phoneticPr fontId="5" type="noConversion"/>
  </si>
  <si>
    <t>Correction</t>
    <phoneticPr fontId="5" type="noConversion"/>
  </si>
  <si>
    <t>● Calibration Result</t>
    <phoneticPr fontId="5" type="noConversion"/>
  </si>
  <si>
    <t>측정불확도</t>
    <phoneticPr fontId="5" type="noConversion"/>
  </si>
  <si>
    <t>판정결과</t>
  </si>
  <si>
    <t>교정번호</t>
    <phoneticPr fontId="5" type="noConversion"/>
  </si>
  <si>
    <t>t</t>
    <phoneticPr fontId="69" type="noConversion"/>
  </si>
  <si>
    <t>℃</t>
    <phoneticPr fontId="69" type="noConversion"/>
  </si>
  <si>
    <t>공기밀도</t>
    <phoneticPr fontId="69" type="noConversion"/>
  </si>
  <si>
    <t>kg/㎥</t>
    <phoneticPr fontId="69" type="noConversion"/>
  </si>
  <si>
    <t>압력변형계수</t>
    <phoneticPr fontId="5" type="noConversion"/>
  </si>
  <si>
    <t>kgf/㎡</t>
  </si>
  <si>
    <t>Format</t>
  </si>
  <si>
    <t>#</t>
  </si>
  <si>
    <t>##</t>
  </si>
  <si>
    <t># ##</t>
  </si>
  <si>
    <t>## ##</t>
  </si>
  <si>
    <t>### ##</t>
  </si>
  <si>
    <t># ### ##</t>
  </si>
  <si>
    <t>## ### ##</t>
  </si>
  <si>
    <t>보정값</t>
    <phoneticPr fontId="5" type="noConversion"/>
  </si>
  <si>
    <t>● 교정결과</t>
    <phoneticPr fontId="5" type="noConversion"/>
  </si>
  <si>
    <r>
      <rPr>
        <b/>
        <sz val="20"/>
        <rFont val="돋움"/>
        <family val="3"/>
        <charset val="129"/>
      </rPr>
      <t>◆</t>
    </r>
    <r>
      <rPr>
        <b/>
        <sz val="20"/>
        <rFont val="Tahoma"/>
        <family val="2"/>
      </rPr>
      <t xml:space="preserve"> RAWDATA </t>
    </r>
    <r>
      <rPr>
        <b/>
        <sz val="20"/>
        <rFont val="돋움"/>
        <family val="3"/>
        <charset val="129"/>
      </rPr>
      <t>◆</t>
    </r>
    <phoneticPr fontId="5" type="noConversion"/>
  </si>
  <si>
    <t>교정자</t>
    <phoneticPr fontId="5" type="noConversion"/>
  </si>
  <si>
    <t>기기번호</t>
    <phoneticPr fontId="5" type="noConversion"/>
  </si>
  <si>
    <t>교정일자</t>
    <phoneticPr fontId="5" type="noConversion"/>
  </si>
  <si>
    <t>기술책임자</t>
    <phoneticPr fontId="5" type="noConversion"/>
  </si>
  <si>
    <r>
      <rPr>
        <b/>
        <sz val="9"/>
        <rFont val="돋움"/>
        <family val="3"/>
        <charset val="129"/>
      </rPr>
      <t>○</t>
    </r>
    <r>
      <rPr>
        <b/>
        <sz val="9"/>
        <rFont val="Tahoma"/>
        <family val="2"/>
      </rPr>
      <t xml:space="preserve"> Range 1</t>
    </r>
    <phoneticPr fontId="5" type="noConversion"/>
  </si>
  <si>
    <r>
      <rPr>
        <b/>
        <sz val="9"/>
        <rFont val="돋움"/>
        <family val="3"/>
        <charset val="129"/>
      </rPr>
      <t>○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측정결과</t>
    </r>
    <phoneticPr fontId="5" type="noConversion"/>
  </si>
  <si>
    <r>
      <rPr>
        <b/>
        <sz val="9"/>
        <color indexed="9"/>
        <rFont val="돋움"/>
        <family val="3"/>
        <charset val="129"/>
      </rPr>
      <t>측정점</t>
    </r>
    <r>
      <rPr>
        <b/>
        <sz val="9"/>
        <color indexed="9"/>
        <rFont val="Tahoma"/>
        <family val="2"/>
      </rPr>
      <t xml:space="preserve"> </t>
    </r>
    <r>
      <rPr>
        <b/>
        <sz val="9"/>
        <color indexed="9"/>
        <rFont val="돋움"/>
        <family val="3"/>
        <charset val="129"/>
      </rPr>
      <t>번호</t>
    </r>
    <phoneticPr fontId="5" type="noConversion"/>
  </si>
  <si>
    <t>표준압력
Pr</t>
    <phoneticPr fontId="5" type="noConversion"/>
  </si>
  <si>
    <r>
      <t>2</t>
    </r>
    <r>
      <rPr>
        <b/>
        <sz val="9"/>
        <color indexed="9"/>
        <rFont val="굴림"/>
        <family val="3"/>
        <charset val="129"/>
      </rPr>
      <t>회</t>
    </r>
    <phoneticPr fontId="5" type="noConversion"/>
  </si>
  <si>
    <t>kPa</t>
    <phoneticPr fontId="5" type="noConversion"/>
  </si>
  <si>
    <t>MPa</t>
    <phoneticPr fontId="5" type="noConversion"/>
  </si>
  <si>
    <r>
      <rPr>
        <b/>
        <sz val="9"/>
        <color indexed="9"/>
        <rFont val="돋움"/>
        <family val="3"/>
        <charset val="129"/>
      </rPr>
      <t>자리수</t>
    </r>
    <phoneticPr fontId="5" type="noConversion"/>
  </si>
  <si>
    <t>○ Range 1</t>
    <phoneticPr fontId="5" type="noConversion"/>
  </si>
  <si>
    <t>측정점 번호</t>
    <phoneticPr fontId="5" type="noConversion"/>
  </si>
  <si>
    <t>표준불확도</t>
    <phoneticPr fontId="5" type="noConversion"/>
  </si>
  <si>
    <t>자유도</t>
    <phoneticPr fontId="5" type="noConversion"/>
  </si>
  <si>
    <t>A</t>
    <phoneticPr fontId="5" type="noConversion"/>
  </si>
  <si>
    <t>∞</t>
    <phoneticPr fontId="5" type="noConversion"/>
  </si>
  <si>
    <t>C</t>
    <phoneticPr fontId="5" type="noConversion"/>
  </si>
  <si>
    <t>D</t>
    <phoneticPr fontId="5" type="noConversion"/>
  </si>
  <si>
    <t>※ 분동식 압력계 사용시</t>
    <phoneticPr fontId="5" type="noConversion"/>
  </si>
  <si>
    <t>※ 아래의 공식에 의해 구해진 표준압력값은</t>
    <phoneticPr fontId="5" type="noConversion"/>
  </si>
  <si>
    <t>a</t>
    <phoneticPr fontId="5" type="noConversion"/>
  </si>
  <si>
    <t>b</t>
    <phoneticPr fontId="5" type="noConversion"/>
  </si>
  <si>
    <t>+</t>
    <phoneticPr fontId="5" type="noConversion"/>
  </si>
  <si>
    <t>B3. 확률분포 :</t>
    <phoneticPr fontId="5" type="noConversion"/>
  </si>
  <si>
    <t>B4. 감도계수 :</t>
    <phoneticPr fontId="5" type="noConversion"/>
  </si>
  <si>
    <t>B5. 불확도 기여량 :</t>
    <phoneticPr fontId="5" type="noConversion"/>
  </si>
  <si>
    <t>| -1 ×</t>
    <phoneticPr fontId="5" type="noConversion"/>
  </si>
  <si>
    <t>|=</t>
    <phoneticPr fontId="5" type="noConversion"/>
  </si>
  <si>
    <t>B6. 자유도 :</t>
    <phoneticPr fontId="5" type="noConversion"/>
  </si>
  <si>
    <t>C1. 추정값 :</t>
    <phoneticPr fontId="5" type="noConversion"/>
  </si>
  <si>
    <t>C2. 표준불확도 :</t>
    <phoneticPr fontId="5" type="noConversion"/>
  </si>
  <si>
    <t>C3. 확률분포 :</t>
    <phoneticPr fontId="5" type="noConversion"/>
  </si>
  <si>
    <t>C6. 자유도 :</t>
    <phoneticPr fontId="5" type="noConversion"/>
  </si>
  <si>
    <t>D1. 추정값 :</t>
    <phoneticPr fontId="5" type="noConversion"/>
  </si>
  <si>
    <t>D2. 표준불확도 :</t>
    <phoneticPr fontId="5" type="noConversion"/>
  </si>
  <si>
    <t>※ 영점오차 : 가압과 감압 측정시 영점을 읽은 값을 의미하며, 다음과 같이 계산한다.</t>
    <phoneticPr fontId="5" type="noConversion"/>
  </si>
  <si>
    <t>1 ×</t>
    <phoneticPr fontId="5" type="noConversion"/>
  </si>
  <si>
    <t>E2. 표준불확도 :</t>
    <phoneticPr fontId="5" type="noConversion"/>
  </si>
  <si>
    <t>결정되며 영점에 의해 보정된 값들로부터 구한다.</t>
    <phoneticPr fontId="5" type="noConversion"/>
  </si>
  <si>
    <t>※ 감압측정에서의 반복성</t>
    <phoneticPr fontId="5" type="noConversion"/>
  </si>
  <si>
    <r>
      <t xml:space="preserve">가압 측정에서의 반복성과 감압 측정에서의 반복성 중 최대값이 반복성 </t>
    </r>
    <r>
      <rPr>
        <i/>
        <sz val="10"/>
        <rFont val="Times New Roman"/>
        <family val="1"/>
      </rPr>
      <t>b'</t>
    </r>
    <r>
      <rPr>
        <sz val="10"/>
        <rFont val="맑은 고딕"/>
        <family val="3"/>
        <charset val="129"/>
        <scheme val="minor"/>
      </rPr>
      <t xml:space="preserve"> 이므로</t>
    </r>
    <phoneticPr fontId="5" type="noConversion"/>
  </si>
  <si>
    <t>F1. 추정값 :</t>
    <phoneticPr fontId="5" type="noConversion"/>
  </si>
  <si>
    <t>F2. 표준불확도 :</t>
    <phoneticPr fontId="5" type="noConversion"/>
  </si>
  <si>
    <t>※ 히스테리시스는 가압과 감압시에 측정되는 지시값의 출력차로부터 결정된다.</t>
    <phoneticPr fontId="5" type="noConversion"/>
  </si>
  <si>
    <t>F4. 감도계수 :</t>
    <phoneticPr fontId="5" type="noConversion"/>
  </si>
  <si>
    <t>2 ×</t>
    <phoneticPr fontId="5" type="noConversion"/>
  </si>
  <si>
    <t>STANDARD CALIBRATION DATA (Dead Weight Set)</t>
    <phoneticPr fontId="5" type="noConversion"/>
  </si>
  <si>
    <t>STANDARD CALIBRATION DATA (Dead Weight Uncertainty)</t>
    <phoneticPr fontId="5" type="noConversion"/>
  </si>
  <si>
    <t>확장불확도</t>
    <phoneticPr fontId="5" type="noConversion"/>
  </si>
  <si>
    <t>단위</t>
    <phoneticPr fontId="5" type="noConversion"/>
  </si>
  <si>
    <t>hPa</t>
    <phoneticPr fontId="69" type="noConversion"/>
  </si>
  <si>
    <t>대기온도</t>
    <phoneticPr fontId="69" type="noConversion"/>
  </si>
  <si>
    <t>상대습도</t>
    <phoneticPr fontId="69" type="noConversion"/>
  </si>
  <si>
    <t>H</t>
    <phoneticPr fontId="69" type="noConversion"/>
  </si>
  <si>
    <r>
      <t>ρ</t>
    </r>
    <r>
      <rPr>
        <i/>
        <vertAlign val="subscript"/>
        <sz val="10"/>
        <color theme="1"/>
        <rFont val="맑은 고딕"/>
        <family val="3"/>
        <charset val="129"/>
      </rPr>
      <t>a</t>
    </r>
    <phoneticPr fontId="69" type="noConversion"/>
  </si>
  <si>
    <t>STANDARD CALIBRATION DATA</t>
    <phoneticPr fontId="5" type="noConversion"/>
  </si>
  <si>
    <t>명목압력</t>
    <phoneticPr fontId="5" type="noConversion"/>
  </si>
  <si>
    <t>N.F</t>
    <phoneticPr fontId="5" type="noConversion"/>
  </si>
  <si>
    <r>
      <rPr>
        <b/>
        <sz val="10"/>
        <rFont val="돋움"/>
        <family val="3"/>
        <charset val="129"/>
      </rPr>
      <t>■</t>
    </r>
    <r>
      <rPr>
        <b/>
        <sz val="10"/>
        <rFont val="Tahoma"/>
        <family val="2"/>
      </rPr>
      <t xml:space="preserve"> </t>
    </r>
    <r>
      <rPr>
        <b/>
        <sz val="10"/>
        <rFont val="돋움"/>
        <family val="3"/>
        <charset val="129"/>
      </rPr>
      <t>공기밀도</t>
    </r>
    <r>
      <rPr>
        <b/>
        <sz val="10"/>
        <rFont val="Tahoma"/>
        <family val="2"/>
      </rPr>
      <t xml:space="preserve"> </t>
    </r>
    <r>
      <rPr>
        <b/>
        <sz val="10"/>
        <rFont val="돋움"/>
        <family val="3"/>
        <charset val="129"/>
      </rPr>
      <t>계산</t>
    </r>
    <phoneticPr fontId="5" type="noConversion"/>
  </si>
  <si>
    <t>대기압</t>
    <phoneticPr fontId="69" type="noConversion"/>
  </si>
  <si>
    <t>P</t>
    <phoneticPr fontId="69" type="noConversion"/>
  </si>
  <si>
    <t>기준온도</t>
    <phoneticPr fontId="5" type="noConversion"/>
  </si>
  <si>
    <t>% R.H.</t>
    <phoneticPr fontId="69" type="noConversion"/>
  </si>
  <si>
    <r>
      <rPr>
        <b/>
        <sz val="10"/>
        <rFont val="돋움"/>
        <family val="3"/>
        <charset val="129"/>
      </rPr>
      <t>■</t>
    </r>
    <r>
      <rPr>
        <b/>
        <sz val="10"/>
        <rFont val="Tahoma"/>
        <family val="2"/>
      </rPr>
      <t xml:space="preserve"> </t>
    </r>
    <r>
      <rPr>
        <b/>
        <sz val="10"/>
        <rFont val="돋움"/>
        <family val="3"/>
        <charset val="129"/>
      </rPr>
      <t>사용분동</t>
    </r>
    <r>
      <rPr>
        <b/>
        <sz val="10"/>
        <rFont val="Tahoma"/>
        <family val="2"/>
      </rPr>
      <t xml:space="preserve"> </t>
    </r>
    <r>
      <rPr>
        <b/>
        <sz val="10"/>
        <rFont val="돋움"/>
        <family val="3"/>
        <charset val="129"/>
      </rPr>
      <t>세트</t>
    </r>
    <phoneticPr fontId="5" type="noConversion"/>
  </si>
  <si>
    <t>분모항</t>
    <phoneticPr fontId="5" type="noConversion"/>
  </si>
  <si>
    <t>발생압력</t>
    <phoneticPr fontId="5" type="noConversion"/>
  </si>
  <si>
    <t>보정항</t>
    <phoneticPr fontId="5" type="noConversion"/>
  </si>
  <si>
    <t>분동합 (kg)</t>
    <phoneticPr fontId="5" type="noConversion"/>
  </si>
  <si>
    <t>중력가속도</t>
    <phoneticPr fontId="5" type="noConversion"/>
  </si>
  <si>
    <t>공기밀도</t>
    <phoneticPr fontId="5" type="noConversion"/>
  </si>
  <si>
    <t>분동밀도</t>
    <phoneticPr fontId="5" type="noConversion"/>
  </si>
  <si>
    <t>Tilt Angle</t>
    <phoneticPr fontId="5" type="noConversion"/>
  </si>
  <si>
    <t>표면장력</t>
    <phoneticPr fontId="5" type="noConversion"/>
  </si>
  <si>
    <t>피스톤원둘레</t>
    <phoneticPr fontId="5" type="noConversion"/>
  </si>
  <si>
    <t>[ 힘 ]</t>
    <phoneticPr fontId="5" type="noConversion"/>
  </si>
  <si>
    <t>유효단면적</t>
    <phoneticPr fontId="5" type="noConversion"/>
  </si>
  <si>
    <t>P/C열팽창
계수합</t>
    <phoneticPr fontId="5" type="noConversion"/>
  </si>
  <si>
    <t>온도차</t>
    <phoneticPr fontId="5" type="noConversion"/>
  </si>
  <si>
    <t>[ 단면적 ]</t>
    <phoneticPr fontId="5" type="noConversion"/>
  </si>
  <si>
    <t>유체밀도</t>
    <phoneticPr fontId="5" type="noConversion"/>
  </si>
  <si>
    <t>높이차</t>
    <phoneticPr fontId="5" type="noConversion"/>
  </si>
  <si>
    <t>[ 수두보정 ]</t>
    <phoneticPr fontId="5" type="noConversion"/>
  </si>
  <si>
    <t>[ 표준압력 ]</t>
    <phoneticPr fontId="5" type="noConversion"/>
  </si>
  <si>
    <t>b</t>
    <phoneticPr fontId="5" type="noConversion"/>
  </si>
  <si>
    <r>
      <rPr>
        <b/>
        <sz val="10"/>
        <rFont val="돋움"/>
        <family val="3"/>
        <charset val="129"/>
      </rPr>
      <t>■</t>
    </r>
    <r>
      <rPr>
        <b/>
        <sz val="10"/>
        <rFont val="Tahoma"/>
        <family val="2"/>
      </rPr>
      <t xml:space="preserve"> </t>
    </r>
    <r>
      <rPr>
        <b/>
        <sz val="10"/>
        <rFont val="돋움"/>
        <family val="3"/>
        <charset val="129"/>
      </rPr>
      <t>분동식</t>
    </r>
    <r>
      <rPr>
        <b/>
        <sz val="10"/>
        <rFont val="Tahoma"/>
        <family val="2"/>
      </rPr>
      <t xml:space="preserve"> </t>
    </r>
    <r>
      <rPr>
        <b/>
        <sz val="10"/>
        <rFont val="돋움"/>
        <family val="3"/>
        <charset val="129"/>
      </rPr>
      <t>압력계</t>
    </r>
    <r>
      <rPr>
        <b/>
        <sz val="10"/>
        <rFont val="Tahoma"/>
        <family val="2"/>
      </rPr>
      <t xml:space="preserve"> BMC </t>
    </r>
    <r>
      <rPr>
        <b/>
        <sz val="10"/>
        <rFont val="돋움"/>
        <family val="3"/>
        <charset val="129"/>
      </rPr>
      <t>불확도</t>
    </r>
    <r>
      <rPr>
        <b/>
        <sz val="10"/>
        <rFont val="Tahoma"/>
        <family val="2"/>
      </rPr>
      <t xml:space="preserve"> </t>
    </r>
    <r>
      <rPr>
        <b/>
        <sz val="10"/>
        <rFont val="돋움"/>
        <family val="3"/>
        <charset val="129"/>
      </rPr>
      <t>총괄표</t>
    </r>
    <phoneticPr fontId="5" type="noConversion"/>
  </si>
  <si>
    <t>항목</t>
    <phoneticPr fontId="69" type="noConversion"/>
  </si>
  <si>
    <t>기호</t>
    <phoneticPr fontId="69" type="noConversion"/>
  </si>
  <si>
    <t>값</t>
    <phoneticPr fontId="69" type="noConversion"/>
  </si>
  <si>
    <t>Unit</t>
    <phoneticPr fontId="69" type="noConversion"/>
  </si>
  <si>
    <t>요인</t>
    <phoneticPr fontId="69" type="noConversion"/>
  </si>
  <si>
    <t>나눔수</t>
    <phoneticPr fontId="69" type="noConversion"/>
  </si>
  <si>
    <t>표준불확도</t>
    <phoneticPr fontId="69" type="noConversion"/>
  </si>
  <si>
    <t>감도계수</t>
    <phoneticPr fontId="69" type="noConversion"/>
  </si>
  <si>
    <t>상대불확도 기여량</t>
    <phoneticPr fontId="69" type="noConversion"/>
  </si>
  <si>
    <t>신뢰도</t>
    <phoneticPr fontId="69" type="noConversion"/>
  </si>
  <si>
    <t>자유도</t>
    <phoneticPr fontId="69" type="noConversion"/>
  </si>
  <si>
    <r>
      <t>u</t>
    </r>
    <r>
      <rPr>
        <b/>
        <i/>
        <vertAlign val="subscript"/>
        <sz val="10"/>
        <color theme="0"/>
        <rFont val="맑은 고딕"/>
        <family val="3"/>
        <charset val="129"/>
        <scheme val="minor"/>
      </rPr>
      <t>i</t>
    </r>
    <r>
      <rPr>
        <b/>
        <vertAlign val="superscript"/>
        <sz val="10"/>
        <color theme="0"/>
        <rFont val="맑은 고딕"/>
        <family val="3"/>
        <charset val="129"/>
        <scheme val="minor"/>
      </rPr>
      <t>4</t>
    </r>
    <r>
      <rPr>
        <b/>
        <sz val="10"/>
        <color theme="0"/>
        <rFont val="맑은 고딕"/>
        <family val="3"/>
        <charset val="129"/>
        <scheme val="minor"/>
      </rPr>
      <t>/</t>
    </r>
    <r>
      <rPr>
        <b/>
        <i/>
        <sz val="10"/>
        <color theme="0"/>
        <rFont val="맑은 고딕"/>
        <family val="3"/>
        <charset val="129"/>
        <scheme val="minor"/>
      </rPr>
      <t>ν</t>
    </r>
    <r>
      <rPr>
        <b/>
        <i/>
        <vertAlign val="subscript"/>
        <sz val="10"/>
        <color theme="0"/>
        <rFont val="맑은 고딕"/>
        <family val="3"/>
        <charset val="129"/>
        <scheme val="minor"/>
      </rPr>
      <t>i</t>
    </r>
    <phoneticPr fontId="69" type="noConversion"/>
  </si>
  <si>
    <t>P/C 유효단면적</t>
    <phoneticPr fontId="69" type="noConversion"/>
  </si>
  <si>
    <r>
      <t>A</t>
    </r>
    <r>
      <rPr>
        <i/>
        <vertAlign val="subscript"/>
        <sz val="10"/>
        <color theme="1"/>
        <rFont val="맑은 고딕"/>
        <family val="3"/>
        <charset val="129"/>
        <scheme val="minor"/>
      </rPr>
      <t>0</t>
    </r>
    <phoneticPr fontId="69" type="noConversion"/>
  </si>
  <si>
    <t>㎡</t>
    <phoneticPr fontId="69" type="noConversion"/>
  </si>
  <si>
    <t>U</t>
    <phoneticPr fontId="69" type="noConversion"/>
  </si>
  <si>
    <t>k</t>
    <phoneticPr fontId="69" type="noConversion"/>
  </si>
  <si>
    <r>
      <rPr>
        <sz val="10"/>
        <color theme="1"/>
        <rFont val="맑은 고딕"/>
        <family val="3"/>
        <charset val="129"/>
        <scheme val="minor"/>
      </rPr>
      <t>1/</t>
    </r>
    <r>
      <rPr>
        <i/>
        <sz val="10"/>
        <color theme="1"/>
        <rFont val="맑은 고딕"/>
        <family val="3"/>
        <charset val="129"/>
        <scheme val="minor"/>
      </rPr>
      <t>A</t>
    </r>
    <r>
      <rPr>
        <i/>
        <vertAlign val="subscript"/>
        <sz val="10"/>
        <color theme="1"/>
        <rFont val="맑은 고딕"/>
        <family val="3"/>
        <charset val="129"/>
        <scheme val="minor"/>
      </rPr>
      <t>0</t>
    </r>
    <phoneticPr fontId="69" type="noConversion"/>
  </si>
  <si>
    <t>/㎡</t>
    <phoneticPr fontId="69" type="noConversion"/>
  </si>
  <si>
    <t>P/C 온도</t>
    <phoneticPr fontId="69" type="noConversion"/>
  </si>
  <si>
    <r>
      <t>T - T</t>
    </r>
    <r>
      <rPr>
        <i/>
        <vertAlign val="subscript"/>
        <sz val="10"/>
        <color theme="1"/>
        <rFont val="맑은 고딕"/>
        <family val="3"/>
        <charset val="129"/>
        <scheme val="minor"/>
      </rPr>
      <t>r</t>
    </r>
    <phoneticPr fontId="69" type="noConversion"/>
  </si>
  <si>
    <t>온도변화</t>
    <phoneticPr fontId="69" type="noConversion"/>
  </si>
  <si>
    <t>√3</t>
    <phoneticPr fontId="69" type="noConversion"/>
  </si>
  <si>
    <r>
      <t>α</t>
    </r>
    <r>
      <rPr>
        <i/>
        <vertAlign val="subscript"/>
        <sz val="10"/>
        <color theme="1"/>
        <rFont val="맑은 고딕"/>
        <family val="3"/>
        <charset val="129"/>
        <scheme val="minor"/>
      </rPr>
      <t>p</t>
    </r>
    <r>
      <rPr>
        <i/>
        <sz val="10"/>
        <color theme="1"/>
        <rFont val="맑은 고딕"/>
        <family val="3"/>
        <charset val="129"/>
        <scheme val="minor"/>
      </rPr>
      <t xml:space="preserve"> + α</t>
    </r>
    <r>
      <rPr>
        <i/>
        <vertAlign val="subscript"/>
        <sz val="10"/>
        <color theme="1"/>
        <rFont val="맑은 고딕"/>
        <family val="3"/>
        <charset val="129"/>
        <scheme val="minor"/>
      </rPr>
      <t>c</t>
    </r>
    <phoneticPr fontId="69" type="noConversion"/>
  </si>
  <si>
    <t>/℃</t>
    <phoneticPr fontId="69" type="noConversion"/>
  </si>
  <si>
    <t>P/C 열팽창계수</t>
    <phoneticPr fontId="69" type="noConversion"/>
  </si>
  <si>
    <t>중력가속도</t>
    <phoneticPr fontId="69" type="noConversion"/>
  </si>
  <si>
    <t>g</t>
    <phoneticPr fontId="69" type="noConversion"/>
  </si>
  <si>
    <r>
      <t>m/s</t>
    </r>
    <r>
      <rPr>
        <vertAlign val="superscript"/>
        <sz val="10"/>
        <color theme="1"/>
        <rFont val="맑은 고딕"/>
        <family val="3"/>
        <charset val="129"/>
        <scheme val="minor"/>
      </rPr>
      <t>2</t>
    </r>
    <phoneticPr fontId="69" type="noConversion"/>
  </si>
  <si>
    <r>
      <rPr>
        <sz val="10"/>
        <color theme="1"/>
        <rFont val="맑은 고딕"/>
        <family val="3"/>
        <charset val="129"/>
        <scheme val="minor"/>
      </rPr>
      <t>1/</t>
    </r>
    <r>
      <rPr>
        <i/>
        <sz val="10"/>
        <color theme="1"/>
        <rFont val="맑은 고딕"/>
        <family val="3"/>
        <charset val="129"/>
        <scheme val="minor"/>
      </rPr>
      <t>g</t>
    </r>
    <phoneticPr fontId="69" type="noConversion"/>
  </si>
  <si>
    <r>
      <t>s</t>
    </r>
    <r>
      <rPr>
        <vertAlign val="superscript"/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맑은 고딕"/>
        <family val="3"/>
        <charset val="129"/>
        <scheme val="minor"/>
      </rPr>
      <t>/m</t>
    </r>
    <phoneticPr fontId="69" type="noConversion"/>
  </si>
  <si>
    <t>P/C 수직성</t>
    <phoneticPr fontId="69" type="noConversion"/>
  </si>
  <si>
    <t>θ</t>
    <phoneticPr fontId="69" type="noConversion"/>
  </si>
  <si>
    <t>min</t>
    <phoneticPr fontId="69" type="noConversion"/>
  </si>
  <si>
    <t>radian</t>
    <phoneticPr fontId="69" type="noConversion"/>
  </si>
  <si>
    <r>
      <rPr>
        <sz val="10"/>
        <color theme="1"/>
        <rFont val="맑은 고딕"/>
        <family val="3"/>
        <charset val="129"/>
        <scheme val="minor"/>
      </rPr>
      <t>tan</t>
    </r>
    <r>
      <rPr>
        <i/>
        <sz val="10"/>
        <color theme="1"/>
        <rFont val="맑은 고딕"/>
        <family val="3"/>
        <charset val="129"/>
        <scheme val="minor"/>
      </rPr>
      <t>θ</t>
    </r>
    <phoneticPr fontId="69" type="noConversion"/>
  </si>
  <si>
    <t>재현성</t>
    <phoneticPr fontId="69" type="noConversion"/>
  </si>
  <si>
    <t>R</t>
    <phoneticPr fontId="69" type="noConversion"/>
  </si>
  <si>
    <t>ppm</t>
    <phoneticPr fontId="69" type="noConversion"/>
  </si>
  <si>
    <t>명목압력</t>
    <phoneticPr fontId="69" type="noConversion"/>
  </si>
  <si>
    <r>
      <t>P</t>
    </r>
    <r>
      <rPr>
        <i/>
        <vertAlign val="subscript"/>
        <sz val="10"/>
        <color theme="1"/>
        <rFont val="맑은 고딕"/>
        <family val="3"/>
        <charset val="129"/>
        <scheme val="minor"/>
      </rPr>
      <t>n</t>
    </r>
    <phoneticPr fontId="69" type="noConversion"/>
  </si>
  <si>
    <t>Pa</t>
    <phoneticPr fontId="69" type="noConversion"/>
  </si>
  <si>
    <t>50ppm</t>
    <phoneticPr fontId="69" type="noConversion"/>
  </si>
  <si>
    <t>λ</t>
    <phoneticPr fontId="69" type="noConversion"/>
  </si>
  <si>
    <t>/Pa</t>
    <phoneticPr fontId="69" type="noConversion"/>
  </si>
  <si>
    <t>압력변형계수</t>
    <phoneticPr fontId="69" type="noConversion"/>
  </si>
  <si>
    <r>
      <t>ρ</t>
    </r>
    <r>
      <rPr>
        <i/>
        <vertAlign val="subscript"/>
        <sz val="10"/>
        <color theme="1"/>
        <rFont val="맑은 고딕"/>
        <family val="3"/>
        <charset val="129"/>
        <scheme val="minor"/>
      </rPr>
      <t>a</t>
    </r>
    <phoneticPr fontId="69" type="noConversion"/>
  </si>
  <si>
    <t>0.05 kg/㎥</t>
    <phoneticPr fontId="69" type="noConversion"/>
  </si>
  <si>
    <r>
      <rPr>
        <sz val="10"/>
        <color theme="1"/>
        <rFont val="맑은 고딕"/>
        <family val="3"/>
        <charset val="129"/>
        <scheme val="minor"/>
      </rPr>
      <t>1/</t>
    </r>
    <r>
      <rPr>
        <i/>
        <sz val="10"/>
        <color theme="1"/>
        <rFont val="맑은 고딕"/>
        <family val="3"/>
        <charset val="129"/>
        <scheme val="minor"/>
      </rPr>
      <t>ρ</t>
    </r>
    <r>
      <rPr>
        <i/>
        <vertAlign val="subscript"/>
        <sz val="10"/>
        <color theme="1"/>
        <rFont val="맑은 고딕"/>
        <family val="3"/>
        <charset val="129"/>
        <scheme val="minor"/>
      </rPr>
      <t>m</t>
    </r>
    <phoneticPr fontId="69" type="noConversion"/>
  </si>
  <si>
    <t>㎥/kg</t>
    <phoneticPr fontId="69" type="noConversion"/>
  </si>
  <si>
    <t>분동</t>
    <phoneticPr fontId="69" type="noConversion"/>
  </si>
  <si>
    <t>M</t>
    <phoneticPr fontId="69" type="noConversion"/>
  </si>
  <si>
    <t>kg</t>
    <phoneticPr fontId="69" type="noConversion"/>
  </si>
  <si>
    <r>
      <rPr>
        <sz val="10"/>
        <color theme="1"/>
        <rFont val="맑은 고딕"/>
        <family val="3"/>
        <charset val="129"/>
        <scheme val="minor"/>
      </rPr>
      <t>1/</t>
    </r>
    <r>
      <rPr>
        <i/>
        <sz val="10"/>
        <color theme="1"/>
        <rFont val="맑은 고딕"/>
        <family val="3"/>
        <charset val="129"/>
        <scheme val="minor"/>
      </rPr>
      <t>m</t>
    </r>
    <phoneticPr fontId="69" type="noConversion"/>
  </si>
  <si>
    <t>/kg</t>
    <phoneticPr fontId="69" type="noConversion"/>
  </si>
  <si>
    <t>분동밀도</t>
    <phoneticPr fontId="69" type="noConversion"/>
  </si>
  <si>
    <r>
      <t>ρ</t>
    </r>
    <r>
      <rPr>
        <i/>
        <vertAlign val="subscript"/>
        <sz val="10"/>
        <color theme="1"/>
        <rFont val="맑은 고딕"/>
        <family val="3"/>
        <charset val="129"/>
        <scheme val="minor"/>
      </rPr>
      <t>m</t>
    </r>
    <phoneticPr fontId="69" type="noConversion"/>
  </si>
  <si>
    <r>
      <t>ρ</t>
    </r>
    <r>
      <rPr>
        <i/>
        <vertAlign val="subscript"/>
        <sz val="10"/>
        <color theme="1"/>
        <rFont val="맑은 고딕"/>
        <family val="3"/>
        <charset val="129"/>
        <scheme val="minor"/>
      </rPr>
      <t>a</t>
    </r>
    <r>
      <rPr>
        <sz val="10"/>
        <color theme="1"/>
        <rFont val="맑은 고딕"/>
        <family val="3"/>
        <charset val="129"/>
        <scheme val="minor"/>
      </rPr>
      <t>/</t>
    </r>
    <r>
      <rPr>
        <i/>
        <sz val="10"/>
        <color theme="1"/>
        <rFont val="맑은 고딕"/>
        <family val="3"/>
        <charset val="129"/>
        <scheme val="minor"/>
      </rPr>
      <t>ρ</t>
    </r>
    <r>
      <rPr>
        <vertAlign val="superscript"/>
        <sz val="10"/>
        <color theme="1"/>
        <rFont val="맑은 고딕"/>
        <family val="3"/>
        <charset val="129"/>
        <scheme val="minor"/>
      </rPr>
      <t>2</t>
    </r>
    <r>
      <rPr>
        <i/>
        <vertAlign val="subscript"/>
        <sz val="10"/>
        <color theme="1"/>
        <rFont val="맑은 고딕"/>
        <family val="3"/>
        <charset val="129"/>
        <scheme val="minor"/>
      </rPr>
      <t>m</t>
    </r>
    <phoneticPr fontId="69" type="noConversion"/>
  </si>
  <si>
    <t>유체밀도</t>
    <phoneticPr fontId="69" type="noConversion"/>
  </si>
  <si>
    <r>
      <t>ρ</t>
    </r>
    <r>
      <rPr>
        <i/>
        <vertAlign val="subscript"/>
        <sz val="10"/>
        <color theme="1"/>
        <rFont val="맑은 고딕"/>
        <family val="3"/>
        <charset val="129"/>
        <scheme val="minor"/>
      </rPr>
      <t>f</t>
    </r>
    <phoneticPr fontId="69" type="noConversion"/>
  </si>
  <si>
    <r>
      <t>g</t>
    </r>
    <r>
      <rPr>
        <sz val="10"/>
        <color theme="1"/>
        <rFont val="맑은 고딕"/>
        <family val="3"/>
        <charset val="129"/>
        <scheme val="minor"/>
      </rPr>
      <t>×</t>
    </r>
    <r>
      <rPr>
        <i/>
        <sz val="10"/>
        <color theme="1"/>
        <rFont val="맑은 고딕"/>
        <family val="3"/>
        <charset val="129"/>
        <scheme val="minor"/>
      </rPr>
      <t>h</t>
    </r>
    <r>
      <rPr>
        <sz val="10"/>
        <color theme="1"/>
        <rFont val="맑은 고딕"/>
        <family val="3"/>
        <charset val="129"/>
        <scheme val="minor"/>
      </rPr>
      <t>/</t>
    </r>
    <r>
      <rPr>
        <i/>
        <sz val="10"/>
        <color theme="1"/>
        <rFont val="맑은 고딕"/>
        <family val="3"/>
        <charset val="129"/>
        <scheme val="minor"/>
      </rPr>
      <t>P</t>
    </r>
    <r>
      <rPr>
        <i/>
        <vertAlign val="subscript"/>
        <sz val="10"/>
        <color theme="1"/>
        <rFont val="맑은 고딕"/>
        <family val="3"/>
        <charset val="129"/>
        <scheme val="minor"/>
      </rPr>
      <t>n</t>
    </r>
    <phoneticPr fontId="69" type="noConversion"/>
  </si>
  <si>
    <t>수두높이</t>
    <phoneticPr fontId="69" type="noConversion"/>
  </si>
  <si>
    <t>h</t>
    <phoneticPr fontId="69" type="noConversion"/>
  </si>
  <si>
    <t>m</t>
    <phoneticPr fontId="69" type="noConversion"/>
  </si>
  <si>
    <r>
      <t>g</t>
    </r>
    <r>
      <rPr>
        <sz val="10"/>
        <color theme="1"/>
        <rFont val="맑은 고딕"/>
        <family val="3"/>
        <charset val="129"/>
        <scheme val="minor"/>
      </rPr>
      <t>×</t>
    </r>
    <r>
      <rPr>
        <i/>
        <sz val="10"/>
        <color theme="1"/>
        <rFont val="맑은 고딕"/>
        <family val="3"/>
        <charset val="129"/>
        <scheme val="minor"/>
      </rPr>
      <t>ρ</t>
    </r>
    <r>
      <rPr>
        <i/>
        <vertAlign val="subscript"/>
        <sz val="10"/>
        <color theme="1"/>
        <rFont val="맑은 고딕"/>
        <family val="3"/>
        <charset val="129"/>
        <scheme val="minor"/>
      </rPr>
      <t>f</t>
    </r>
    <r>
      <rPr>
        <sz val="10"/>
        <color theme="1"/>
        <rFont val="맑은 고딕"/>
        <family val="3"/>
        <charset val="129"/>
        <scheme val="minor"/>
      </rPr>
      <t>/</t>
    </r>
    <r>
      <rPr>
        <i/>
        <sz val="10"/>
        <color theme="1"/>
        <rFont val="맑은 고딕"/>
        <family val="3"/>
        <charset val="129"/>
        <scheme val="minor"/>
      </rPr>
      <t>P</t>
    </r>
    <r>
      <rPr>
        <i/>
        <vertAlign val="subscript"/>
        <sz val="10"/>
        <color theme="1"/>
        <rFont val="맑은 고딕"/>
        <family val="3"/>
        <charset val="129"/>
        <scheme val="minor"/>
      </rPr>
      <t>n</t>
    </r>
    <phoneticPr fontId="69" type="noConversion"/>
  </si>
  <si>
    <t>/m</t>
    <phoneticPr fontId="69" type="noConversion"/>
  </si>
  <si>
    <t>피스톤 원둘레</t>
    <phoneticPr fontId="69" type="noConversion"/>
  </si>
  <si>
    <t>C</t>
    <phoneticPr fontId="69" type="noConversion"/>
  </si>
  <si>
    <r>
      <t>γg</t>
    </r>
    <r>
      <rPr>
        <vertAlign val="superscript"/>
        <sz val="10"/>
        <color theme="1"/>
        <rFont val="맑은 고딕"/>
        <family val="3"/>
        <charset val="129"/>
        <scheme val="minor"/>
      </rPr>
      <t>-1</t>
    </r>
    <r>
      <rPr>
        <i/>
        <sz val="10"/>
        <color theme="1"/>
        <rFont val="맑은 고딕"/>
        <family val="3"/>
        <charset val="129"/>
        <scheme val="minor"/>
      </rPr>
      <t>m</t>
    </r>
    <r>
      <rPr>
        <vertAlign val="superscript"/>
        <sz val="10"/>
        <color theme="1"/>
        <rFont val="맑은 고딕"/>
        <family val="3"/>
        <charset val="129"/>
        <scheme val="minor"/>
      </rPr>
      <t>-1</t>
    </r>
    <phoneticPr fontId="69" type="noConversion"/>
  </si>
  <si>
    <t>표면장력</t>
    <phoneticPr fontId="69" type="noConversion"/>
  </si>
  <si>
    <t>γ</t>
    <phoneticPr fontId="69" type="noConversion"/>
  </si>
  <si>
    <t>N/m</t>
    <phoneticPr fontId="69" type="noConversion"/>
  </si>
  <si>
    <r>
      <t>Cg</t>
    </r>
    <r>
      <rPr>
        <vertAlign val="superscript"/>
        <sz val="10"/>
        <color theme="1"/>
        <rFont val="맑은 고딕"/>
        <family val="3"/>
        <charset val="129"/>
        <scheme val="minor"/>
      </rPr>
      <t>-1</t>
    </r>
    <r>
      <rPr>
        <i/>
        <sz val="10"/>
        <color theme="1"/>
        <rFont val="맑은 고딕"/>
        <family val="3"/>
        <charset val="129"/>
        <scheme val="minor"/>
      </rPr>
      <t>m</t>
    </r>
    <r>
      <rPr>
        <vertAlign val="superscript"/>
        <sz val="10"/>
        <color theme="1"/>
        <rFont val="맑은 고딕"/>
        <family val="3"/>
        <charset val="129"/>
        <scheme val="minor"/>
      </rPr>
      <t>-1</t>
    </r>
    <phoneticPr fontId="69" type="noConversion"/>
  </si>
  <si>
    <t>m/N</t>
    <phoneticPr fontId="69" type="noConversion"/>
  </si>
  <si>
    <t>합성표준불확도</t>
    <phoneticPr fontId="69" type="noConversion"/>
  </si>
  <si>
    <r>
      <rPr>
        <sz val="10"/>
        <rFont val="맑은 고딕"/>
        <family val="3"/>
        <charset val="129"/>
        <scheme val="minor"/>
      </rPr>
      <t>∑</t>
    </r>
    <r>
      <rPr>
        <i/>
        <sz val="10"/>
        <rFont val="맑은 고딕"/>
        <family val="3"/>
        <charset val="129"/>
        <scheme val="minor"/>
      </rPr>
      <t>u</t>
    </r>
    <r>
      <rPr>
        <i/>
        <vertAlign val="subscript"/>
        <sz val="10"/>
        <rFont val="맑은 고딕"/>
        <family val="3"/>
        <charset val="129"/>
        <scheme val="minor"/>
      </rPr>
      <t>i</t>
    </r>
    <r>
      <rPr>
        <vertAlign val="superscript"/>
        <sz val="10"/>
        <rFont val="맑은 고딕"/>
        <family val="3"/>
        <charset val="129"/>
        <scheme val="minor"/>
      </rPr>
      <t>4</t>
    </r>
    <r>
      <rPr>
        <sz val="10"/>
        <rFont val="맑은 고딕"/>
        <family val="3"/>
        <charset val="129"/>
        <scheme val="minor"/>
      </rPr>
      <t>/</t>
    </r>
    <r>
      <rPr>
        <i/>
        <sz val="10"/>
        <rFont val="맑은 고딕"/>
        <family val="3"/>
        <charset val="129"/>
        <scheme val="minor"/>
      </rPr>
      <t>ν</t>
    </r>
    <r>
      <rPr>
        <i/>
        <vertAlign val="subscript"/>
        <sz val="10"/>
        <rFont val="맑은 고딕"/>
        <family val="3"/>
        <charset val="129"/>
        <scheme val="minor"/>
      </rPr>
      <t>i</t>
    </r>
    <phoneticPr fontId="69" type="noConversion"/>
  </si>
  <si>
    <t>유효자유도</t>
    <phoneticPr fontId="69" type="noConversion"/>
  </si>
  <si>
    <t>측정불확도</t>
    <phoneticPr fontId="69" type="noConversion"/>
  </si>
  <si>
    <t>% of Reading</t>
    <phoneticPr fontId="69" type="noConversion"/>
  </si>
  <si>
    <r>
      <rPr>
        <b/>
        <sz val="10"/>
        <rFont val="돋움"/>
        <family val="3"/>
        <charset val="129"/>
      </rPr>
      <t>■</t>
    </r>
    <r>
      <rPr>
        <b/>
        <sz val="10"/>
        <rFont val="Tahoma"/>
        <family val="2"/>
      </rPr>
      <t xml:space="preserve"> </t>
    </r>
    <r>
      <rPr>
        <b/>
        <sz val="10"/>
        <rFont val="돋움"/>
        <family val="3"/>
        <charset val="129"/>
      </rPr>
      <t>표준압력</t>
    </r>
    <r>
      <rPr>
        <b/>
        <sz val="10"/>
        <rFont val="Tahoma"/>
        <family val="2"/>
      </rPr>
      <t xml:space="preserve"> </t>
    </r>
    <r>
      <rPr>
        <b/>
        <sz val="10"/>
        <rFont val="돋움"/>
        <family val="3"/>
        <charset val="129"/>
      </rPr>
      <t>계산</t>
    </r>
    <phoneticPr fontId="5" type="noConversion"/>
  </si>
  <si>
    <r>
      <rPr>
        <b/>
        <sz val="9"/>
        <color indexed="9"/>
        <rFont val="돋움"/>
        <family val="3"/>
        <charset val="129"/>
      </rPr>
      <t>소수점</t>
    </r>
    <phoneticPr fontId="5" type="noConversion"/>
  </si>
  <si>
    <r>
      <rPr>
        <b/>
        <sz val="9"/>
        <color indexed="9"/>
        <rFont val="돋움"/>
        <family val="3"/>
        <charset val="129"/>
      </rPr>
      <t>값</t>
    </r>
    <phoneticPr fontId="5" type="noConversion"/>
  </si>
  <si>
    <t>CALIBRATION RESULT</t>
    <phoneticPr fontId="5" type="noConversion"/>
  </si>
  <si>
    <t>kg</t>
    <phoneticPr fontId="5" type="noConversion"/>
  </si>
  <si>
    <t>압력교정기</t>
    <phoneticPr fontId="5" type="noConversion"/>
  </si>
  <si>
    <t>Coefficient 1</t>
  </si>
  <si>
    <t>Coefficient 2</t>
  </si>
  <si>
    <t>Coefficient 3</t>
  </si>
  <si>
    <t>Coefficient 4</t>
  </si>
  <si>
    <t>※ 공압 분동식 압력계 최대용량</t>
    <phoneticPr fontId="5" type="noConversion"/>
  </si>
  <si>
    <r>
      <rPr>
        <b/>
        <sz val="10"/>
        <rFont val="돋움"/>
        <family val="3"/>
        <charset val="129"/>
      </rPr>
      <t>■</t>
    </r>
    <r>
      <rPr>
        <b/>
        <sz val="10"/>
        <rFont val="Tahoma"/>
        <family val="2"/>
      </rPr>
      <t xml:space="preserve"> </t>
    </r>
    <r>
      <rPr>
        <b/>
        <sz val="10"/>
        <rFont val="돋움"/>
        <family val="3"/>
        <charset val="129"/>
      </rPr>
      <t>기준기</t>
    </r>
    <r>
      <rPr>
        <b/>
        <sz val="10"/>
        <rFont val="Tahoma"/>
        <family val="2"/>
      </rPr>
      <t xml:space="preserve"> </t>
    </r>
    <r>
      <rPr>
        <b/>
        <sz val="10"/>
        <rFont val="돋움"/>
        <family val="3"/>
        <charset val="129"/>
      </rPr>
      <t>정보</t>
    </r>
    <phoneticPr fontId="5" type="noConversion"/>
  </si>
  <si>
    <t>측정기명</t>
    <phoneticPr fontId="5" type="noConversion"/>
  </si>
  <si>
    <t>모델</t>
    <phoneticPr fontId="5" type="noConversion"/>
  </si>
  <si>
    <t>최대용량</t>
    <phoneticPr fontId="5" type="noConversion"/>
  </si>
  <si>
    <t>분동식압력계 분자항</t>
    <phoneticPr fontId="5" type="noConversion"/>
  </si>
  <si>
    <t>Pa</t>
    <phoneticPr fontId="5" type="noConversion"/>
  </si>
  <si>
    <t>환산계수</t>
    <phoneticPr fontId="5" type="noConversion"/>
  </si>
  <si>
    <t>hPa</t>
    <phoneticPr fontId="5" type="noConversion"/>
  </si>
  <si>
    <t>Pressure Balance</t>
  </si>
  <si>
    <t>세부분류</t>
    <phoneticPr fontId="5" type="noConversion"/>
  </si>
  <si>
    <t>Pa abs.</t>
    <phoneticPr fontId="5" type="noConversion"/>
  </si>
  <si>
    <t>hPa abs.</t>
    <phoneticPr fontId="5" type="noConversion"/>
  </si>
  <si>
    <t>kPa abs.</t>
    <phoneticPr fontId="5" type="noConversion"/>
  </si>
  <si>
    <t>MPa abs.</t>
    <phoneticPr fontId="5" type="noConversion"/>
  </si>
  <si>
    <t>STANDARD CALIBRATION DATA (DMM)</t>
    <phoneticPr fontId="5" type="noConversion"/>
  </si>
  <si>
    <t>최소출력</t>
    <phoneticPr fontId="5" type="noConversion"/>
  </si>
  <si>
    <t>정격출력</t>
    <phoneticPr fontId="5" type="noConversion"/>
  </si>
  <si>
    <t>입력전압(V)</t>
    <phoneticPr fontId="5" type="noConversion"/>
  </si>
  <si>
    <t>최소출력</t>
  </si>
  <si>
    <t>정격출력</t>
  </si>
  <si>
    <t>입력전압(V)</t>
  </si>
  <si>
    <t>이론적출력값</t>
    <phoneticPr fontId="5" type="noConversion"/>
  </si>
  <si>
    <t>출력단위</t>
    <phoneticPr fontId="5" type="noConversion"/>
  </si>
  <si>
    <t xml:space="preserve"> 측정값</t>
    <phoneticPr fontId="5" type="noConversion"/>
  </si>
  <si>
    <t>등록번호</t>
    <phoneticPr fontId="5" type="noConversion"/>
  </si>
  <si>
    <t>기준값</t>
    <phoneticPr fontId="5" type="noConversion"/>
  </si>
  <si>
    <t>단위</t>
    <phoneticPr fontId="5" type="noConversion"/>
  </si>
  <si>
    <t>확장불확도</t>
    <phoneticPr fontId="5" type="noConversion"/>
  </si>
  <si>
    <t>장기안정도1</t>
    <phoneticPr fontId="5" type="noConversion"/>
  </si>
  <si>
    <t>장기안정도2</t>
    <phoneticPr fontId="5" type="noConversion"/>
  </si>
  <si>
    <t>xi*yi 3</t>
    <phoneticPr fontId="5" type="noConversion"/>
  </si>
  <si>
    <t>CMC검토</t>
    <phoneticPr fontId="5" type="noConversion"/>
  </si>
  <si>
    <t>1. 교정결과</t>
    <phoneticPr fontId="5" type="noConversion"/>
  </si>
  <si>
    <t>DMM 지시값, yi;Vi</t>
    <phoneticPr fontId="5" type="noConversion"/>
  </si>
  <si>
    <t>반복측정?</t>
    <phoneticPr fontId="5" type="noConversion"/>
  </si>
  <si>
    <t>DMM 보정값</t>
    <phoneticPr fontId="5" type="noConversion"/>
  </si>
  <si>
    <t>지시값 변환 및 DMM보정값 적용</t>
    <phoneticPr fontId="5" type="noConversion"/>
  </si>
  <si>
    <t>구분</t>
    <phoneticPr fontId="5" type="noConversion"/>
  </si>
  <si>
    <t>DMM 지시값</t>
    <phoneticPr fontId="5" type="noConversion"/>
  </si>
  <si>
    <t>S</t>
    <phoneticPr fontId="5" type="noConversion"/>
  </si>
  <si>
    <t>평균값, Vi</t>
    <phoneticPr fontId="5" type="noConversion"/>
  </si>
  <si>
    <t>압력변환</t>
    <phoneticPr fontId="5" type="noConversion"/>
  </si>
  <si>
    <t>반복성</t>
    <phoneticPr fontId="5" type="noConversion"/>
  </si>
  <si>
    <t>xi*yi 1</t>
    <phoneticPr fontId="5" type="noConversion"/>
  </si>
  <si>
    <t>mbar</t>
    <phoneticPr fontId="5" type="noConversion"/>
  </si>
  <si>
    <t>감압</t>
    <phoneticPr fontId="5" type="noConversion"/>
  </si>
  <si>
    <t>2. 불확도계산</t>
    <phoneticPr fontId="5" type="noConversion"/>
  </si>
  <si>
    <r>
      <t xml:space="preserve">표준기
표준불확도
</t>
    </r>
    <r>
      <rPr>
        <b/>
        <i/>
        <sz val="9"/>
        <color indexed="9"/>
        <rFont val="맑은 고딕"/>
        <family val="3"/>
        <charset val="129"/>
        <scheme val="minor"/>
      </rPr>
      <t>k</t>
    </r>
    <r>
      <rPr>
        <b/>
        <sz val="9"/>
        <color indexed="9"/>
        <rFont val="맑은 고딕"/>
        <family val="3"/>
        <charset val="129"/>
        <scheme val="minor"/>
      </rPr>
      <t>=1</t>
    </r>
    <phoneticPr fontId="5" type="noConversion"/>
  </si>
  <si>
    <r>
      <t xml:space="preserve">합성
표준불확도
</t>
    </r>
    <r>
      <rPr>
        <b/>
        <i/>
        <sz val="9"/>
        <color indexed="9"/>
        <rFont val="맑은 고딕"/>
        <family val="3"/>
        <charset val="129"/>
        <scheme val="minor"/>
      </rPr>
      <t>k</t>
    </r>
    <r>
      <rPr>
        <b/>
        <sz val="9"/>
        <color indexed="9"/>
        <rFont val="맑은 고딕"/>
        <family val="3"/>
        <charset val="129"/>
        <scheme val="minor"/>
      </rPr>
      <t>=1</t>
    </r>
    <phoneticPr fontId="5" type="noConversion"/>
  </si>
  <si>
    <t>CMC
검토</t>
    <phoneticPr fontId="5" type="noConversion"/>
  </si>
  <si>
    <t>영점</t>
    <phoneticPr fontId="5" type="noConversion"/>
  </si>
  <si>
    <t>선택</t>
    <phoneticPr fontId="5" type="noConversion"/>
  </si>
  <si>
    <t>5%rule?</t>
    <phoneticPr fontId="5" type="noConversion"/>
  </si>
  <si>
    <t>자리수맞춤</t>
    <phoneticPr fontId="5" type="noConversion"/>
  </si>
  <si>
    <t>b'</t>
    <phoneticPr fontId="5" type="noConversion"/>
  </si>
  <si>
    <r>
      <rPr>
        <b/>
        <sz val="9"/>
        <color indexed="9"/>
        <rFont val="돋움"/>
        <family val="3"/>
        <charset val="129"/>
      </rPr>
      <t>하한</t>
    </r>
    <phoneticPr fontId="5" type="noConversion"/>
  </si>
  <si>
    <t>지시값 평균</t>
    <phoneticPr fontId="5" type="noConversion"/>
  </si>
  <si>
    <t>측정점수</t>
    <phoneticPr fontId="5" type="noConversion"/>
  </si>
  <si>
    <t>DMM
최소눈금</t>
    <phoneticPr fontId="5" type="noConversion"/>
  </si>
  <si>
    <t>DMM
분해능</t>
    <phoneticPr fontId="5" type="noConversion"/>
  </si>
  <si>
    <t>분해능단위</t>
    <phoneticPr fontId="5" type="noConversion"/>
  </si>
  <si>
    <t>교정점 수</t>
    <phoneticPr fontId="5" type="noConversion"/>
  </si>
  <si>
    <t>DMM 지시값 (영점보정)</t>
    <phoneticPr fontId="5" type="noConversion"/>
  </si>
  <si>
    <t>2회</t>
    <phoneticPr fontId="5" type="noConversion"/>
  </si>
  <si>
    <r>
      <t>교정대상기기(압력변환기/전송기) 불확도인자 표준불확도 (</t>
    </r>
    <r>
      <rPr>
        <b/>
        <i/>
        <sz val="9"/>
        <color indexed="9"/>
        <rFont val="맑은 고딕"/>
        <family val="3"/>
        <charset val="129"/>
        <scheme val="minor"/>
      </rPr>
      <t>k</t>
    </r>
    <r>
      <rPr>
        <b/>
        <sz val="9"/>
        <color indexed="9"/>
        <rFont val="맑은 고딕"/>
        <family val="3"/>
        <charset val="129"/>
        <scheme val="minor"/>
      </rPr>
      <t>=1)</t>
    </r>
    <phoneticPr fontId="5" type="noConversion"/>
  </si>
  <si>
    <t>반복도</t>
    <phoneticPr fontId="5" type="noConversion"/>
  </si>
  <si>
    <t>출력신호측정
(분해능)</t>
    <phoneticPr fontId="5" type="noConversion"/>
  </si>
  <si>
    <r>
      <rPr>
        <b/>
        <sz val="9"/>
        <color indexed="9"/>
        <rFont val="돋움"/>
        <family val="3"/>
        <charset val="129"/>
      </rPr>
      <t>소수점</t>
    </r>
    <phoneticPr fontId="5" type="noConversion"/>
  </si>
  <si>
    <r>
      <rPr>
        <b/>
        <sz val="9"/>
        <color indexed="9"/>
        <rFont val="돋움"/>
        <family val="3"/>
        <charset val="129"/>
      </rPr>
      <t>상한</t>
    </r>
    <phoneticPr fontId="5" type="noConversion"/>
  </si>
  <si>
    <t>불확도</t>
    <phoneticPr fontId="5" type="noConversion"/>
  </si>
  <si>
    <t>0.000 00</t>
    <phoneticPr fontId="5" type="noConversion"/>
  </si>
  <si>
    <t>0.000 0</t>
    <phoneticPr fontId="5" type="noConversion"/>
  </si>
  <si>
    <t>0.000</t>
    <phoneticPr fontId="5" type="noConversion"/>
  </si>
  <si>
    <t>0.0</t>
    <phoneticPr fontId="5" type="noConversion"/>
  </si>
  <si>
    <t>측정기명</t>
    <phoneticPr fontId="5" type="noConversion"/>
  </si>
  <si>
    <t>기준기1</t>
    <phoneticPr fontId="5" type="noConversion"/>
  </si>
  <si>
    <t>기준기3</t>
    <phoneticPr fontId="5" type="noConversion"/>
  </si>
  <si>
    <r>
      <rPr>
        <b/>
        <sz val="10"/>
        <rFont val="맑은 고딕"/>
        <family val="3"/>
        <charset val="129"/>
      </rPr>
      <t>●</t>
    </r>
    <r>
      <rPr>
        <b/>
        <sz val="10"/>
        <rFont val="Tahoma"/>
        <family val="2"/>
      </rPr>
      <t xml:space="preserve"> </t>
    </r>
    <r>
      <rPr>
        <b/>
        <sz val="10"/>
        <rFont val="맑은 고딕"/>
        <family val="3"/>
        <charset val="129"/>
      </rPr>
      <t>교정료</t>
    </r>
    <r>
      <rPr>
        <b/>
        <sz val="10"/>
        <rFont val="Tahoma"/>
        <family val="2"/>
      </rPr>
      <t xml:space="preserve"> </t>
    </r>
    <r>
      <rPr>
        <b/>
        <sz val="10"/>
        <rFont val="맑은 고딕"/>
        <family val="3"/>
        <charset val="129"/>
      </rPr>
      <t>계산</t>
    </r>
    <phoneticPr fontId="5" type="noConversion"/>
  </si>
  <si>
    <t>세부분류번호</t>
    <phoneticPr fontId="5" type="noConversion"/>
  </si>
  <si>
    <t>조건3</t>
    <phoneticPr fontId="5" type="noConversion"/>
  </si>
  <si>
    <t>추가수수료</t>
    <phoneticPr fontId="5" type="noConversion"/>
  </si>
  <si>
    <t>게이지압</t>
    <phoneticPr fontId="5" type="noConversion"/>
  </si>
  <si>
    <t>&lt;</t>
    <phoneticPr fontId="5" type="noConversion"/>
  </si>
  <si>
    <t>&gt;=</t>
    <phoneticPr fontId="5" type="noConversion"/>
  </si>
  <si>
    <t>입력전압</t>
    <phoneticPr fontId="5" type="noConversion"/>
  </si>
  <si>
    <t>◆ 측정불확도 추정보고서 ◆</t>
    <phoneticPr fontId="5" type="noConversion"/>
  </si>
  <si>
    <t>■ 측정기본정보</t>
    <phoneticPr fontId="5" type="noConversion"/>
  </si>
  <si>
    <t>교정점</t>
    <phoneticPr fontId="5" type="noConversion"/>
  </si>
  <si>
    <t>DMM불확도</t>
    <phoneticPr fontId="5" type="noConversion"/>
  </si>
  <si>
    <t>영점오차</t>
    <phoneticPr fontId="5" type="noConversion"/>
  </si>
  <si>
    <t>k</t>
    <phoneticPr fontId="5" type="noConversion"/>
  </si>
  <si>
    <t>■ 반복측정 결과</t>
    <phoneticPr fontId="5" type="noConversion"/>
  </si>
  <si>
    <r>
      <t>표준기</t>
    </r>
    <r>
      <rPr>
        <sz val="10"/>
        <rFont val="맑은 고딕"/>
        <family val="1"/>
        <scheme val="major"/>
      </rPr>
      <t xml:space="preserve"> </t>
    </r>
    <r>
      <rPr>
        <sz val="10"/>
        <rFont val="맑은 고딕"/>
        <family val="3"/>
        <charset val="129"/>
        <scheme val="major"/>
      </rPr>
      <t xml:space="preserve">압력
</t>
    </r>
    <r>
      <rPr>
        <i/>
        <sz val="10"/>
        <rFont val="Times New Roman"/>
        <family val="1"/>
      </rPr>
      <t>p</t>
    </r>
    <r>
      <rPr>
        <i/>
        <vertAlign val="subscript"/>
        <sz val="10"/>
        <rFont val="Times New Roman"/>
        <family val="1"/>
      </rPr>
      <t>s</t>
    </r>
    <phoneticPr fontId="5" type="noConversion"/>
  </si>
  <si>
    <r>
      <rPr>
        <sz val="10"/>
        <rFont val="맑은 고딕"/>
        <family val="3"/>
        <charset val="129"/>
        <scheme val="minor"/>
      </rPr>
      <t xml:space="preserve">DMM 지시값, </t>
    </r>
    <r>
      <rPr>
        <i/>
        <sz val="10"/>
        <rFont val="Times New Roman"/>
        <family val="1"/>
      </rPr>
      <t>V</t>
    </r>
    <r>
      <rPr>
        <i/>
        <vertAlign val="subscript"/>
        <sz val="10"/>
        <rFont val="Times New Roman"/>
        <family val="1"/>
      </rPr>
      <t>i</t>
    </r>
    <phoneticPr fontId="5" type="noConversion"/>
  </si>
  <si>
    <t>1회</t>
    <phoneticPr fontId="5" type="noConversion"/>
  </si>
  <si>
    <t>2회</t>
    <phoneticPr fontId="5" type="noConversion"/>
  </si>
  <si>
    <t>3회</t>
    <phoneticPr fontId="5" type="noConversion"/>
  </si>
  <si>
    <t>평균값,</t>
    <phoneticPr fontId="5" type="noConversion"/>
  </si>
  <si>
    <t>평균값,</t>
    <phoneticPr fontId="5" type="noConversion"/>
  </si>
  <si>
    <t>■ 전송계수(기울기) 산출</t>
    <phoneticPr fontId="5" type="noConversion"/>
  </si>
  <si>
    <t>측정점 번호</t>
    <phoneticPr fontId="5" type="noConversion"/>
  </si>
  <si>
    <r>
      <rPr>
        <i/>
        <sz val="10"/>
        <rFont val="Times New Roman"/>
        <family val="1"/>
      </rPr>
      <t>y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 xml:space="preserve"> ;</t>
    </r>
    <r>
      <rPr>
        <i/>
        <sz val="10"/>
        <rFont val="Times New Roman"/>
        <family val="1"/>
      </rPr>
      <t>V</t>
    </r>
    <r>
      <rPr>
        <i/>
        <vertAlign val="subscript"/>
        <sz val="10"/>
        <rFont val="Times New Roman"/>
        <family val="1"/>
      </rPr>
      <t>i</t>
    </r>
    <phoneticPr fontId="5" type="noConversion"/>
  </si>
  <si>
    <t>1회</t>
    <phoneticPr fontId="5" type="noConversion"/>
  </si>
  <si>
    <t>3회</t>
    <phoneticPr fontId="5" type="noConversion"/>
  </si>
  <si>
    <t>비고</t>
    <phoneticPr fontId="5" type="noConversion"/>
  </si>
  <si>
    <r>
      <rPr>
        <sz val="10"/>
        <rFont val="맑은 고딕"/>
        <family val="3"/>
        <charset val="129"/>
      </rPr>
      <t>∑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 xml:space="preserve"> · </t>
    </r>
    <r>
      <rPr>
        <i/>
        <sz val="10"/>
        <rFont val="Times New Roman"/>
        <family val="1"/>
      </rPr>
      <t>y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 xml:space="preserve"> =</t>
    </r>
    <phoneticPr fontId="5" type="noConversion"/>
  </si>
  <si>
    <r>
      <rPr>
        <sz val="10"/>
        <rFont val="맑은 고딕"/>
        <family val="3"/>
        <charset val="129"/>
      </rPr>
      <t>∑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 xml:space="preserve"> =</t>
    </r>
    <phoneticPr fontId="5" type="noConversion"/>
  </si>
  <si>
    <t>따라서</t>
    <phoneticPr fontId="5" type="noConversion"/>
  </si>
  <si>
    <t>=</t>
    <phoneticPr fontId="5" type="noConversion"/>
  </si>
  <si>
    <t>또 그 역수는</t>
    <phoneticPr fontId="5" type="noConversion"/>
  </si>
  <si>
    <t>■ 전송계수를 이용한 지시값의 단위 변환</t>
    <phoneticPr fontId="5" type="noConversion"/>
  </si>
  <si>
    <t>DMM 지시값</t>
    <phoneticPr fontId="5" type="noConversion"/>
  </si>
  <si>
    <r>
      <t xml:space="preserve">모델에 의해 계산한 값, </t>
    </r>
    <r>
      <rPr>
        <i/>
        <sz val="10"/>
        <rFont val="Times New Roman"/>
        <family val="1"/>
      </rPr>
      <t>p</t>
    </r>
    <r>
      <rPr>
        <i/>
        <vertAlign val="subscript"/>
        <sz val="10"/>
        <rFont val="Times New Roman"/>
        <family val="1"/>
      </rPr>
      <t>i</t>
    </r>
    <phoneticPr fontId="5" type="noConversion"/>
  </si>
  <si>
    <r>
      <t xml:space="preserve">보정값, </t>
    </r>
    <r>
      <rPr>
        <i/>
        <sz val="10"/>
        <rFont val="Times New Roman"/>
        <family val="1"/>
      </rPr>
      <t>c</t>
    </r>
    <phoneticPr fontId="5" type="noConversion"/>
  </si>
  <si>
    <t>■ 영점조정 후, 반복도 산출</t>
    <phoneticPr fontId="5" type="noConversion"/>
  </si>
  <si>
    <t>측정점 번호</t>
    <phoneticPr fontId="5" type="noConversion"/>
  </si>
  <si>
    <t>표준압력</t>
    <phoneticPr fontId="5" type="noConversion"/>
  </si>
  <si>
    <t>압력변환기의 출력값 (영점보정)</t>
    <phoneticPr fontId="5" type="noConversion"/>
  </si>
  <si>
    <t>1회</t>
    <phoneticPr fontId="5" type="noConversion"/>
  </si>
  <si>
    <t>2회</t>
    <phoneticPr fontId="5" type="noConversion"/>
  </si>
  <si>
    <t>3회</t>
    <phoneticPr fontId="5" type="noConversion"/>
  </si>
  <si>
    <t>변화구간(반복도)</t>
    <phoneticPr fontId="5" type="noConversion"/>
  </si>
  <si>
    <t>■ 수학적 모델</t>
    <phoneticPr fontId="5" type="noConversion"/>
  </si>
  <si>
    <t>c</t>
    <phoneticPr fontId="5" type="noConversion"/>
  </si>
  <si>
    <r>
      <t>p</t>
    </r>
    <r>
      <rPr>
        <i/>
        <vertAlign val="subscript"/>
        <sz val="10"/>
        <rFont val="Times New Roman"/>
        <family val="1"/>
      </rPr>
      <t>s</t>
    </r>
    <phoneticPr fontId="5" type="noConversion"/>
  </si>
  <si>
    <r>
      <t>p</t>
    </r>
    <r>
      <rPr>
        <i/>
        <vertAlign val="subscript"/>
        <sz val="10"/>
        <rFont val="Times New Roman"/>
        <family val="1"/>
      </rPr>
      <t>i</t>
    </r>
    <phoneticPr fontId="5" type="noConversion"/>
  </si>
  <si>
    <r>
      <t xml:space="preserve">※ 전송계수 </t>
    </r>
    <r>
      <rPr>
        <i/>
        <sz val="10"/>
        <rFont val="Times New Roman"/>
        <family val="1"/>
      </rPr>
      <t>S</t>
    </r>
    <r>
      <rPr>
        <sz val="10"/>
        <rFont val="맑은 고딕"/>
        <family val="3"/>
        <charset val="129"/>
        <scheme val="minor"/>
      </rPr>
      <t>는 다음과 같이 산출 할 수 있다.</t>
    </r>
    <phoneticPr fontId="5" type="noConversion"/>
  </si>
  <si>
    <t>■ 합성표준불확도 관계식</t>
    <phoneticPr fontId="5" type="noConversion"/>
  </si>
  <si>
    <t>※ 감도계수</t>
    <phoneticPr fontId="5" type="noConversion"/>
  </si>
  <si>
    <r>
      <t xml:space="preserve">표준압력
</t>
    </r>
    <r>
      <rPr>
        <i/>
        <sz val="10"/>
        <rFont val="Times New Roman"/>
        <family val="1"/>
      </rPr>
      <t>p</t>
    </r>
    <r>
      <rPr>
        <i/>
        <vertAlign val="subscript"/>
        <sz val="10"/>
        <rFont val="Times New Roman"/>
        <family val="1"/>
      </rPr>
      <t>s</t>
    </r>
    <phoneticPr fontId="5" type="noConversion"/>
  </si>
  <si>
    <r>
      <rPr>
        <sz val="10"/>
        <rFont val="맑은 고딕"/>
        <family val="3"/>
        <charset val="129"/>
        <scheme val="minor"/>
      </rPr>
      <t xml:space="preserve">DMM  지시값, </t>
    </r>
    <r>
      <rPr>
        <i/>
        <sz val="10"/>
        <rFont val="Times New Roman"/>
        <family val="1"/>
      </rPr>
      <t>V</t>
    </r>
    <r>
      <rPr>
        <i/>
        <vertAlign val="subscript"/>
        <sz val="10"/>
        <rFont val="Times New Roman"/>
        <family val="1"/>
      </rPr>
      <t>i</t>
    </r>
    <phoneticPr fontId="5" type="noConversion"/>
  </si>
  <si>
    <t>2회</t>
    <phoneticPr fontId="5" type="noConversion"/>
  </si>
  <si>
    <t>평균값</t>
    <phoneticPr fontId="5" type="noConversion"/>
  </si>
  <si>
    <t>보정값</t>
    <phoneticPr fontId="5" type="noConversion"/>
  </si>
  <si>
    <t>변화구간 (반복성)</t>
    <phoneticPr fontId="5" type="noConversion"/>
  </si>
  <si>
    <t>■ 불확도 총괄표</t>
    <phoneticPr fontId="5" type="noConversion"/>
  </si>
  <si>
    <t>불확도 성분</t>
    <phoneticPr fontId="5" type="noConversion"/>
  </si>
  <si>
    <t>추정값</t>
    <phoneticPr fontId="5" type="noConversion"/>
  </si>
  <si>
    <t>확률분포</t>
    <phoneticPr fontId="5" type="noConversion"/>
  </si>
  <si>
    <t>감도계수</t>
    <phoneticPr fontId="5" type="noConversion"/>
  </si>
  <si>
    <t>불확도 기여량</t>
    <phoneticPr fontId="5" type="noConversion"/>
  </si>
  <si>
    <r>
      <t>x</t>
    </r>
    <r>
      <rPr>
        <i/>
        <vertAlign val="subscript"/>
        <sz val="10"/>
        <rFont val="Times New Roman"/>
        <family val="1"/>
      </rPr>
      <t>i</t>
    </r>
    <phoneticPr fontId="5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</si>
  <si>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5" type="noConversion"/>
  </si>
  <si>
    <r>
      <t>c</t>
    </r>
    <r>
      <rPr>
        <i/>
        <vertAlign val="subscript"/>
        <sz val="10"/>
        <rFont val="Times New Roman"/>
        <family val="1"/>
      </rPr>
      <t>i</t>
    </r>
    <phoneticPr fontId="5" type="noConversion"/>
  </si>
  <si>
    <r>
      <t>| u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(y) |</t>
    </r>
    <phoneticPr fontId="5" type="noConversion"/>
  </si>
  <si>
    <r>
      <t>u</t>
    </r>
    <r>
      <rPr>
        <i/>
        <vertAlign val="subscript"/>
        <sz val="10"/>
        <rFont val="Times New Roman"/>
        <family val="1"/>
      </rPr>
      <t>s</t>
    </r>
    <phoneticPr fontId="5" type="noConversion"/>
  </si>
  <si>
    <t>정규</t>
    <phoneticPr fontId="5" type="noConversion"/>
  </si>
  <si>
    <t>∞</t>
    <phoneticPr fontId="5" type="noConversion"/>
  </si>
  <si>
    <t>B</t>
    <phoneticPr fontId="5" type="noConversion"/>
  </si>
  <si>
    <r>
      <t>u</t>
    </r>
    <r>
      <rPr>
        <i/>
        <vertAlign val="subscript"/>
        <sz val="10"/>
        <rFont val="Times New Roman"/>
        <family val="1"/>
      </rPr>
      <t>i</t>
    </r>
    <phoneticPr fontId="5" type="noConversion"/>
  </si>
  <si>
    <t>직사각형</t>
    <phoneticPr fontId="5" type="noConversion"/>
  </si>
  <si>
    <r>
      <t>u</t>
    </r>
    <r>
      <rPr>
        <i/>
        <vertAlign val="subscript"/>
        <sz val="10"/>
        <rFont val="Times New Roman"/>
        <family val="1"/>
      </rPr>
      <t>DMM</t>
    </r>
    <phoneticPr fontId="5" type="noConversion"/>
  </si>
  <si>
    <r>
      <t>u</t>
    </r>
    <r>
      <rPr>
        <i/>
        <vertAlign val="subscript"/>
        <sz val="10"/>
        <rFont val="Times New Roman"/>
        <family val="1"/>
      </rPr>
      <t>zero</t>
    </r>
    <phoneticPr fontId="5" type="noConversion"/>
  </si>
  <si>
    <t>직사각형</t>
    <phoneticPr fontId="5" type="noConversion"/>
  </si>
  <si>
    <t>E</t>
    <phoneticPr fontId="5" type="noConversion"/>
  </si>
  <si>
    <r>
      <t>u</t>
    </r>
    <r>
      <rPr>
        <i/>
        <vertAlign val="subscript"/>
        <sz val="10"/>
        <rFont val="Times New Roman"/>
        <family val="1"/>
      </rPr>
      <t>rep</t>
    </r>
    <phoneticPr fontId="5" type="noConversion"/>
  </si>
  <si>
    <t>직사각형</t>
    <phoneticPr fontId="5" type="noConversion"/>
  </si>
  <si>
    <t>F</t>
    <phoneticPr fontId="5" type="noConversion"/>
  </si>
  <si>
    <r>
      <t>u</t>
    </r>
    <r>
      <rPr>
        <i/>
        <vertAlign val="subscript"/>
        <sz val="10"/>
        <rFont val="Times New Roman"/>
        <family val="1"/>
      </rPr>
      <t>hys</t>
    </r>
    <phoneticPr fontId="5" type="noConversion"/>
  </si>
  <si>
    <t>G</t>
    <phoneticPr fontId="5" type="noConversion"/>
  </si>
  <si>
    <r>
      <t>u</t>
    </r>
    <r>
      <rPr>
        <i/>
        <vertAlign val="subscript"/>
        <sz val="10"/>
        <rFont val="Times New Roman"/>
        <family val="1"/>
      </rPr>
      <t>c</t>
    </r>
    <phoneticPr fontId="5" type="noConversion"/>
  </si>
  <si>
    <t>-</t>
    <phoneticPr fontId="5" type="noConversion"/>
  </si>
  <si>
    <t>-</t>
    <phoneticPr fontId="5" type="noConversion"/>
  </si>
  <si>
    <t>∞</t>
    <phoneticPr fontId="5" type="noConversion"/>
  </si>
  <si>
    <t>■ 표준불확도 성분의 계산</t>
    <phoneticPr fontId="5" type="noConversion"/>
  </si>
  <si>
    <r>
      <rPr>
        <b/>
        <sz val="10"/>
        <rFont val="맑은 고딕"/>
        <family val="1"/>
        <scheme val="major"/>
      </rPr>
      <t>1</t>
    </r>
    <r>
      <rPr>
        <b/>
        <sz val="10"/>
        <rFont val="맑은 고딕"/>
        <family val="3"/>
        <charset val="129"/>
        <scheme val="major"/>
      </rPr>
      <t xml:space="preserve">. 표준기의 표준불확도, </t>
    </r>
    <r>
      <rPr>
        <b/>
        <i/>
        <sz val="10"/>
        <rFont val="Times New Roman"/>
        <family val="1"/>
      </rPr>
      <t>u</t>
    </r>
    <r>
      <rPr>
        <b/>
        <i/>
        <vertAlign val="subscript"/>
        <sz val="10"/>
        <rFont val="Times New Roman"/>
        <family val="1"/>
      </rPr>
      <t>s</t>
    </r>
    <phoneticPr fontId="5" type="noConversion"/>
  </si>
  <si>
    <t>A1. 추정값 :</t>
    <phoneticPr fontId="5" type="noConversion"/>
  </si>
  <si>
    <t>※ 압력교정기 사용시</t>
    <phoneticPr fontId="5" type="noConversion"/>
  </si>
  <si>
    <t>※ 아래의 공식에 의해 구해진 표준압력값은</t>
    <phoneticPr fontId="5" type="noConversion"/>
  </si>
  <si>
    <t>Y</t>
    <phoneticPr fontId="5" type="noConversion"/>
  </si>
  <si>
    <t>a</t>
    <phoneticPr fontId="5" type="noConversion"/>
  </si>
  <si>
    <t>X</t>
    <phoneticPr fontId="5" type="noConversion"/>
  </si>
  <si>
    <t>표준기 지시값</t>
    <phoneticPr fontId="5" type="noConversion"/>
  </si>
  <si>
    <t>A2. 표준불확도 :</t>
    <phoneticPr fontId="5" type="noConversion"/>
  </si>
  <si>
    <t>×</t>
    <phoneticPr fontId="5" type="noConversion"/>
  </si>
  <si>
    <t>A3. 확률분포 :</t>
    <phoneticPr fontId="5" type="noConversion"/>
  </si>
  <si>
    <t>A4. 감도계수 :</t>
    <phoneticPr fontId="5" type="noConversion"/>
  </si>
  <si>
    <t>A5. 불확도 기여량 :</t>
    <phoneticPr fontId="5" type="noConversion"/>
  </si>
  <si>
    <t>A6. 자유도 :</t>
    <phoneticPr fontId="5" type="noConversion"/>
  </si>
  <si>
    <r>
      <rPr>
        <i/>
        <sz val="10"/>
        <rFont val="Times New Roman"/>
        <family val="1"/>
      </rPr>
      <t>ν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=</t>
    </r>
    <phoneticPr fontId="5" type="noConversion"/>
  </si>
  <si>
    <r>
      <t>2</t>
    </r>
    <r>
      <rPr>
        <b/>
        <sz val="10"/>
        <rFont val="맑은 고딕"/>
        <family val="3"/>
        <charset val="129"/>
        <scheme val="major"/>
      </rPr>
      <t xml:space="preserve">. 교정대상기기의 표준불확도, </t>
    </r>
    <r>
      <rPr>
        <b/>
        <i/>
        <sz val="10"/>
        <rFont val="Times New Roman"/>
        <family val="1"/>
      </rPr>
      <t>u</t>
    </r>
    <r>
      <rPr>
        <b/>
        <i/>
        <vertAlign val="subscript"/>
        <sz val="10"/>
        <rFont val="Times New Roman"/>
        <family val="1"/>
      </rPr>
      <t>i</t>
    </r>
    <phoneticPr fontId="5" type="noConversion"/>
  </si>
  <si>
    <t>B1. 추정값 :</t>
    <phoneticPr fontId="5" type="noConversion"/>
  </si>
  <si>
    <t>B2. 표준불확도 :</t>
    <phoneticPr fontId="5" type="noConversion"/>
  </si>
  <si>
    <t>교정대상기기의 불확도에 영향을 주는 인자로는 출력신호 측정, 영점오차, 반복도, 히스테리시스가 있다.</t>
    <phoneticPr fontId="5" type="noConversion"/>
  </si>
  <si>
    <r>
      <t>가</t>
    </r>
    <r>
      <rPr>
        <b/>
        <sz val="10"/>
        <rFont val="맑은 고딕"/>
        <family val="3"/>
        <charset val="129"/>
        <scheme val="major"/>
      </rPr>
      <t xml:space="preserve">) 출력신호 측정에 의한 표준불확도, </t>
    </r>
    <r>
      <rPr>
        <b/>
        <i/>
        <sz val="10"/>
        <rFont val="Times New Roman"/>
        <family val="1"/>
      </rPr>
      <t>u</t>
    </r>
    <r>
      <rPr>
        <b/>
        <i/>
        <vertAlign val="subscript"/>
        <sz val="10"/>
        <rFont val="Times New Roman"/>
        <family val="1"/>
      </rPr>
      <t>DMM</t>
    </r>
    <phoneticPr fontId="5" type="noConversion"/>
  </si>
  <si>
    <t>※ 전압/전류 등을 측정하기 위해 별도의 멀티미터(DMM)을 사용하였으므로</t>
    <phoneticPr fontId="5" type="noConversion"/>
  </si>
  <si>
    <t>DMM의 측정불확도에 전송계수를 적용하여 계산하면</t>
    <phoneticPr fontId="5" type="noConversion"/>
  </si>
  <si>
    <t>C4. 감도계수 :</t>
    <phoneticPr fontId="5" type="noConversion"/>
  </si>
  <si>
    <t>C5. 불확도 기여량 :</t>
    <phoneticPr fontId="5" type="noConversion"/>
  </si>
  <si>
    <r>
      <rPr>
        <i/>
        <sz val="10"/>
        <rFont val="Times New Roman"/>
        <family val="1"/>
      </rPr>
      <t>ν</t>
    </r>
    <r>
      <rPr>
        <i/>
        <vertAlign val="subscript"/>
        <sz val="10"/>
        <rFont val="Times New Roman"/>
        <family val="1"/>
      </rPr>
      <t>DMM</t>
    </r>
    <r>
      <rPr>
        <sz val="10"/>
        <rFont val="Times New Roman"/>
        <family val="1"/>
      </rPr>
      <t>=</t>
    </r>
    <phoneticPr fontId="5" type="noConversion"/>
  </si>
  <si>
    <r>
      <rPr>
        <b/>
        <sz val="10"/>
        <rFont val="맑은 고딕"/>
        <family val="1"/>
        <scheme val="major"/>
      </rPr>
      <t>나</t>
    </r>
    <r>
      <rPr>
        <b/>
        <sz val="10"/>
        <rFont val="맑은 고딕"/>
        <family val="3"/>
        <charset val="129"/>
        <scheme val="major"/>
      </rPr>
      <t xml:space="preserve">) 영점오차에 의한 표준불확도, </t>
    </r>
    <r>
      <rPr>
        <b/>
        <i/>
        <sz val="10"/>
        <rFont val="Times New Roman"/>
        <family val="1"/>
      </rPr>
      <t>u</t>
    </r>
    <r>
      <rPr>
        <b/>
        <i/>
        <vertAlign val="subscript"/>
        <sz val="10"/>
        <rFont val="Times New Roman"/>
        <family val="1"/>
      </rPr>
      <t>zero</t>
    </r>
    <phoneticPr fontId="5" type="noConversion"/>
  </si>
  <si>
    <t>D3. 확률분포 :</t>
    <phoneticPr fontId="5" type="noConversion"/>
  </si>
  <si>
    <t>D4. 감도계수 :</t>
    <phoneticPr fontId="5" type="noConversion"/>
  </si>
  <si>
    <t>D6. 자유도 :</t>
    <phoneticPr fontId="5" type="noConversion"/>
  </si>
  <si>
    <r>
      <t>다</t>
    </r>
    <r>
      <rPr>
        <b/>
        <sz val="10"/>
        <rFont val="맑은 고딕"/>
        <family val="1"/>
        <scheme val="major"/>
      </rPr>
      <t>)</t>
    </r>
    <r>
      <rPr>
        <b/>
        <sz val="10"/>
        <rFont val="맑은 고딕"/>
        <family val="3"/>
        <charset val="129"/>
        <scheme val="major"/>
      </rPr>
      <t xml:space="preserve"> 반복성에 의한 표준불확도, </t>
    </r>
    <r>
      <rPr>
        <b/>
        <i/>
        <sz val="10"/>
        <rFont val="Times New Roman"/>
        <family val="1"/>
      </rPr>
      <t>u</t>
    </r>
    <r>
      <rPr>
        <b/>
        <i/>
        <vertAlign val="subscript"/>
        <sz val="10"/>
        <rFont val="Times New Roman"/>
        <family val="1"/>
      </rPr>
      <t>rep</t>
    </r>
    <phoneticPr fontId="5" type="noConversion"/>
  </si>
  <si>
    <t>E1. 추정값 :</t>
    <phoneticPr fontId="5" type="noConversion"/>
  </si>
  <si>
    <r>
      <t xml:space="preserve">※ 반복도 : </t>
    </r>
    <r>
      <rPr>
        <i/>
        <sz val="10"/>
        <rFont val="Times New Roman"/>
        <family val="1"/>
      </rPr>
      <t>b'</t>
    </r>
    <r>
      <rPr>
        <sz val="10"/>
        <rFont val="맑은 고딕"/>
        <family val="3"/>
        <charset val="129"/>
        <scheme val="minor"/>
      </rPr>
      <t xml:space="preserve"> 는 설치가 변하지 않았을 때 측정시리즈에서 반복 측정된 값들 사이의 차이로부터</t>
    </r>
    <phoneticPr fontId="5" type="noConversion"/>
  </si>
  <si>
    <t>※ 가압측정에서의 반복성</t>
    <phoneticPr fontId="5" type="noConversion"/>
  </si>
  <si>
    <t>E3. 확률분포 :</t>
    <phoneticPr fontId="5" type="noConversion"/>
  </si>
  <si>
    <t>E4. 감도계수 :</t>
    <phoneticPr fontId="5" type="noConversion"/>
  </si>
  <si>
    <t>E5. 불확도 기여량 :</t>
    <phoneticPr fontId="5" type="noConversion"/>
  </si>
  <si>
    <t>=</t>
    <phoneticPr fontId="5" type="noConversion"/>
  </si>
  <si>
    <t>E6. 자유도 :</t>
    <phoneticPr fontId="5" type="noConversion"/>
  </si>
  <si>
    <r>
      <rPr>
        <b/>
        <sz val="10"/>
        <rFont val="맑은 고딕"/>
        <family val="1"/>
        <scheme val="major"/>
      </rPr>
      <t>라</t>
    </r>
    <r>
      <rPr>
        <b/>
        <sz val="10"/>
        <rFont val="맑은 고딕"/>
        <family val="3"/>
        <charset val="129"/>
        <scheme val="major"/>
      </rPr>
      <t xml:space="preserve">) 히스테리시스에 의한 표준불확도, </t>
    </r>
    <r>
      <rPr>
        <b/>
        <i/>
        <sz val="10"/>
        <rFont val="Times New Roman"/>
        <family val="1"/>
      </rPr>
      <t>u</t>
    </r>
    <r>
      <rPr>
        <b/>
        <i/>
        <vertAlign val="subscript"/>
        <sz val="10"/>
        <rFont val="Times New Roman"/>
        <family val="1"/>
      </rPr>
      <t>hys</t>
    </r>
    <phoneticPr fontId="5" type="noConversion"/>
  </si>
  <si>
    <t>×</t>
    <phoneticPr fontId="5" type="noConversion"/>
  </si>
  <si>
    <t>=</t>
    <phoneticPr fontId="5" type="noConversion"/>
  </si>
  <si>
    <t>F3. 확률분포 :</t>
    <phoneticPr fontId="5" type="noConversion"/>
  </si>
  <si>
    <t>F5. 불확도 기여량 :</t>
    <phoneticPr fontId="5" type="noConversion"/>
  </si>
  <si>
    <t>F6. 자유도 :</t>
    <phoneticPr fontId="5" type="noConversion"/>
  </si>
  <si>
    <t>■ 합성표준불확도 계산</t>
    <phoneticPr fontId="5" type="noConversion"/>
  </si>
  <si>
    <t>+</t>
    <phoneticPr fontId="5" type="noConversion"/>
  </si>
  <si>
    <t>■ 유효자유도</t>
    <phoneticPr fontId="5" type="noConversion"/>
  </si>
  <si>
    <t>∞</t>
    <phoneticPr fontId="5" type="noConversion"/>
  </si>
  <si>
    <r>
      <t>U</t>
    </r>
    <r>
      <rPr>
        <sz val="10"/>
        <rFont val="Times New Roman"/>
        <family val="1"/>
      </rPr>
      <t xml:space="preserve"> = </t>
    </r>
    <r>
      <rPr>
        <i/>
        <sz val="10"/>
        <rFont val="Times New Roman"/>
        <family val="1"/>
      </rPr>
      <t>k</t>
    </r>
    <r>
      <rPr>
        <sz val="10"/>
        <rFont val="Times New Roman"/>
        <family val="1"/>
      </rPr>
      <t xml:space="preserve"> × </t>
    </r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Times New Roman"/>
        <family val="1"/>
      </rPr>
      <t xml:space="preserve"> = </t>
    </r>
    <phoneticPr fontId="5" type="noConversion"/>
  </si>
  <si>
    <t>≒</t>
    <phoneticPr fontId="5" type="noConversion"/>
  </si>
  <si>
    <t>소수점 자리수</t>
    <phoneticPr fontId="5" type="noConversion"/>
  </si>
  <si>
    <t>2. 결과계산</t>
    <phoneticPr fontId="5" type="noConversion"/>
  </si>
  <si>
    <t>사용?</t>
    <phoneticPr fontId="5" type="noConversion"/>
  </si>
  <si>
    <t>표준압력
xi; ps</t>
    <phoneticPr fontId="5" type="noConversion"/>
  </si>
  <si>
    <t>전송계수산출</t>
    <phoneticPr fontId="5" type="noConversion"/>
  </si>
  <si>
    <t>1/S</t>
    <phoneticPr fontId="5" type="noConversion"/>
  </si>
  <si>
    <t>xi^2</t>
    <phoneticPr fontId="5" type="noConversion"/>
  </si>
  <si>
    <t>xi*yi 2</t>
    <phoneticPr fontId="5" type="noConversion"/>
  </si>
  <si>
    <t>가압</t>
    <phoneticPr fontId="5" type="noConversion"/>
  </si>
  <si>
    <t>측정점번호</t>
    <phoneticPr fontId="5" type="noConversion"/>
  </si>
  <si>
    <t>명목압력</t>
    <phoneticPr fontId="5" type="noConversion"/>
  </si>
  <si>
    <t>표준압력
ps</t>
    <phoneticPr fontId="5" type="noConversion"/>
  </si>
  <si>
    <r>
      <t xml:space="preserve">표준기
확장불확도
</t>
    </r>
    <r>
      <rPr>
        <b/>
        <i/>
        <sz val="9"/>
        <color indexed="9"/>
        <rFont val="맑은 고딕"/>
        <family val="3"/>
        <charset val="129"/>
        <scheme val="minor"/>
      </rPr>
      <t>k</t>
    </r>
    <r>
      <rPr>
        <b/>
        <sz val="9"/>
        <color indexed="9"/>
        <rFont val="맑은 고딕"/>
        <family val="3"/>
        <charset val="129"/>
        <scheme val="minor"/>
      </rPr>
      <t>=2</t>
    </r>
    <phoneticPr fontId="5" type="noConversion"/>
  </si>
  <si>
    <t>DMM
불확도</t>
    <phoneticPr fontId="5" type="noConversion"/>
  </si>
  <si>
    <t>교정대상기기(압력변환기/전송기) 특성</t>
    <phoneticPr fontId="5" type="noConversion"/>
  </si>
  <si>
    <r>
      <t xml:space="preserve">측정불확도 </t>
    </r>
    <r>
      <rPr>
        <b/>
        <i/>
        <sz val="9"/>
        <color indexed="9"/>
        <rFont val="맑은 고딕"/>
        <family val="3"/>
        <charset val="129"/>
        <scheme val="minor"/>
      </rPr>
      <t>k</t>
    </r>
    <r>
      <rPr>
        <b/>
        <sz val="9"/>
        <color indexed="9"/>
        <rFont val="맑은 고딕"/>
        <family val="3"/>
        <charset val="129"/>
        <scheme val="minor"/>
      </rPr>
      <t>=2</t>
    </r>
    <phoneticPr fontId="5" type="noConversion"/>
  </si>
  <si>
    <t>평균값</t>
    <phoneticPr fontId="5" type="noConversion"/>
  </si>
  <si>
    <t>반복도</t>
    <phoneticPr fontId="5" type="noConversion"/>
  </si>
  <si>
    <t>합성</t>
    <phoneticPr fontId="5" type="noConversion"/>
  </si>
  <si>
    <t>계산값</t>
    <phoneticPr fontId="5" type="noConversion"/>
  </si>
  <si>
    <t>Vi</t>
    <phoneticPr fontId="5" type="noConversion"/>
  </si>
  <si>
    <t>pi</t>
    <phoneticPr fontId="5" type="noConversion"/>
  </si>
  <si>
    <t>ps-pi</t>
    <phoneticPr fontId="5" type="noConversion"/>
  </si>
  <si>
    <t>pi,dn-pi,up</t>
    <phoneticPr fontId="5" type="noConversion"/>
  </si>
  <si>
    <t>3. 성적서용</t>
    <phoneticPr fontId="5" type="noConversion"/>
  </si>
  <si>
    <t>4. 합불판정</t>
    <phoneticPr fontId="5" type="noConversion"/>
  </si>
  <si>
    <t>표준압력</t>
    <phoneticPr fontId="5" type="noConversion"/>
  </si>
  <si>
    <t>교정대상기기(압력변환기/전송기)</t>
    <phoneticPr fontId="5" type="noConversion"/>
  </si>
  <si>
    <t>Spec</t>
    <phoneticPr fontId="5" type="noConversion"/>
  </si>
  <si>
    <r>
      <rPr>
        <b/>
        <sz val="9"/>
        <color indexed="9"/>
        <rFont val="돋움"/>
        <family val="3"/>
        <charset val="129"/>
      </rPr>
      <t>판정</t>
    </r>
    <phoneticPr fontId="5" type="noConversion"/>
  </si>
  <si>
    <t>소수점</t>
    <phoneticPr fontId="5" type="noConversion"/>
  </si>
  <si>
    <t>Number Format</t>
    <phoneticPr fontId="5" type="noConversion"/>
  </si>
  <si>
    <r>
      <rPr>
        <b/>
        <sz val="9"/>
        <color indexed="9"/>
        <rFont val="돋움"/>
        <family val="3"/>
        <charset val="129"/>
      </rPr>
      <t>값</t>
    </r>
    <phoneticPr fontId="5" type="noConversion"/>
  </si>
  <si>
    <t>Number</t>
    <phoneticPr fontId="5" type="noConversion"/>
  </si>
  <si>
    <r>
      <rPr>
        <b/>
        <sz val="9"/>
        <color indexed="9"/>
        <rFont val="돋움"/>
        <family val="3"/>
        <charset val="129"/>
      </rPr>
      <t>값</t>
    </r>
    <phoneticPr fontId="5" type="noConversion"/>
  </si>
  <si>
    <t>지시값 평균</t>
    <phoneticPr fontId="5" type="noConversion"/>
  </si>
  <si>
    <r>
      <rPr>
        <b/>
        <sz val="9"/>
        <color indexed="9"/>
        <rFont val="돋움"/>
        <family val="3"/>
        <charset val="129"/>
      </rPr>
      <t>범위</t>
    </r>
    <phoneticPr fontId="5" type="noConversion"/>
  </si>
  <si>
    <t>자리수</t>
    <phoneticPr fontId="5" type="noConversion"/>
  </si>
  <si>
    <t>명목압력</t>
    <phoneticPr fontId="5" type="noConversion"/>
  </si>
  <si>
    <t>보정값</t>
    <phoneticPr fontId="5" type="noConversion"/>
  </si>
  <si>
    <t>0.000 000 0</t>
    <phoneticPr fontId="5" type="noConversion"/>
  </si>
  <si>
    <t>0.000 000</t>
    <phoneticPr fontId="5" type="noConversion"/>
  </si>
  <si>
    <t>0.00</t>
    <phoneticPr fontId="5" type="noConversion"/>
  </si>
  <si>
    <t>4. 기타정보</t>
    <phoneticPr fontId="5" type="noConversion"/>
  </si>
  <si>
    <t>선형보정계수</t>
    <phoneticPr fontId="5" type="noConversion"/>
  </si>
  <si>
    <t>a</t>
    <phoneticPr fontId="69" type="noConversion"/>
  </si>
  <si>
    <t>b</t>
    <phoneticPr fontId="69" type="noConversion"/>
  </si>
  <si>
    <t>세부분류번호</t>
    <phoneticPr fontId="5" type="noConversion"/>
  </si>
  <si>
    <t>측정기명</t>
    <phoneticPr fontId="5" type="noConversion"/>
  </si>
  <si>
    <t>영문명</t>
    <phoneticPr fontId="5" type="noConversion"/>
  </si>
  <si>
    <t>기준기2</t>
    <phoneticPr fontId="5" type="noConversion"/>
  </si>
  <si>
    <t>기준기3</t>
    <phoneticPr fontId="5" type="noConversion"/>
  </si>
  <si>
    <t>Pressure Calibrator(+)</t>
    <phoneticPr fontId="5" type="noConversion"/>
  </si>
  <si>
    <t>조건1</t>
    <phoneticPr fontId="5" type="noConversion"/>
  </si>
  <si>
    <t>조건2</t>
    <phoneticPr fontId="5" type="noConversion"/>
  </si>
  <si>
    <t>기본수수료</t>
    <phoneticPr fontId="5" type="noConversion"/>
  </si>
  <si>
    <t>항목</t>
    <phoneticPr fontId="5" type="noConversion"/>
  </si>
  <si>
    <t>측정점수</t>
    <phoneticPr fontId="5" type="noConversion"/>
  </si>
  <si>
    <t>교정여부</t>
    <phoneticPr fontId="5" type="noConversion"/>
  </si>
  <si>
    <t>추가측정점수</t>
    <phoneticPr fontId="5" type="noConversion"/>
  </si>
  <si>
    <t>소계</t>
    <phoneticPr fontId="5" type="noConversion"/>
  </si>
  <si>
    <t>합계</t>
    <phoneticPr fontId="5" type="noConversion"/>
  </si>
  <si>
    <t>미압</t>
    <phoneticPr fontId="5" type="noConversion"/>
  </si>
  <si>
    <t>&lt;=</t>
    <phoneticPr fontId="5" type="noConversion"/>
  </si>
  <si>
    <t>표준, 종합교정시 실비</t>
    <phoneticPr fontId="5" type="noConversion"/>
  </si>
  <si>
    <t>Range 1</t>
    <phoneticPr fontId="5" type="noConversion"/>
  </si>
  <si>
    <t>Range 2</t>
    <phoneticPr fontId="5" type="noConversion"/>
  </si>
  <si>
    <t>고압</t>
    <phoneticPr fontId="5" type="noConversion"/>
  </si>
  <si>
    <t>Range 3</t>
    <phoneticPr fontId="5" type="noConversion"/>
  </si>
  <si>
    <t>Range 4</t>
    <phoneticPr fontId="5" type="noConversion"/>
  </si>
  <si>
    <t>세부분류</t>
    <phoneticPr fontId="5" type="noConversion"/>
  </si>
  <si>
    <t>최대용량 (MPa)</t>
    <phoneticPr fontId="5" type="noConversion"/>
  </si>
  <si>
    <t>※ 교정점 16 Point(가압, 감압 교정+반복측정) 를 1 Range로 간주하였음.</t>
    <phoneticPr fontId="5" type="noConversion"/>
  </si>
  <si>
    <t>기본교정시 최소 측정점이 16점이므로 측정점이 16점 이상 발생시 측정점수당 기본수수료의 6.25 % 추가함.</t>
    <phoneticPr fontId="5" type="noConversion"/>
  </si>
  <si>
    <t>기본, 표준교정시 교정점 1 Point 추가시 측정점수가 2점 증가하며 종합교정시 측정점수가 6점 증가함.</t>
    <phoneticPr fontId="5" type="noConversion"/>
  </si>
  <si>
    <t>표준, 종합 교정시 실비 이므로 위와 같이 계산해도 무방할것으로 보임.</t>
    <phoneticPr fontId="5" type="noConversion"/>
  </si>
  <si>
    <t>■ 표준기와 교정대상기기의 불확도 요소</t>
    <phoneticPr fontId="5" type="noConversion"/>
  </si>
  <si>
    <r>
      <t>합성표준불확도(</t>
    </r>
    <r>
      <rPr>
        <i/>
        <sz val="10"/>
        <rFont val="Times New Roman"/>
        <family val="1"/>
      </rPr>
      <t>k</t>
    </r>
    <r>
      <rPr>
        <sz val="10"/>
        <rFont val="맑은 고딕"/>
        <family val="3"/>
        <charset val="129"/>
        <scheme val="major"/>
      </rPr>
      <t>=1)</t>
    </r>
    <phoneticPr fontId="5" type="noConversion"/>
  </si>
  <si>
    <r>
      <t>표준불확도(</t>
    </r>
    <r>
      <rPr>
        <i/>
        <sz val="10"/>
        <rFont val="Times New Roman"/>
        <family val="1"/>
      </rPr>
      <t>k</t>
    </r>
    <r>
      <rPr>
        <sz val="10"/>
        <rFont val="맑은 고딕"/>
        <family val="3"/>
        <charset val="129"/>
        <scheme val="major"/>
      </rPr>
      <t>=1)</t>
    </r>
    <phoneticPr fontId="5" type="noConversion"/>
  </si>
  <si>
    <r>
      <t>불확도인자 표준불확도(</t>
    </r>
    <r>
      <rPr>
        <i/>
        <sz val="10"/>
        <rFont val="Times New Roman"/>
        <family val="1"/>
      </rPr>
      <t>k</t>
    </r>
    <r>
      <rPr>
        <sz val="10"/>
        <rFont val="맑은 고딕"/>
        <family val="3"/>
        <charset val="129"/>
        <scheme val="major"/>
      </rPr>
      <t>=1)</t>
    </r>
    <phoneticPr fontId="5" type="noConversion"/>
  </si>
  <si>
    <t>■ 결과보고</t>
    <phoneticPr fontId="5" type="noConversion"/>
  </si>
  <si>
    <t>평균출력값 및
모델에 의한 압력값</t>
    <phoneticPr fontId="5" type="noConversion"/>
  </si>
  <si>
    <r>
      <t>측정불확도
(</t>
    </r>
    <r>
      <rPr>
        <i/>
        <sz val="10"/>
        <rFont val="Times New Roman"/>
        <family val="1"/>
      </rPr>
      <t>k</t>
    </r>
    <r>
      <rPr>
        <sz val="10"/>
        <rFont val="맑은 고딕"/>
        <family val="3"/>
        <charset val="129"/>
        <scheme val="major"/>
      </rPr>
      <t>=2)</t>
    </r>
    <phoneticPr fontId="5" type="noConversion"/>
  </si>
  <si>
    <r>
      <t xml:space="preserve">압력, </t>
    </r>
    <r>
      <rPr>
        <i/>
        <sz val="10"/>
        <rFont val="Times New Roman"/>
        <family val="1"/>
      </rPr>
      <t>p</t>
    </r>
    <r>
      <rPr>
        <i/>
        <vertAlign val="subscript"/>
        <sz val="10"/>
        <rFont val="Times New Roman"/>
        <family val="1"/>
      </rPr>
      <t>s</t>
    </r>
    <phoneticPr fontId="5" type="noConversion"/>
  </si>
  <si>
    <t>표준기</t>
    <phoneticPr fontId="5" type="noConversion"/>
  </si>
  <si>
    <t>교정대상기기</t>
    <phoneticPr fontId="5" type="noConversion"/>
  </si>
  <si>
    <t>보정값</t>
    <phoneticPr fontId="5" type="noConversion"/>
  </si>
  <si>
    <t>압력</t>
    <phoneticPr fontId="5" type="noConversion"/>
  </si>
  <si>
    <r>
      <t>표준불확도
(</t>
    </r>
    <r>
      <rPr>
        <i/>
        <sz val="10"/>
        <rFont val="Times New Roman"/>
        <family val="1"/>
      </rPr>
      <t>k</t>
    </r>
    <r>
      <rPr>
        <sz val="10"/>
        <rFont val="맑은 고딕"/>
        <family val="3"/>
        <charset val="129"/>
        <scheme val="major"/>
      </rPr>
      <t>=1)</t>
    </r>
    <phoneticPr fontId="5" type="noConversion"/>
  </si>
  <si>
    <t>자유도</t>
    <phoneticPr fontId="5" type="noConversion"/>
  </si>
  <si>
    <t>출력신호
측정</t>
    <phoneticPr fontId="5" type="noConversion"/>
  </si>
  <si>
    <t>반복도</t>
    <phoneticPr fontId="5" type="noConversion"/>
  </si>
  <si>
    <t>-</t>
    <phoneticPr fontId="5" type="noConversion"/>
  </si>
  <si>
    <t>측정점
번호</t>
  </si>
  <si>
    <t>표준기
압력</t>
  </si>
  <si>
    <t>평균출력값 및</t>
  </si>
  <si>
    <t>모델식에 의한 압력값</t>
  </si>
  <si>
    <t>No.</t>
    <phoneticPr fontId="5" type="noConversion"/>
  </si>
  <si>
    <t>Standard
Pressure</t>
    <phoneticPr fontId="5" type="noConversion"/>
  </si>
  <si>
    <t>Mean value and pressure value by model equation</t>
    <phoneticPr fontId="5" type="noConversion"/>
  </si>
  <si>
    <t>Correction
value</t>
    <phoneticPr fontId="5" type="noConversion"/>
  </si>
  <si>
    <t>※ IEC 61298-2 규격에 의해 계산되었음.</t>
  </si>
  <si>
    <t>※ Non-Linearity 는 Terminal Point Non-Linearity 를 근거로 계산되었음.</t>
  </si>
  <si>
    <t>㈜에이치시티</t>
  </si>
  <si>
    <t>경기도 이천시 마장면 서이천로 578번길 74(장암리) 17383</t>
  </si>
  <si>
    <t>TEL : 031 - 645 - 6921</t>
  </si>
  <si>
    <t>FAX : 031 - 645 - 6969</t>
  </si>
  <si>
    <t>MODEL / SN</t>
    <phoneticPr fontId="5" type="noConversion"/>
  </si>
  <si>
    <t>1) Hysteresis</t>
    <phoneticPr fontId="5" type="noConversion"/>
  </si>
  <si>
    <t>2) Non-Linearity</t>
    <phoneticPr fontId="5" type="noConversion"/>
  </si>
  <si>
    <t>5. 부록</t>
    <phoneticPr fontId="5" type="noConversion"/>
  </si>
  <si>
    <t>히스테리시스</t>
    <phoneticPr fontId="5" type="noConversion"/>
  </si>
  <si>
    <t>% R.O.</t>
    <phoneticPr fontId="5" type="noConversion"/>
  </si>
  <si>
    <t>Non-Linearity (% R.O.)</t>
    <phoneticPr fontId="5" type="noConversion"/>
  </si>
  <si>
    <t>X</t>
    <phoneticPr fontId="69" type="noConversion"/>
  </si>
  <si>
    <t>Ys</t>
    <phoneticPr fontId="69" type="noConversion"/>
  </si>
  <si>
    <t>Ym</t>
    <phoneticPr fontId="69" type="noConversion"/>
  </si>
  <si>
    <t>Ymax</t>
    <phoneticPr fontId="69" type="noConversion"/>
  </si>
  <si>
    <t>Ymin</t>
    <phoneticPr fontId="69" type="noConversion"/>
  </si>
  <si>
    <t>Xmax</t>
    <phoneticPr fontId="69" type="noConversion"/>
  </si>
  <si>
    <t>Xmin</t>
    <phoneticPr fontId="69" type="noConversion"/>
  </si>
  <si>
    <t>출력편차(%)</t>
    <phoneticPr fontId="69" type="noConversion"/>
  </si>
  <si>
    <t>최대출력편차(%)</t>
    <phoneticPr fontId="69" type="noConversion"/>
  </si>
  <si>
    <t>파워서플라이</t>
    <phoneticPr fontId="5" type="noConversion"/>
  </si>
  <si>
    <t>최소명목압력</t>
    <phoneticPr fontId="5" type="noConversion"/>
  </si>
  <si>
    <t>감도</t>
    <phoneticPr fontId="69" type="noConversion"/>
  </si>
  <si>
    <t>교정포인트를 늘려달라는 업체 요구가 증가 함에 따라, 교정점 추가분을 적용하였음.</t>
    <phoneticPr fontId="5" type="noConversion"/>
  </si>
  <si>
    <t>교정점 추가분</t>
    <phoneticPr fontId="5" type="noConversion"/>
  </si>
  <si>
    <t>Decision</t>
  </si>
  <si>
    <t>■ 측정불확도</t>
    <phoneticPr fontId="5" type="noConversion"/>
  </si>
  <si>
    <t>측정불확도</t>
    <phoneticPr fontId="5" type="noConversion"/>
  </si>
  <si>
    <r>
      <t xml:space="preserve">유효자유도가 10 이상으로 충분히 큰 경우 포함인자 </t>
    </r>
    <r>
      <rPr>
        <i/>
        <sz val="10"/>
        <rFont val="Times New Roman"/>
        <family val="1"/>
      </rPr>
      <t>k</t>
    </r>
    <r>
      <rPr>
        <sz val="10"/>
        <rFont val="맑은 고딕"/>
        <family val="3"/>
        <charset val="129"/>
        <scheme val="major"/>
      </rPr>
      <t>=2(신뢰수준 약 95 %)를 사용하여 측정불확도를 구한다.</t>
    </r>
    <phoneticPr fontId="5" type="noConversion"/>
  </si>
  <si>
    <t>사용중지?</t>
  </si>
  <si>
    <t>COID</t>
    <phoneticPr fontId="5" type="noConversion"/>
  </si>
  <si>
    <r>
      <t>U+</t>
    </r>
    <r>
      <rPr>
        <sz val="9"/>
        <rFont val="돋움"/>
        <family val="3"/>
        <charset val="129"/>
      </rPr>
      <t>α</t>
    </r>
    <phoneticPr fontId="5" type="noConversion"/>
  </si>
  <si>
    <t>kPa</t>
    <phoneticPr fontId="5" type="noConversion"/>
  </si>
  <si>
    <t>bar</t>
    <phoneticPr fontId="5" type="noConversion"/>
  </si>
  <si>
    <t>psi</t>
    <phoneticPr fontId="5" type="noConversion"/>
  </si>
  <si>
    <t>kgf/㎠</t>
    <phoneticPr fontId="5" type="noConversion"/>
  </si>
  <si>
    <t>inHg</t>
    <phoneticPr fontId="5" type="noConversion"/>
  </si>
  <si>
    <t>mmHg</t>
    <phoneticPr fontId="5" type="noConversion"/>
  </si>
  <si>
    <t>cmHg</t>
    <phoneticPr fontId="5" type="noConversion"/>
  </si>
  <si>
    <t>inH2O</t>
    <phoneticPr fontId="5" type="noConversion"/>
  </si>
  <si>
    <t>mmH2O</t>
    <phoneticPr fontId="5" type="noConversion"/>
  </si>
  <si>
    <t>cmH2O</t>
    <phoneticPr fontId="5" type="noConversion"/>
  </si>
  <si>
    <t>N/㎠</t>
    <phoneticPr fontId="5" type="noConversion"/>
  </si>
  <si>
    <t>Pa abs.</t>
    <phoneticPr fontId="5" type="noConversion"/>
  </si>
  <si>
    <t>hPa abs.</t>
    <phoneticPr fontId="5" type="noConversion"/>
  </si>
  <si>
    <t>kPa abs.</t>
    <phoneticPr fontId="5" type="noConversion"/>
  </si>
  <si>
    <t>MPa abs.</t>
    <phoneticPr fontId="5" type="noConversion"/>
  </si>
  <si>
    <t>mbar abs.</t>
    <phoneticPr fontId="5" type="noConversion"/>
  </si>
  <si>
    <t>bar abs.</t>
    <phoneticPr fontId="5" type="noConversion"/>
  </si>
  <si>
    <t>psi abs.</t>
    <phoneticPr fontId="5" type="noConversion"/>
  </si>
  <si>
    <t>atm</t>
    <phoneticPr fontId="5" type="noConversion"/>
  </si>
  <si>
    <t>kgf/㎠ abs.</t>
    <phoneticPr fontId="5" type="noConversion"/>
  </si>
  <si>
    <t>fees</t>
    <phoneticPr fontId="5" type="noConversion"/>
  </si>
  <si>
    <t>P/F</t>
    <phoneticPr fontId="5" type="noConversion"/>
  </si>
  <si>
    <t>표시단위</t>
    <phoneticPr fontId="5" type="noConversion"/>
  </si>
  <si>
    <t>명목압력</t>
    <phoneticPr fontId="5" type="noConversion"/>
  </si>
  <si>
    <t>20412-1</t>
    <phoneticPr fontId="5" type="noConversion"/>
  </si>
  <si>
    <t>20412-1</t>
    <phoneticPr fontId="5" type="noConversion"/>
  </si>
  <si>
    <r>
      <t>교 정 결 과</t>
    </r>
    <r>
      <rPr>
        <sz val="9"/>
        <rFont val="Arial Unicode MS"/>
        <family val="3"/>
        <charset val="129"/>
      </rPr>
      <t xml:space="preserve">
</t>
    </r>
    <r>
      <rPr>
        <b/>
        <sz val="12"/>
        <rFont val="Arial Unicode MS"/>
        <family val="3"/>
        <charset val="129"/>
      </rPr>
      <t>CALIBRATION RESULT</t>
    </r>
    <phoneticPr fontId="5" type="noConversion"/>
  </si>
  <si>
    <t xml:space="preserve"> 성적서발급번호(Certificate No) :</t>
    <phoneticPr fontId="5" type="noConversion"/>
  </si>
  <si>
    <t>Standard Value</t>
    <phoneticPr fontId="5" type="noConversion"/>
  </si>
  <si>
    <t>Spec</t>
    <phoneticPr fontId="5" type="noConversion"/>
  </si>
  <si>
    <t>조정 전</t>
    <phoneticPr fontId="5" type="noConversion"/>
  </si>
  <si>
    <t>조정 후</t>
    <phoneticPr fontId="5" type="noConversion"/>
  </si>
  <si>
    <t>Measurement Uncertainty</t>
    <phoneticPr fontId="5" type="noConversion"/>
  </si>
  <si>
    <t>Measured
Value</t>
    <phoneticPr fontId="5" type="noConversion"/>
  </si>
  <si>
    <t>Correction
Value</t>
    <phoneticPr fontId="5" type="noConversion"/>
  </si>
  <si>
    <t>Correction
Value</t>
    <phoneticPr fontId="5" type="noConversion"/>
  </si>
  <si>
    <t>Pass
/Fail</t>
    <phoneticPr fontId="5" type="noConversion"/>
  </si>
  <si>
    <t>Measured
Value</t>
    <phoneticPr fontId="5" type="noConversion"/>
  </si>
  <si>
    <t>Pass
/Fail</t>
    <phoneticPr fontId="5" type="noConversion"/>
  </si>
  <si>
    <t>MEASURED VALUE (조정후)</t>
    <phoneticPr fontId="5" type="noConversion"/>
  </si>
  <si>
    <t>※ 신뢰수준 약 95 %,</t>
  </si>
  <si>
    <r>
      <rPr>
        <b/>
        <sz val="9"/>
        <rFont val="돋움"/>
        <family val="3"/>
        <charset val="129"/>
      </rPr>
      <t>○</t>
    </r>
    <r>
      <rPr>
        <b/>
        <sz val="9"/>
        <rFont val="Tahoma"/>
        <family val="2"/>
      </rPr>
      <t xml:space="preserve"> Range 1 (</t>
    </r>
    <r>
      <rPr>
        <b/>
        <sz val="9"/>
        <rFont val="돋움"/>
        <family val="3"/>
        <charset val="129"/>
      </rPr>
      <t>조정후</t>
    </r>
    <r>
      <rPr>
        <b/>
        <sz val="9"/>
        <rFont val="Tahoma"/>
        <family val="2"/>
      </rPr>
      <t>)</t>
    </r>
    <phoneticPr fontId="5" type="noConversion"/>
  </si>
  <si>
    <t>◆ 측정불확도 추정보고서 (조정후) ◆</t>
    <phoneticPr fontId="5" type="noConversion"/>
  </si>
  <si>
    <t>U &amp; r</t>
  </si>
  <si>
    <t>:</t>
    <phoneticPr fontId="5" type="noConversion"/>
  </si>
  <si>
    <t>압력표준기의 압력</t>
    <phoneticPr fontId="5" type="noConversion"/>
  </si>
  <si>
    <r>
      <t xml:space="preserve">DMM의 지시값 </t>
    </r>
    <r>
      <rPr>
        <i/>
        <sz val="10"/>
        <rFont val="Times New Roman"/>
        <family val="1"/>
      </rPr>
      <t>V</t>
    </r>
    <r>
      <rPr>
        <i/>
        <vertAlign val="subscript"/>
        <sz val="10"/>
        <rFont val="Times New Roman"/>
        <family val="1"/>
      </rPr>
      <t>i</t>
    </r>
    <r>
      <rPr>
        <sz val="10"/>
        <rFont val="맑은 고딕"/>
        <family val="3"/>
        <charset val="129"/>
        <scheme val="minor"/>
      </rPr>
      <t xml:space="preserve"> 를 전송계수 </t>
    </r>
    <r>
      <rPr>
        <i/>
        <sz val="10"/>
        <rFont val="Times New Roman"/>
        <family val="1"/>
      </rPr>
      <t>S</t>
    </r>
    <r>
      <rPr>
        <sz val="10"/>
        <rFont val="맑은 고딕"/>
        <family val="3"/>
        <charset val="129"/>
        <scheme val="minor"/>
      </rPr>
      <t>를 이용하여 변환한 값</t>
    </r>
    <phoneticPr fontId="5" type="noConversion"/>
  </si>
  <si>
    <t>=</t>
    <phoneticPr fontId="5" type="noConversion"/>
  </si>
  <si>
    <t>20412-2</t>
    <phoneticPr fontId="5" type="noConversion"/>
  </si>
  <si>
    <t>Pressure Calibrator(abs)</t>
    <phoneticPr fontId="5" type="noConversion"/>
  </si>
  <si>
    <t>Pressure Calibrator(abs)</t>
    <phoneticPr fontId="5" type="noConversion"/>
  </si>
  <si>
    <t>20412-2</t>
    <phoneticPr fontId="5" type="noConversion"/>
  </si>
  <si>
    <t>절대압</t>
    <phoneticPr fontId="5" type="noConversion"/>
  </si>
  <si>
    <t>가압</t>
    <phoneticPr fontId="5" type="noConversion"/>
  </si>
  <si>
    <t>가압</t>
    <phoneticPr fontId="5" type="noConversion"/>
  </si>
  <si>
    <t>가압</t>
    <phoneticPr fontId="5" type="noConversion"/>
  </si>
  <si>
    <t>감압</t>
    <phoneticPr fontId="5" type="noConversion"/>
  </si>
  <si>
    <t>감압</t>
    <phoneticPr fontId="5" type="noConversion"/>
  </si>
  <si>
    <t>감압</t>
    <phoneticPr fontId="5" type="noConversion"/>
  </si>
  <si>
    <t>감압</t>
    <phoneticPr fontId="5" type="noConversion"/>
  </si>
  <si>
    <t>◇ 신뢰수준 약 95 %,</t>
    <phoneticPr fontId="5" type="noConversion"/>
  </si>
  <si>
    <t>◇ Confidence level about 95 %,</t>
    <phoneticPr fontId="5" type="noConversion"/>
  </si>
  <si>
    <t>Measurement
Uncertainty</t>
    <phoneticPr fontId="5" type="noConversion"/>
  </si>
  <si>
    <t>※ 측정불확도가 상대불확도인 경우</t>
    <phoneticPr fontId="5" type="noConversion"/>
  </si>
  <si>
    <t>※ 측정불확도가 값인 경우</t>
    <phoneticPr fontId="5" type="noConversion"/>
  </si>
  <si>
    <r>
      <t xml:space="preserve">이 값을 포함인자 </t>
    </r>
    <r>
      <rPr>
        <i/>
        <sz val="10"/>
        <rFont val="맑은 고딕"/>
        <family val="3"/>
        <charset val="129"/>
        <scheme val="minor"/>
      </rPr>
      <t>k</t>
    </r>
    <r>
      <rPr>
        <sz val="10"/>
        <rFont val="맑은 고딕"/>
        <family val="3"/>
        <charset val="129"/>
        <scheme val="minor"/>
      </rPr>
      <t>값으로 나누면</t>
    </r>
    <phoneticPr fontId="5" type="noConversion"/>
  </si>
  <si>
    <r>
      <rPr>
        <b/>
        <sz val="10"/>
        <rFont val="돋움"/>
        <family val="3"/>
        <charset val="129"/>
      </rPr>
      <t>■</t>
    </r>
    <r>
      <rPr>
        <b/>
        <sz val="10"/>
        <rFont val="Tahoma"/>
        <family val="2"/>
      </rPr>
      <t xml:space="preserve"> </t>
    </r>
    <r>
      <rPr>
        <b/>
        <sz val="10"/>
        <rFont val="돋움"/>
        <family val="3"/>
        <charset val="129"/>
      </rPr>
      <t>표준압력</t>
    </r>
    <r>
      <rPr>
        <b/>
        <sz val="10"/>
        <rFont val="Tahoma"/>
        <family val="2"/>
      </rPr>
      <t xml:space="preserve"> </t>
    </r>
    <r>
      <rPr>
        <b/>
        <sz val="10"/>
        <rFont val="돋움"/>
        <family val="3"/>
        <charset val="129"/>
      </rPr>
      <t>선택</t>
    </r>
    <phoneticPr fontId="5" type="noConversion"/>
  </si>
  <si>
    <r>
      <rPr>
        <b/>
        <sz val="10"/>
        <rFont val="돋움"/>
        <family val="3"/>
        <charset val="129"/>
      </rPr>
      <t>■</t>
    </r>
    <r>
      <rPr>
        <b/>
        <sz val="10"/>
        <rFont val="Tahoma"/>
        <family val="2"/>
      </rPr>
      <t xml:space="preserve"> </t>
    </r>
    <r>
      <rPr>
        <b/>
        <sz val="10"/>
        <rFont val="돋움"/>
        <family val="3"/>
        <charset val="129"/>
      </rPr>
      <t>측정불확도</t>
    </r>
    <r>
      <rPr>
        <b/>
        <sz val="10"/>
        <rFont val="Tahoma"/>
        <family val="2"/>
      </rPr>
      <t xml:space="preserve"> </t>
    </r>
    <r>
      <rPr>
        <b/>
        <sz val="10"/>
        <rFont val="돋움"/>
        <family val="3"/>
        <charset val="129"/>
      </rPr>
      <t>선택</t>
    </r>
    <phoneticPr fontId="5" type="noConversion"/>
  </si>
  <si>
    <r>
      <rPr>
        <b/>
        <sz val="10"/>
        <rFont val="돋움"/>
        <family val="3"/>
        <charset val="129"/>
      </rPr>
      <t>■</t>
    </r>
    <r>
      <rPr>
        <b/>
        <sz val="10"/>
        <rFont val="Tahoma"/>
        <family val="2"/>
      </rPr>
      <t xml:space="preserve"> </t>
    </r>
    <r>
      <rPr>
        <b/>
        <sz val="10"/>
        <rFont val="돋움"/>
        <family val="3"/>
        <charset val="129"/>
      </rPr>
      <t>압력교정기</t>
    </r>
    <r>
      <rPr>
        <b/>
        <sz val="10"/>
        <rFont val="Tahoma"/>
        <family val="2"/>
      </rPr>
      <t xml:space="preserve"> </t>
    </r>
    <r>
      <rPr>
        <b/>
        <sz val="10"/>
        <rFont val="돋움"/>
        <family val="3"/>
        <charset val="129"/>
      </rPr>
      <t>안정도</t>
    </r>
    <phoneticPr fontId="5" type="noConversion"/>
  </si>
  <si>
    <r>
      <rPr>
        <b/>
        <sz val="10"/>
        <rFont val="돋움"/>
        <family val="3"/>
        <charset val="129"/>
      </rPr>
      <t>■</t>
    </r>
    <r>
      <rPr>
        <b/>
        <sz val="10"/>
        <rFont val="Tahoma"/>
        <family val="2"/>
      </rPr>
      <t xml:space="preserve"> </t>
    </r>
    <r>
      <rPr>
        <b/>
        <sz val="10"/>
        <rFont val="돋움"/>
        <family val="3"/>
        <charset val="129"/>
      </rPr>
      <t>단위환산표</t>
    </r>
    <phoneticPr fontId="5" type="noConversion"/>
  </si>
  <si>
    <t>명목압력</t>
  </si>
  <si>
    <t>명목압력 단위환산</t>
    <phoneticPr fontId="5" type="noConversion"/>
  </si>
  <si>
    <t>표준압력</t>
  </si>
  <si>
    <t>사용기기</t>
    <phoneticPr fontId="5" type="noConversion"/>
  </si>
  <si>
    <t>P.C</t>
  </si>
  <si>
    <t>P.B</t>
  </si>
  <si>
    <t>계산결과</t>
    <phoneticPr fontId="5" type="noConversion"/>
  </si>
  <si>
    <t>분동식압력계</t>
    <phoneticPr fontId="5" type="noConversion"/>
  </si>
  <si>
    <t>기준기선택</t>
    <phoneticPr fontId="5" type="noConversion"/>
  </si>
  <si>
    <t>계산값 선택</t>
    <phoneticPr fontId="5" type="noConversion"/>
  </si>
  <si>
    <t>안정도</t>
    <phoneticPr fontId="5" type="noConversion"/>
  </si>
  <si>
    <r>
      <rPr>
        <b/>
        <sz val="10"/>
        <rFont val="돋움"/>
        <family val="3"/>
        <charset val="129"/>
      </rPr>
      <t>■</t>
    </r>
    <r>
      <rPr>
        <b/>
        <sz val="10"/>
        <rFont val="Tahoma"/>
        <family val="2"/>
      </rPr>
      <t xml:space="preserve"> </t>
    </r>
    <r>
      <rPr>
        <b/>
        <sz val="10"/>
        <rFont val="돋움"/>
        <family val="3"/>
        <charset val="129"/>
      </rPr>
      <t>측정</t>
    </r>
    <r>
      <rPr>
        <b/>
        <sz val="10"/>
        <rFont val="돋움"/>
        <family val="3"/>
        <charset val="129"/>
      </rPr>
      <t>불확도</t>
    </r>
    <r>
      <rPr>
        <b/>
        <sz val="10"/>
        <rFont val="Tahoma"/>
        <family val="2"/>
      </rPr>
      <t xml:space="preserve"> </t>
    </r>
    <r>
      <rPr>
        <b/>
        <sz val="10"/>
        <rFont val="돋움"/>
        <family val="3"/>
        <charset val="129"/>
      </rPr>
      <t>계산</t>
    </r>
    <phoneticPr fontId="5" type="noConversion"/>
  </si>
  <si>
    <t>안정도1</t>
    <phoneticPr fontId="5" type="noConversion"/>
  </si>
  <si>
    <t>안정도2</t>
    <phoneticPr fontId="5" type="noConversion"/>
  </si>
  <si>
    <r>
      <rPr>
        <b/>
        <sz val="10"/>
        <rFont val="돋움"/>
        <family val="3"/>
        <charset val="129"/>
      </rPr>
      <t>■</t>
    </r>
    <r>
      <rPr>
        <b/>
        <sz val="10"/>
        <rFont val="Tahoma"/>
        <family val="2"/>
      </rPr>
      <t xml:space="preserve"> </t>
    </r>
    <r>
      <rPr>
        <b/>
        <sz val="10"/>
        <rFont val="돋움"/>
        <family val="3"/>
        <charset val="129"/>
      </rPr>
      <t>측정조건</t>
    </r>
    <phoneticPr fontId="5" type="noConversion"/>
  </si>
  <si>
    <r>
      <rPr>
        <b/>
        <sz val="10"/>
        <rFont val="돋움"/>
        <family val="3"/>
        <charset val="129"/>
      </rPr>
      <t>■</t>
    </r>
    <r>
      <rPr>
        <b/>
        <sz val="10"/>
        <rFont val="Tahoma"/>
        <family val="2"/>
      </rPr>
      <t xml:space="preserve"> </t>
    </r>
    <r>
      <rPr>
        <b/>
        <sz val="10"/>
        <rFont val="돋움"/>
        <family val="3"/>
        <charset val="129"/>
      </rPr>
      <t>안정도</t>
    </r>
    <r>
      <rPr>
        <b/>
        <sz val="10"/>
        <rFont val="Tahoma"/>
        <family val="2"/>
      </rPr>
      <t xml:space="preserve"> </t>
    </r>
    <r>
      <rPr>
        <b/>
        <sz val="10"/>
        <rFont val="돋움"/>
        <family val="3"/>
        <charset val="129"/>
      </rPr>
      <t>계산</t>
    </r>
    <phoneticPr fontId="5" type="noConversion"/>
  </si>
  <si>
    <t>캘리브레이터 1</t>
    <phoneticPr fontId="5" type="noConversion"/>
  </si>
  <si>
    <t>캘리브레이터 2</t>
    <phoneticPr fontId="5" type="noConversion"/>
  </si>
  <si>
    <t>안정도 1</t>
    <phoneticPr fontId="5" type="noConversion"/>
  </si>
  <si>
    <t>값으로 환산</t>
    <phoneticPr fontId="5" type="noConversion"/>
  </si>
  <si>
    <t>단위환산계수</t>
    <phoneticPr fontId="5" type="noConversion"/>
  </si>
  <si>
    <t>안정도 2</t>
    <phoneticPr fontId="5" type="noConversion"/>
  </si>
  <si>
    <t>안정도 계산</t>
    <phoneticPr fontId="5" type="noConversion"/>
  </si>
  <si>
    <t>MPa환산</t>
    <phoneticPr fontId="5" type="noConversion"/>
  </si>
  <si>
    <t>분동식</t>
    <phoneticPr fontId="5" type="noConversion"/>
  </si>
  <si>
    <t>대기온도</t>
    <phoneticPr fontId="5" type="noConversion"/>
  </si>
  <si>
    <t>밀도식</t>
    <phoneticPr fontId="5" type="noConversion"/>
  </si>
  <si>
    <t>표준압력계산</t>
    <phoneticPr fontId="5" type="noConversion"/>
  </si>
  <si>
    <t>% of Reading</t>
    <phoneticPr fontId="5" type="noConversion"/>
  </si>
  <si>
    <r>
      <rPr>
        <b/>
        <sz val="9"/>
        <rFont val="돋움"/>
        <family val="3"/>
        <charset val="129"/>
      </rPr>
      <t>자리수</t>
    </r>
    <phoneticPr fontId="69" type="noConversion"/>
  </si>
  <si>
    <r>
      <t>표준기
장기안정도</t>
    </r>
    <r>
      <rPr>
        <b/>
        <i/>
        <sz val="9"/>
        <color indexed="9"/>
        <rFont val="맑은 고딕"/>
        <family val="3"/>
        <charset val="129"/>
        <scheme val="minor"/>
      </rPr>
      <t/>
    </r>
    <phoneticPr fontId="5" type="noConversion"/>
  </si>
  <si>
    <t>장기안정도</t>
    <phoneticPr fontId="5" type="noConversion"/>
  </si>
  <si>
    <t>교정계수</t>
    <phoneticPr fontId="5" type="noConversion"/>
  </si>
  <si>
    <t>F.S</t>
    <phoneticPr fontId="5" type="noConversion"/>
  </si>
  <si>
    <t>캘리브레이터 2</t>
  </si>
  <si>
    <t>20412-3</t>
    <phoneticPr fontId="5" type="noConversion"/>
  </si>
  <si>
    <t>Pressure Calibrator(-)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</si>
</sst>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4">
    <numFmt numFmtId="41" formatCode="_-* #,##0_-;\-* #,##0_-;_-* &quot;-&quot;_-;_-@_-"/>
    <numFmt numFmtId="43" formatCode="_-* #,##0.00_-;\-* #,##0.00_-;_-* &quot;-&quot;??_-;_-@_-"/>
    <numFmt numFmtId="176" formatCode="_ &quot;₩&quot;* #,##0.00_ ;_ &quot;₩&quot;* &quot;₩&quot;&quot;₩&quot;&quot;₩&quot;&quot;₩&quot;&quot;₩&quot;&quot;₩&quot;&quot;₩&quot;\-#,##0.00_ ;_ &quot;₩&quot;* &quot;-&quot;??_ ;_ @_ "/>
    <numFmt numFmtId="177" formatCode="&quot;₩&quot;#,##0;&quot;₩&quot;&quot;₩&quot;&quot;₩&quot;&quot;₩&quot;&quot;₩&quot;&quot;₩&quot;&quot;₩&quot;&quot;₩&quot;&quot;₩&quot;\-#,##0"/>
    <numFmt numFmtId="178" formatCode="_ * #,##0.00_ ;_ * &quot;₩&quot;&quot;₩&quot;&quot;₩&quot;&quot;₩&quot;&quot;₩&quot;&quot;₩&quot;&quot;₩&quot;\-#,##0.00_ ;_ * &quot;-&quot;??_ ;_ @_ "/>
    <numFmt numFmtId="179" formatCode="&quot;₩&quot;#,##0;[Red]&quot;₩&quot;&quot;₩&quot;&quot;₩&quot;&quot;₩&quot;&quot;₩&quot;&quot;₩&quot;&quot;₩&quot;&quot;₩&quot;&quot;₩&quot;\-#,##0"/>
    <numFmt numFmtId="180" formatCode="_ * #,##0_ ;_ * \-#,##0_ ;_ * &quot;-&quot;_ ;_ @_ "/>
    <numFmt numFmtId="181" formatCode="_ * #,##0.00_ ;_ * \-#,##0.00_ ;_ * &quot;-&quot;??_ ;_ @_ "/>
    <numFmt numFmtId="182" formatCode="&quot;₩&quot;#,##0;&quot;₩&quot;&quot;₩&quot;&quot;₩&quot;&quot;₩&quot;&quot;₩&quot;&quot;₩&quot;&quot;₩&quot;&quot;₩&quot;\-#,##0"/>
    <numFmt numFmtId="183" formatCode="&quot;₩&quot;#,##0.00;&quot;₩&quot;&quot;₩&quot;&quot;₩&quot;&quot;₩&quot;&quot;₩&quot;&quot;₩&quot;&quot;₩&quot;&quot;₩&quot;\-#,##0.00"/>
    <numFmt numFmtId="184" formatCode="################################"/>
    <numFmt numFmtId="185" formatCode="0.0\ &quot;℃&quot;"/>
    <numFmt numFmtId="186" formatCode="0\ &quot;％ R.H.&quot;"/>
    <numFmt numFmtId="187" formatCode="0.0\ &quot;hPa&quot;"/>
    <numFmt numFmtId="188" formatCode="0.00_ "/>
    <numFmt numFmtId="189" formatCode="0.000\ 000"/>
    <numFmt numFmtId="190" formatCode="0.000"/>
    <numFmt numFmtId="191" formatCode="0.000000E+00"/>
    <numFmt numFmtId="192" formatCode="0_ "/>
    <numFmt numFmtId="193" formatCode="0.000_ "/>
    <numFmt numFmtId="194" formatCode="0.000\ 0"/>
    <numFmt numFmtId="195" formatCode="0.0_ "/>
    <numFmt numFmtId="196" formatCode="0.000000_ "/>
    <numFmt numFmtId="197" formatCode="0.00\ &quot;μm&quot;"/>
    <numFmt numFmtId="198" formatCode="0.0"/>
    <numFmt numFmtId="199" formatCode="0.000\ 000\ &quot;m/MPa&quot;"/>
    <numFmt numFmtId="200" formatCode="0.000\ 000\ &quot;MPa&quot;"/>
    <numFmt numFmtId="201" formatCode="0.000\ &quot;μm&quot;"/>
    <numFmt numFmtId="202" formatCode="0.00\ \˝"/>
    <numFmt numFmtId="203" formatCode="#\ ###\ ###"/>
    <numFmt numFmtId="204" formatCode="#\ ##0.000\ 0"/>
    <numFmt numFmtId="205" formatCode="0.000000"/>
    <numFmt numFmtId="206" formatCode="####\-##\-##"/>
    <numFmt numFmtId="207" formatCode="0\ \(&quot;가&quot;&quot;압&quot;\)"/>
    <numFmt numFmtId="208" formatCode="0\ \(&quot;감&quot;&quot;압&quot;\)"/>
    <numFmt numFmtId="209" formatCode="0.###\ ###"/>
    <numFmt numFmtId="210" formatCode="0\ &quot;MPa&quot;"/>
    <numFmt numFmtId="211" formatCode="0.000\ 000\ 0"/>
    <numFmt numFmtId="212" formatCode="0.000\ 00"/>
    <numFmt numFmtId="213" formatCode="0.000\ 0\ "/>
    <numFmt numFmtId="214" formatCode="0.0\ &quot;㎷&quot;"/>
    <numFmt numFmtId="215" formatCode="\±\ 0.0"/>
    <numFmt numFmtId="216" formatCode="0.000\ %"/>
    <numFmt numFmtId="217" formatCode="0.00\ %"/>
  </numFmts>
  <fonts count="125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9"/>
      <name val="Tahoma"/>
      <family val="2"/>
    </font>
    <font>
      <b/>
      <sz val="9"/>
      <name val="Tahoma"/>
      <family val="2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9"/>
      <color indexed="9"/>
      <name val="Tahoma"/>
      <family val="2"/>
    </font>
    <font>
      <b/>
      <sz val="9"/>
      <color indexed="9"/>
      <name val="굴림"/>
      <family val="3"/>
      <charset val="129"/>
    </font>
    <font>
      <sz val="10"/>
      <name val="Arial"/>
      <family val="2"/>
    </font>
    <font>
      <b/>
      <sz val="9"/>
      <color indexed="9"/>
      <name val="돋움"/>
      <family val="3"/>
      <charset val="129"/>
    </font>
    <font>
      <sz val="8"/>
      <name val="Tahoma"/>
      <family val="2"/>
    </font>
    <font>
      <sz val="11"/>
      <name val="Tahoma"/>
      <family val="2"/>
    </font>
    <font>
      <sz val="10"/>
      <name val="Tahoma"/>
      <family val="2"/>
    </font>
    <font>
      <b/>
      <sz val="8"/>
      <name val="Tahoma"/>
      <family val="2"/>
    </font>
    <font>
      <sz val="8"/>
      <color indexed="8"/>
      <name val="Tahoma"/>
      <family val="2"/>
    </font>
    <font>
      <sz val="12"/>
      <name val="바탕체"/>
      <family val="1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u/>
      <sz val="10"/>
      <color indexed="36"/>
      <name val="Arial"/>
      <family val="2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¹ÙÅÁÃ¼"/>
      <family val="1"/>
      <charset val="129"/>
    </font>
    <font>
      <sz val="14"/>
      <name val="¾©"/>
      <family val="3"/>
      <charset val="129"/>
    </font>
    <font>
      <sz val="10"/>
      <name val="±¼¸²Ã¼"/>
      <family val="3"/>
      <charset val="129"/>
    </font>
    <font>
      <sz val="8"/>
      <name val="Arial"/>
      <family val="2"/>
    </font>
    <font>
      <sz val="10"/>
      <name val="Helv"/>
      <family val="2"/>
    </font>
    <font>
      <sz val="12"/>
      <name val="¾©"/>
      <family val="3"/>
      <charset val="129"/>
    </font>
    <font>
      <b/>
      <sz val="20"/>
      <name val="Tahoma"/>
      <family val="2"/>
    </font>
    <font>
      <b/>
      <sz val="20"/>
      <name val="돋움"/>
      <family val="3"/>
      <charset val="129"/>
    </font>
    <font>
      <b/>
      <sz val="8"/>
      <name val="맑은 고딕"/>
      <family val="3"/>
      <charset val="129"/>
    </font>
    <font>
      <sz val="8"/>
      <name val="맑은 고딕"/>
      <family val="3"/>
      <charset val="129"/>
    </font>
    <font>
      <sz val="12"/>
      <name val="뼻뮝"/>
      <family val="1"/>
      <charset val="129"/>
    </font>
    <font>
      <sz val="10"/>
      <name val="굴림체"/>
      <family val="3"/>
      <charset val="129"/>
    </font>
    <font>
      <sz val="8"/>
      <color indexed="10"/>
      <name val="Tahoma"/>
      <family val="2"/>
    </font>
    <font>
      <sz val="8"/>
      <name val="맑은 고딕"/>
      <family val="3"/>
      <charset val="129"/>
    </font>
    <font>
      <b/>
      <sz val="9"/>
      <color indexed="10"/>
      <name val="Tahoma"/>
      <family val="2"/>
    </font>
    <font>
      <sz val="8"/>
      <color indexed="8"/>
      <name val="Tahoma"/>
      <family val="2"/>
    </font>
    <font>
      <b/>
      <sz val="23"/>
      <name val="Arial Unicode MS"/>
      <family val="3"/>
      <charset val="129"/>
    </font>
    <font>
      <sz val="9"/>
      <name val="Arial Unicode MS"/>
      <family val="3"/>
      <charset val="129"/>
    </font>
    <font>
      <b/>
      <sz val="12"/>
      <name val="Arial Unicode MS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</font>
    <font>
      <b/>
      <sz val="22"/>
      <name val="맑은 고딕"/>
      <family val="3"/>
      <charset val="129"/>
      <scheme val="minor"/>
    </font>
    <font>
      <sz val="9"/>
      <color indexed="8"/>
      <name val="맑은 고딕"/>
      <family val="3"/>
      <charset val="129"/>
    </font>
    <font>
      <sz val="12"/>
      <color indexed="8"/>
      <name val="굴림"/>
      <family val="3"/>
      <charset val="129"/>
    </font>
    <font>
      <b/>
      <sz val="9"/>
      <color theme="0"/>
      <name val="맑은 고딕"/>
      <family val="3"/>
      <charset val="129"/>
    </font>
    <font>
      <b/>
      <i/>
      <sz val="9"/>
      <color theme="0"/>
      <name val="맑은 고딕"/>
      <family val="3"/>
      <charset val="129"/>
    </font>
    <font>
      <sz val="9"/>
      <name val="돋움"/>
      <family val="3"/>
      <charset val="129"/>
    </font>
    <font>
      <b/>
      <sz val="9"/>
      <name val="Arial Unicode MS"/>
      <family val="3"/>
      <charset val="129"/>
    </font>
    <font>
      <b/>
      <sz val="9"/>
      <name val="돋움"/>
      <family val="3"/>
      <charset val="129"/>
    </font>
    <font>
      <b/>
      <sz val="8"/>
      <name val="돋움"/>
      <family val="3"/>
      <charset val="129"/>
    </font>
    <font>
      <sz val="8"/>
      <name val="맑은 고딕"/>
      <family val="3"/>
      <charset val="129"/>
      <scheme val="major"/>
    </font>
    <font>
      <sz val="10"/>
      <color theme="1"/>
      <name val="맑은 고딕"/>
      <family val="3"/>
      <charset val="129"/>
    </font>
    <font>
      <sz val="8"/>
      <name val="맑은 고딕"/>
      <family val="2"/>
      <charset val="129"/>
      <scheme val="minor"/>
    </font>
    <font>
      <i/>
      <sz val="10"/>
      <color theme="1"/>
      <name val="맑은 고딕"/>
      <family val="3"/>
      <charset val="129"/>
    </font>
    <font>
      <i/>
      <vertAlign val="subscript"/>
      <sz val="10"/>
      <color theme="1"/>
      <name val="맑은 고딕"/>
      <family val="3"/>
      <charset val="129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b/>
      <i/>
      <sz val="10"/>
      <color theme="0"/>
      <name val="맑은 고딕"/>
      <family val="3"/>
      <charset val="129"/>
      <scheme val="minor"/>
    </font>
    <font>
      <b/>
      <i/>
      <vertAlign val="subscript"/>
      <sz val="10"/>
      <color theme="0"/>
      <name val="맑은 고딕"/>
      <family val="3"/>
      <charset val="129"/>
      <scheme val="minor"/>
    </font>
    <font>
      <b/>
      <vertAlign val="superscript"/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i/>
      <sz val="10"/>
      <color theme="1"/>
      <name val="맑은 고딕"/>
      <family val="3"/>
      <charset val="129"/>
      <scheme val="minor"/>
    </font>
    <font>
      <i/>
      <vertAlign val="subscript"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vertAlign val="superscript"/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i/>
      <sz val="10"/>
      <name val="맑은 고딕"/>
      <family val="3"/>
      <charset val="129"/>
      <scheme val="minor"/>
    </font>
    <font>
      <i/>
      <vertAlign val="subscript"/>
      <sz val="10"/>
      <name val="맑은 고딕"/>
      <family val="3"/>
      <charset val="129"/>
      <scheme val="minor"/>
    </font>
    <font>
      <vertAlign val="superscript"/>
      <sz val="10"/>
      <name val="맑은 고딕"/>
      <family val="3"/>
      <charset val="129"/>
      <scheme val="minor"/>
    </font>
    <font>
      <b/>
      <sz val="10"/>
      <name val="Tahoma"/>
      <family val="2"/>
    </font>
    <font>
      <b/>
      <sz val="10"/>
      <name val="돋움"/>
      <family val="3"/>
      <charset val="129"/>
    </font>
    <font>
      <sz val="10"/>
      <name val="맑은 고딕"/>
      <family val="3"/>
      <charset val="129"/>
      <scheme val="major"/>
    </font>
    <font>
      <i/>
      <sz val="10"/>
      <name val="Times New Roman"/>
      <family val="1"/>
    </font>
    <font>
      <i/>
      <vertAlign val="subscript"/>
      <sz val="10"/>
      <name val="Times New Roman"/>
      <family val="1"/>
    </font>
    <font>
      <b/>
      <sz val="10"/>
      <name val="맑은 고딕"/>
      <family val="3"/>
      <charset val="129"/>
      <scheme val="major"/>
    </font>
    <font>
      <sz val="10"/>
      <name val="돋움"/>
      <family val="3"/>
      <charset val="129"/>
    </font>
    <font>
      <sz val="10"/>
      <name val="Times New Roman"/>
      <family val="1"/>
    </font>
    <font>
      <b/>
      <sz val="10"/>
      <name val="맑은 고딕"/>
      <family val="1"/>
      <scheme val="major"/>
    </font>
    <font>
      <b/>
      <i/>
      <sz val="10"/>
      <name val="Times New Roman"/>
      <family val="1"/>
    </font>
    <font>
      <b/>
      <i/>
      <vertAlign val="subscript"/>
      <sz val="10"/>
      <name val="Times New Roman"/>
      <family val="1"/>
    </font>
    <font>
      <b/>
      <sz val="20"/>
      <name val="맑은 고딕"/>
      <family val="3"/>
      <charset val="129"/>
      <scheme val="minor"/>
    </font>
    <font>
      <sz val="9"/>
      <color rgb="FFFF0000"/>
      <name val="Arial Unicode MS"/>
      <family val="3"/>
      <charset val="129"/>
    </font>
    <font>
      <b/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9"/>
      <color indexed="9"/>
      <name val="맑은 고딕"/>
      <family val="3"/>
      <charset val="129"/>
      <scheme val="minor"/>
    </font>
    <font>
      <b/>
      <sz val="9"/>
      <color indexed="10"/>
      <name val="맑은 고딕"/>
      <family val="3"/>
      <charset val="129"/>
      <scheme val="minor"/>
    </font>
    <font>
      <b/>
      <i/>
      <sz val="9"/>
      <color indexed="9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9"/>
      <color rgb="FF0070C0"/>
      <name val="Arial Unicode MS"/>
      <family val="3"/>
      <charset val="129"/>
    </font>
    <font>
      <b/>
      <sz val="10"/>
      <color rgb="FFFF0000"/>
      <name val="맑은 고딕"/>
      <family val="3"/>
      <charset val="129"/>
      <scheme val="minor"/>
    </font>
    <font>
      <b/>
      <sz val="9"/>
      <color rgb="FFFF0000"/>
      <name val="돋움"/>
      <family val="3"/>
      <charset val="129"/>
    </font>
    <font>
      <b/>
      <sz val="20"/>
      <name val="Felix Titling"/>
      <family val="5"/>
    </font>
    <font>
      <b/>
      <sz val="10"/>
      <name val="맑은 고딕"/>
      <family val="3"/>
      <charset val="129"/>
    </font>
    <font>
      <sz val="10"/>
      <name val="맑은 고딕"/>
      <family val="1"/>
      <scheme val="major"/>
    </font>
    <font>
      <vertAlign val="superscript"/>
      <sz val="10"/>
      <name val="Times New Roman"/>
      <family val="1"/>
    </font>
    <font>
      <sz val="9"/>
      <name val="Arial"/>
      <family val="2"/>
    </font>
    <font>
      <b/>
      <sz val="9"/>
      <color theme="0"/>
      <name val="Tahoma"/>
      <family val="2"/>
    </font>
    <font>
      <b/>
      <sz val="9"/>
      <color theme="0"/>
      <name val="돋움"/>
      <family val="3"/>
      <charset val="129"/>
    </font>
    <font>
      <b/>
      <sz val="9"/>
      <color indexed="9"/>
      <name val="맑은 고딕"/>
      <family val="3"/>
      <charset val="129"/>
    </font>
    <font>
      <b/>
      <sz val="10"/>
      <color rgb="FFFF0000"/>
      <name val="맑은 고딕"/>
      <family val="3"/>
      <charset val="129"/>
      <scheme val="major"/>
    </font>
    <font>
      <b/>
      <sz val="9"/>
      <color rgb="FFFF0000"/>
      <name val="Tahoma"/>
      <family val="2"/>
    </font>
    <font>
      <sz val="9"/>
      <color indexed="8"/>
      <name val="Arial Unicode MS"/>
      <family val="3"/>
      <charset val="129"/>
    </font>
    <font>
      <b/>
      <sz val="9"/>
      <color indexed="8"/>
      <name val="Arial Unicode MS"/>
      <family val="3"/>
      <charset val="129"/>
    </font>
    <font>
      <b/>
      <sz val="9"/>
      <color rgb="FF00B0F0"/>
      <name val="맑은 고딕"/>
      <family val="3"/>
      <charset val="129"/>
    </font>
    <font>
      <sz val="9"/>
      <color rgb="FFFF0000"/>
      <name val="맑은 고딕"/>
      <family val="3"/>
      <charset val="129"/>
    </font>
    <font>
      <b/>
      <sz val="9"/>
      <color rgb="FF0070C0"/>
      <name val="맑은 고딕"/>
      <family val="3"/>
      <charset val="129"/>
    </font>
    <font>
      <b/>
      <sz val="9"/>
      <color rgb="FFFF0000"/>
      <name val="맑은 고딕"/>
      <family val="3"/>
      <charset val="129"/>
    </font>
  </fonts>
  <fills count="4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indexed="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0"/>
      </patternFill>
    </fill>
    <fill>
      <patternFill patternType="solid">
        <fgColor theme="8" tint="0.79998168889431442"/>
        <bgColor indexed="0"/>
      </patternFill>
    </fill>
  </fills>
  <borders count="1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thin">
        <color theme="0" tint="-0.24994659260841701"/>
      </left>
      <right style="thin">
        <color indexed="22"/>
      </right>
      <top style="thin">
        <color indexed="22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/>
      <diagonal/>
    </border>
    <border>
      <left style="thin">
        <color theme="0" tint="-0.24994659260841701"/>
      </left>
      <right style="thin">
        <color indexed="22"/>
      </right>
      <top/>
      <bottom/>
      <diagonal/>
    </border>
    <border>
      <left style="thin">
        <color theme="0" tint="-0.24994659260841701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/>
      <top/>
      <bottom style="thin">
        <color theme="0" tint="-0.24994659260841701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22"/>
      </left>
      <right/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146">
    <xf numFmtId="0" fontId="0" fillId="0" borderId="0">
      <alignment vertical="center"/>
    </xf>
    <xf numFmtId="0" fontId="15" fillId="0" borderId="0"/>
    <xf numFmtId="0" fontId="15" fillId="0" borderId="0"/>
    <xf numFmtId="40" fontId="35" fillId="0" borderId="0" applyFont="0" applyFill="0" applyBorder="0" applyAlignment="0" applyProtection="0"/>
    <xf numFmtId="38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9" fillId="0" borderId="0"/>
    <xf numFmtId="0" fontId="39" fillId="0" borderId="0"/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176" fontId="34" fillId="0" borderId="0" applyFont="0" applyFill="0" applyBorder="0" applyAlignment="0" applyProtection="0"/>
    <xf numFmtId="177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179" fontId="34" fillId="0" borderId="0" applyFont="0" applyFill="0" applyBorder="0" applyAlignment="0" applyProtection="0"/>
    <xf numFmtId="0" fontId="36" fillId="0" borderId="0"/>
    <xf numFmtId="180" fontId="8" fillId="0" borderId="0" applyFont="0" applyFill="0" applyBorder="0" applyAlignment="0" applyProtection="0"/>
    <xf numFmtId="181" fontId="8" fillId="0" borderId="0" applyFont="0" applyFill="0" applyBorder="0" applyAlignment="0" applyProtection="0"/>
    <xf numFmtId="182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38" fontId="37" fillId="16" borderId="0" applyNumberFormat="0" applyBorder="0" applyAlignment="0" applyProtection="0"/>
    <xf numFmtId="10" fontId="37" fillId="17" borderId="1" applyNumberFormat="0" applyBorder="0" applyAlignment="0" applyProtection="0"/>
    <xf numFmtId="0" fontId="38" fillId="0" borderId="0"/>
    <xf numFmtId="0" fontId="8" fillId="0" borderId="0"/>
    <xf numFmtId="10" fontId="8" fillId="0" borderId="0" applyFont="0" applyFill="0" applyBorder="0" applyAlignment="0" applyProtection="0"/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2" borderId="2" applyNumberFormat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top"/>
      <protection locked="0"/>
    </xf>
    <xf numFmtId="0" fontId="4" fillId="23" borderId="3" applyNumberFormat="0" applyFont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44" fillId="0" borderId="0"/>
    <xf numFmtId="0" fontId="23" fillId="0" borderId="0" applyNumberFormat="0" applyFill="0" applyBorder="0" applyAlignment="0" applyProtection="0">
      <alignment vertical="center"/>
    </xf>
    <xf numFmtId="0" fontId="24" fillId="25" borderId="4" applyNumberFormat="0" applyAlignment="0" applyProtection="0">
      <alignment vertical="center"/>
    </xf>
    <xf numFmtId="0" fontId="8" fillId="0" borderId="0"/>
    <xf numFmtId="0" fontId="25" fillId="0" borderId="5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7" fillId="7" borderId="2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3" fillId="22" borderId="10" applyNumberFormat="0" applyAlignment="0" applyProtection="0">
      <alignment vertical="center"/>
    </xf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5" fillId="0" borderId="0">
      <alignment vertical="center"/>
    </xf>
    <xf numFmtId="0" fontId="4" fillId="0" borderId="0">
      <alignment vertical="center"/>
    </xf>
    <xf numFmtId="0" fontId="4" fillId="0" borderId="0"/>
    <xf numFmtId="0" fontId="53" fillId="0" borderId="0">
      <alignment vertical="center"/>
    </xf>
    <xf numFmtId="0" fontId="16" fillId="0" borderId="0">
      <alignment vertical="center"/>
    </xf>
    <xf numFmtId="0" fontId="4" fillId="0" borderId="0"/>
    <xf numFmtId="0" fontId="45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60" fillId="0" borderId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0" fontId="4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10" fontId="37" fillId="17" borderId="46" applyNumberFormat="0" applyBorder="0" applyAlignment="0" applyProtection="0"/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2" borderId="68" applyNumberFormat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4" fillId="23" borderId="43" applyNumberFormat="0" applyFont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25" borderId="4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6" fillId="0" borderId="69" applyNumberFormat="0" applyFill="0" applyAlignment="0" applyProtection="0">
      <alignment vertical="center"/>
    </xf>
    <xf numFmtId="0" fontId="27" fillId="7" borderId="68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3" fillId="22" borderId="70" applyNumberFormat="0" applyAlignment="0" applyProtection="0">
      <alignment vertical="center"/>
    </xf>
    <xf numFmtId="0" fontId="1" fillId="0" borderId="0">
      <alignment vertical="center"/>
    </xf>
    <xf numFmtId="0" fontId="4" fillId="0" borderId="0"/>
    <xf numFmtId="41" fontId="4" fillId="0" borderId="0" applyFont="0" applyFill="0" applyBorder="0" applyAlignment="0" applyProtection="0">
      <alignment vertical="center"/>
    </xf>
    <xf numFmtId="0" fontId="113" fillId="0" borderId="0"/>
    <xf numFmtId="0" fontId="8" fillId="0" borderId="0"/>
    <xf numFmtId="41" fontId="4" fillId="0" borderId="0" applyFont="0" applyFill="0" applyBorder="0" applyAlignment="0" applyProtection="0">
      <alignment vertical="center"/>
    </xf>
    <xf numFmtId="0" fontId="19" fillId="22" borderId="2" applyNumberFormat="0" applyAlignment="0" applyProtection="0">
      <alignment vertical="center"/>
    </xf>
    <xf numFmtId="0" fontId="4" fillId="23" borderId="3" applyNumberFormat="0" applyFont="0" applyAlignment="0" applyProtection="0">
      <alignment vertical="center"/>
    </xf>
    <xf numFmtId="0" fontId="27" fillId="7" borderId="2" applyNumberFormat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10" fontId="37" fillId="17" borderId="128" applyNumberFormat="0" applyBorder="0" applyAlignment="0" applyProtection="0"/>
    <xf numFmtId="0" fontId="19" fillId="22" borderId="129" applyNumberFormat="0" applyAlignment="0" applyProtection="0">
      <alignment vertical="center"/>
    </xf>
    <xf numFmtId="0" fontId="4" fillId="23" borderId="127" applyNumberFormat="0" applyFont="0" applyAlignment="0" applyProtection="0">
      <alignment vertical="center"/>
    </xf>
    <xf numFmtId="0" fontId="26" fillId="0" borderId="130" applyNumberFormat="0" applyFill="0" applyAlignment="0" applyProtection="0">
      <alignment vertical="center"/>
    </xf>
    <xf numFmtId="0" fontId="27" fillId="7" borderId="129" applyNumberFormat="0" applyAlignment="0" applyProtection="0">
      <alignment vertical="center"/>
    </xf>
    <xf numFmtId="0" fontId="33" fillId="22" borderId="131" applyNumberFormat="0" applyAlignment="0" applyProtection="0">
      <alignment vertical="center"/>
    </xf>
  </cellStyleXfs>
  <cellXfs count="967">
    <xf numFmtId="0" fontId="0" fillId="0" borderId="0" xfId="0">
      <alignment vertical="center"/>
    </xf>
    <xf numFmtId="49" fontId="2" fillId="0" borderId="0" xfId="79" applyNumberFormat="1" applyFont="1" applyFill="1" applyBorder="1" applyAlignment="1">
      <alignment horizontal="left" vertical="center"/>
    </xf>
    <xf numFmtId="49" fontId="2" fillId="0" borderId="0" xfId="79" applyNumberFormat="1" applyFont="1" applyFill="1" applyAlignment="1">
      <alignment horizontal="left" vertical="center"/>
    </xf>
    <xf numFmtId="0" fontId="2" fillId="0" borderId="0" xfId="0" applyFont="1" applyFill="1" applyBorder="1">
      <alignment vertical="center"/>
    </xf>
    <xf numFmtId="0" fontId="43" fillId="0" borderId="1" xfId="0" applyFont="1" applyFill="1" applyBorder="1" applyAlignment="1" applyProtection="1">
      <alignment horizontal="center" vertical="center" shrinkToFit="1"/>
    </xf>
    <xf numFmtId="0" fontId="10" fillId="0" borderId="1" xfId="0" applyFont="1" applyFill="1" applyBorder="1" applyAlignment="1" applyProtection="1">
      <alignment horizontal="center" vertical="center" shrinkToFit="1"/>
    </xf>
    <xf numFmtId="0" fontId="46" fillId="0" borderId="0" xfId="0" applyFont="1" applyFill="1" applyBorder="1">
      <alignment vertical="center"/>
    </xf>
    <xf numFmtId="0" fontId="10" fillId="0" borderId="0" xfId="0" applyFont="1" applyFill="1" applyBorder="1">
      <alignment vertical="center"/>
    </xf>
    <xf numFmtId="185" fontId="10" fillId="17" borderId="1" xfId="0" applyNumberFormat="1" applyFont="1" applyFill="1" applyBorder="1" applyAlignment="1" applyProtection="1">
      <alignment horizontal="center" vertical="center" shrinkToFit="1"/>
      <protection locked="0"/>
    </xf>
    <xf numFmtId="0" fontId="43" fillId="0" borderId="1" xfId="0" applyFont="1" applyFill="1" applyBorder="1" applyAlignment="1" applyProtection="1">
      <alignment horizontal="center" vertical="center"/>
    </xf>
    <xf numFmtId="186" fontId="10" fillId="17" borderId="1" xfId="0" applyNumberFormat="1" applyFont="1" applyFill="1" applyBorder="1" applyAlignment="1" applyProtection="1">
      <alignment horizontal="center" vertical="center" shrinkToFit="1"/>
      <protection locked="0"/>
    </xf>
    <xf numFmtId="187" fontId="10" fillId="0" borderId="1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0" applyFont="1" applyFill="1" applyBorder="1" applyAlignment="1">
      <alignment vertical="center"/>
    </xf>
    <xf numFmtId="0" fontId="10" fillId="0" borderId="1" xfId="0" applyFont="1" applyFill="1" applyBorder="1" applyAlignment="1" applyProtection="1">
      <alignment horizontal="center" vertical="center"/>
    </xf>
    <xf numFmtId="0" fontId="14" fillId="17" borderId="1" xfId="0" applyFont="1" applyFill="1" applyBorder="1" applyAlignment="1" applyProtection="1">
      <alignment horizontal="center" vertical="center" shrinkToFit="1"/>
      <protection locked="0"/>
    </xf>
    <xf numFmtId="14" fontId="2" fillId="0" borderId="0" xfId="0" applyNumberFormat="1" applyFont="1" applyFill="1" applyBorder="1">
      <alignment vertical="center"/>
    </xf>
    <xf numFmtId="0" fontId="51" fillId="0" borderId="0" xfId="79" applyFont="1"/>
    <xf numFmtId="0" fontId="51" fillId="0" borderId="0" xfId="0" applyFont="1">
      <alignment vertical="center"/>
    </xf>
    <xf numFmtId="49" fontId="51" fillId="0" borderId="19" xfId="79" applyNumberFormat="1" applyFont="1" applyFill="1" applyBorder="1" applyAlignment="1">
      <alignment horizontal="left" vertical="center"/>
    </xf>
    <xf numFmtId="49" fontId="51" fillId="0" borderId="19" xfId="79" applyNumberFormat="1" applyFont="1" applyFill="1" applyBorder="1" applyAlignment="1">
      <alignment horizontal="center" vertical="center"/>
    </xf>
    <xf numFmtId="0" fontId="51" fillId="0" borderId="19" xfId="79" applyNumberFormat="1" applyFont="1" applyFill="1" applyBorder="1" applyAlignment="1">
      <alignment horizontal="right" vertical="center"/>
    </xf>
    <xf numFmtId="0" fontId="14" fillId="17" borderId="1" xfId="0" applyFont="1" applyFill="1" applyBorder="1" applyAlignment="1" applyProtection="1">
      <alignment horizontal="center" vertical="center" shrinkToFit="1"/>
      <protection locked="0"/>
    </xf>
    <xf numFmtId="0" fontId="54" fillId="0" borderId="0" xfId="0" applyFont="1" applyAlignment="1">
      <alignment horizontal="center" vertical="center"/>
    </xf>
    <xf numFmtId="0" fontId="55" fillId="26" borderId="0" xfId="0" applyFont="1" applyFill="1" applyAlignment="1">
      <alignment horizontal="center" vertical="center"/>
    </xf>
    <xf numFmtId="0" fontId="57" fillId="0" borderId="1" xfId="0" applyFont="1" applyBorder="1" applyAlignment="1">
      <alignment horizontal="center" vertical="center"/>
    </xf>
    <xf numFmtId="0" fontId="55" fillId="26" borderId="0" xfId="0" applyFont="1" applyFill="1" applyAlignment="1">
      <alignment horizontal="center" vertical="center" wrapText="1"/>
    </xf>
    <xf numFmtId="0" fontId="58" fillId="0" borderId="0" xfId="0" applyFont="1" applyAlignment="1">
      <alignment horizontal="left" vertical="center"/>
    </xf>
    <xf numFmtId="0" fontId="14" fillId="17" borderId="1" xfId="0" applyFont="1" applyFill="1" applyBorder="1" applyAlignment="1" applyProtection="1">
      <alignment horizontal="center" vertical="center" shrinkToFit="1"/>
      <protection locked="0"/>
    </xf>
    <xf numFmtId="0" fontId="56" fillId="0" borderId="0" xfId="0" applyFont="1" applyAlignment="1">
      <alignment vertical="center"/>
    </xf>
    <xf numFmtId="0" fontId="14" fillId="17" borderId="1" xfId="0" applyFont="1" applyFill="1" applyBorder="1" applyAlignment="1" applyProtection="1">
      <alignment horizontal="center" vertical="center" shrinkToFit="1"/>
      <protection locked="0"/>
    </xf>
    <xf numFmtId="0" fontId="59" fillId="0" borderId="0" xfId="0" applyFont="1" applyBorder="1" applyAlignment="1">
      <alignment horizontal="center" vertical="center"/>
    </xf>
    <xf numFmtId="0" fontId="14" fillId="17" borderId="1" xfId="0" applyFont="1" applyFill="1" applyBorder="1" applyAlignment="1" applyProtection="1">
      <alignment horizontal="center" vertical="center" shrinkToFit="1"/>
      <protection locked="0"/>
    </xf>
    <xf numFmtId="0" fontId="14" fillId="17" borderId="1" xfId="0" applyFont="1" applyFill="1" applyBorder="1" applyAlignment="1" applyProtection="1">
      <alignment horizontal="center" vertical="center" shrinkToFit="1"/>
      <protection locked="0"/>
    </xf>
    <xf numFmtId="0" fontId="51" fillId="0" borderId="19" xfId="79" applyNumberFormat="1" applyFont="1" applyFill="1" applyBorder="1" applyAlignment="1">
      <alignment vertical="center"/>
    </xf>
    <xf numFmtId="0" fontId="51" fillId="0" borderId="0" xfId="79" applyNumberFormat="1" applyFont="1"/>
    <xf numFmtId="0" fontId="51" fillId="0" borderId="19" xfId="79" applyNumberFormat="1" applyFont="1" applyFill="1" applyBorder="1" applyAlignment="1">
      <alignment horizontal="left" vertical="center"/>
    </xf>
    <xf numFmtId="0" fontId="57" fillId="0" borderId="25" xfId="0" applyFont="1" applyBorder="1" applyAlignment="1">
      <alignment horizontal="center" vertical="center"/>
    </xf>
    <xf numFmtId="0" fontId="54" fillId="0" borderId="25" xfId="0" applyFont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Alignment="1">
      <alignment horizontal="left" vertical="center" indent="1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0" borderId="0" xfId="0" applyNumberFormat="1" applyFont="1" applyFill="1" applyBorder="1" applyAlignment="1">
      <alignment vertical="center"/>
    </xf>
    <xf numFmtId="0" fontId="12" fillId="0" borderId="0" xfId="0" applyNumberFormat="1" applyFont="1" applyFill="1" applyAlignment="1">
      <alignment vertical="center"/>
    </xf>
    <xf numFmtId="0" fontId="12" fillId="0" borderId="0" xfId="0" applyNumberFormat="1" applyFont="1" applyFill="1" applyAlignment="1">
      <alignment horizontal="center" vertical="center"/>
    </xf>
    <xf numFmtId="0" fontId="14" fillId="17" borderId="1" xfId="0" applyFont="1" applyFill="1" applyBorder="1" applyAlignment="1" applyProtection="1">
      <alignment horizontal="center" vertical="center" shrinkToFit="1"/>
      <protection locked="0"/>
    </xf>
    <xf numFmtId="0" fontId="54" fillId="0" borderId="0" xfId="0" applyNumberFormat="1" applyFont="1" applyBorder="1" applyAlignment="1">
      <alignment horizontal="center" vertical="center"/>
    </xf>
    <xf numFmtId="49" fontId="57" fillId="0" borderId="25" xfId="0" applyNumberFormat="1" applyFont="1" applyBorder="1" applyAlignment="1">
      <alignment horizontal="center" vertical="center"/>
    </xf>
    <xf numFmtId="49" fontId="57" fillId="0" borderId="1" xfId="0" applyNumberFormat="1" applyFont="1" applyBorder="1" applyAlignment="1">
      <alignment horizontal="center" vertical="center"/>
    </xf>
    <xf numFmtId="0" fontId="10" fillId="30" borderId="11" xfId="0" applyFont="1" applyFill="1" applyBorder="1" applyAlignment="1" applyProtection="1">
      <alignment horizontal="center" vertical="center"/>
      <protection locked="0"/>
    </xf>
    <xf numFmtId="0" fontId="10" fillId="30" borderId="1" xfId="0" applyFont="1" applyFill="1" applyBorder="1" applyAlignment="1" applyProtection="1">
      <alignment horizontal="center" vertical="center" shrinkToFit="1"/>
      <protection locked="0"/>
    </xf>
    <xf numFmtId="49" fontId="51" fillId="0" borderId="0" xfId="79" applyNumberFormat="1" applyFont="1" applyFill="1" applyBorder="1" applyAlignment="1">
      <alignment vertical="center"/>
    </xf>
    <xf numFmtId="0" fontId="51" fillId="0" borderId="0" xfId="79" applyNumberFormat="1" applyFont="1" applyFill="1" applyBorder="1" applyAlignment="1">
      <alignment vertical="center"/>
    </xf>
    <xf numFmtId="49" fontId="51" fillId="0" borderId="0" xfId="79" applyNumberFormat="1" applyFont="1" applyFill="1" applyAlignment="1">
      <alignment horizontal="center" vertical="center"/>
    </xf>
    <xf numFmtId="0" fontId="51" fillId="0" borderId="0" xfId="79" applyNumberFormat="1" applyFont="1" applyFill="1" applyAlignment="1">
      <alignment horizontal="center" vertical="center"/>
    </xf>
    <xf numFmtId="0" fontId="51" fillId="0" borderId="0" xfId="79" applyNumberFormat="1" applyFont="1" applyFill="1" applyAlignment="1">
      <alignment vertical="center"/>
    </xf>
    <xf numFmtId="0" fontId="13" fillId="0" borderId="0" xfId="0" applyFont="1" applyFill="1" applyBorder="1">
      <alignment vertical="center"/>
    </xf>
    <xf numFmtId="0" fontId="14" fillId="17" borderId="1" xfId="0" applyFont="1" applyFill="1" applyBorder="1" applyAlignment="1" applyProtection="1">
      <alignment horizontal="center" vertical="center" shrinkToFit="1"/>
      <protection locked="0"/>
    </xf>
    <xf numFmtId="49" fontId="57" fillId="0" borderId="28" xfId="0" applyNumberFormat="1" applyFont="1" applyBorder="1" applyAlignment="1">
      <alignment horizontal="center" vertical="center"/>
    </xf>
    <xf numFmtId="0" fontId="57" fillId="0" borderId="28" xfId="0" applyFont="1" applyBorder="1" applyAlignment="1">
      <alignment horizontal="center" vertical="center"/>
    </xf>
    <xf numFmtId="0" fontId="54" fillId="0" borderId="28" xfId="0" applyFont="1" applyBorder="1" applyAlignment="1">
      <alignment horizontal="center" vertical="center"/>
    </xf>
    <xf numFmtId="0" fontId="63" fillId="0" borderId="0" xfId="0" applyFont="1">
      <alignment vertical="center"/>
    </xf>
    <xf numFmtId="0" fontId="72" fillId="0" borderId="0" xfId="0" applyFont="1" applyAlignment="1">
      <alignment horizontal="center" vertical="center"/>
    </xf>
    <xf numFmtId="0" fontId="73" fillId="0" borderId="0" xfId="0" applyFont="1">
      <alignment vertical="center"/>
    </xf>
    <xf numFmtId="0" fontId="63" fillId="0" borderId="38" xfId="0" applyFont="1" applyBorder="1" applyAlignment="1">
      <alignment horizontal="center" vertical="center"/>
    </xf>
    <xf numFmtId="0" fontId="63" fillId="0" borderId="39" xfId="0" applyFont="1" applyBorder="1" applyAlignment="1">
      <alignment horizontal="center" vertical="center"/>
    </xf>
    <xf numFmtId="0" fontId="63" fillId="30" borderId="38" xfId="0" applyFont="1" applyFill="1" applyBorder="1" applyAlignment="1">
      <alignment horizontal="center" vertical="center"/>
    </xf>
    <xf numFmtId="0" fontId="63" fillId="30" borderId="39" xfId="0" applyFont="1" applyFill="1" applyBorder="1" applyAlignment="1">
      <alignment horizontal="center" vertical="center"/>
    </xf>
    <xf numFmtId="0" fontId="63" fillId="30" borderId="40" xfId="0" applyFont="1" applyFill="1" applyBorder="1" applyAlignment="1">
      <alignment horizontal="center" vertical="center"/>
    </xf>
    <xf numFmtId="0" fontId="63" fillId="30" borderId="41" xfId="0" applyFont="1" applyFill="1" applyBorder="1" applyAlignment="1">
      <alignment horizontal="center" vertical="center"/>
    </xf>
    <xf numFmtId="0" fontId="63" fillId="30" borderId="42" xfId="0" applyFont="1" applyFill="1" applyBorder="1" applyAlignment="1">
      <alignment horizontal="center" vertical="center"/>
    </xf>
    <xf numFmtId="0" fontId="61" fillId="27" borderId="35" xfId="81" applyFont="1" applyFill="1" applyBorder="1" applyAlignment="1">
      <alignment horizontal="center" vertical="center"/>
    </xf>
    <xf numFmtId="0" fontId="61" fillId="27" borderId="36" xfId="81" applyFont="1" applyFill="1" applyBorder="1" applyAlignment="1">
      <alignment horizontal="center" vertical="center"/>
    </xf>
    <xf numFmtId="0" fontId="61" fillId="27" borderId="37" xfId="81" applyFont="1" applyFill="1" applyBorder="1" applyAlignment="1">
      <alignment horizontal="center" vertical="center"/>
    </xf>
    <xf numFmtId="0" fontId="48" fillId="0" borderId="0" xfId="0" applyNumberFormat="1" applyFont="1" applyFill="1" applyAlignment="1">
      <alignment horizontal="center" vertical="center"/>
    </xf>
    <xf numFmtId="0" fontId="0" fillId="0" borderId="0" xfId="0" applyNumberFormat="1" applyFill="1">
      <alignment vertical="center"/>
    </xf>
    <xf numFmtId="190" fontId="2" fillId="0" borderId="43" xfId="78" applyNumberFormat="1" applyFont="1" applyFill="1" applyBorder="1" applyAlignment="1">
      <alignment horizontal="center" vertical="center"/>
    </xf>
    <xf numFmtId="0" fontId="2" fillId="0" borderId="43" xfId="78" applyNumberFormat="1" applyFont="1" applyFill="1" applyBorder="1" applyAlignment="1">
      <alignment horizontal="center" vertical="center"/>
    </xf>
    <xf numFmtId="0" fontId="77" fillId="0" borderId="0" xfId="0" applyFont="1">
      <alignment vertical="center"/>
    </xf>
    <xf numFmtId="0" fontId="51" fillId="0" borderId="49" xfId="79" applyNumberFormat="1" applyFont="1" applyFill="1" applyBorder="1" applyAlignment="1">
      <alignment horizontal="center" vertical="center"/>
    </xf>
    <xf numFmtId="0" fontId="51" fillId="0" borderId="50" xfId="79" applyNumberFormat="1" applyFont="1" applyFill="1" applyBorder="1" applyAlignment="1">
      <alignment horizontal="center" vertical="center"/>
    </xf>
    <xf numFmtId="0" fontId="51" fillId="0" borderId="55" xfId="79" applyNumberFormat="1" applyFont="1" applyFill="1" applyBorder="1" applyAlignment="1">
      <alignment horizontal="center" vertical="center"/>
    </xf>
    <xf numFmtId="0" fontId="51" fillId="0" borderId="57" xfId="79" applyNumberFormat="1" applyFont="1" applyFill="1" applyBorder="1" applyAlignment="1">
      <alignment horizontal="center" vertical="center"/>
    </xf>
    <xf numFmtId="0" fontId="61" fillId="27" borderId="58" xfId="81" applyFont="1" applyFill="1" applyBorder="1" applyAlignment="1">
      <alignment horizontal="center" vertical="center"/>
    </xf>
    <xf numFmtId="0" fontId="61" fillId="27" borderId="59" xfId="81" applyFont="1" applyFill="1" applyBorder="1" applyAlignment="1">
      <alignment horizontal="center" vertical="center"/>
    </xf>
    <xf numFmtId="0" fontId="62" fillId="27" borderId="59" xfId="81" applyFont="1" applyFill="1" applyBorder="1" applyAlignment="1">
      <alignment horizontal="center" vertical="center"/>
    </xf>
    <xf numFmtId="188" fontId="51" fillId="0" borderId="0" xfId="0" applyNumberFormat="1" applyFont="1" applyBorder="1" applyAlignment="1">
      <alignment vertical="center"/>
    </xf>
    <xf numFmtId="0" fontId="54" fillId="0" borderId="46" xfId="0" applyFont="1" applyBorder="1" applyAlignment="1">
      <alignment horizontal="center" vertical="center"/>
    </xf>
    <xf numFmtId="0" fontId="77" fillId="0" borderId="61" xfId="0" applyFont="1" applyBorder="1" applyAlignment="1">
      <alignment horizontal="center" vertical="center"/>
    </xf>
    <xf numFmtId="0" fontId="82" fillId="0" borderId="61" xfId="0" applyFont="1" applyFill="1" applyBorder="1" applyAlignment="1">
      <alignment horizontal="center" vertical="center"/>
    </xf>
    <xf numFmtId="0" fontId="54" fillId="0" borderId="0" xfId="0" applyNumberFormat="1" applyFont="1" applyAlignment="1">
      <alignment vertical="center"/>
    </xf>
    <xf numFmtId="190" fontId="88" fillId="0" borderId="0" xfId="0" applyNumberFormat="1" applyFont="1" applyBorder="1" applyAlignment="1">
      <alignment horizontal="center" vertical="center"/>
    </xf>
    <xf numFmtId="0" fontId="89" fillId="0" borderId="0" xfId="0" applyNumberFormat="1" applyFont="1" applyBorder="1" applyAlignment="1">
      <alignment vertical="center"/>
    </xf>
    <xf numFmtId="0" fontId="88" fillId="0" borderId="0" xfId="0" applyFont="1" applyBorder="1">
      <alignment vertical="center"/>
    </xf>
    <xf numFmtId="0" fontId="88" fillId="0" borderId="0" xfId="0" applyFont="1">
      <alignment vertical="center"/>
    </xf>
    <xf numFmtId="194" fontId="88" fillId="0" borderId="0" xfId="0" applyNumberFormat="1" applyFont="1" applyBorder="1" applyAlignment="1">
      <alignment vertical="center"/>
    </xf>
    <xf numFmtId="49" fontId="88" fillId="0" borderId="0" xfId="0" applyNumberFormat="1" applyFont="1" applyBorder="1" applyAlignment="1">
      <alignment vertical="center"/>
    </xf>
    <xf numFmtId="0" fontId="88" fillId="0" borderId="0" xfId="0" applyFont="1" applyBorder="1" applyAlignment="1">
      <alignment vertical="center"/>
    </xf>
    <xf numFmtId="188" fontId="88" fillId="0" borderId="0" xfId="0" applyNumberFormat="1" applyFont="1" applyBorder="1" applyAlignment="1">
      <alignment horizontal="center" vertical="center" shrinkToFit="1"/>
    </xf>
    <xf numFmtId="0" fontId="88" fillId="0" borderId="0" xfId="0" applyFont="1" applyBorder="1" applyAlignment="1">
      <alignment horizontal="center" vertical="center" shrinkToFit="1"/>
    </xf>
    <xf numFmtId="0" fontId="88" fillId="0" borderId="0" xfId="0" applyNumberFormat="1" applyFont="1" applyBorder="1" applyAlignment="1">
      <alignment horizontal="center" vertical="center" shrinkToFit="1"/>
    </xf>
    <xf numFmtId="0" fontId="91" fillId="0" borderId="0" xfId="0" applyFont="1" applyBorder="1" applyAlignment="1">
      <alignment vertical="center"/>
    </xf>
    <xf numFmtId="1" fontId="54" fillId="0" borderId="0" xfId="0" applyNumberFormat="1" applyFont="1" applyBorder="1" applyAlignment="1">
      <alignment vertical="center"/>
    </xf>
    <xf numFmtId="198" fontId="54" fillId="0" borderId="0" xfId="0" applyNumberFormat="1" applyFont="1" applyBorder="1" applyAlignment="1">
      <alignment vertical="center"/>
    </xf>
    <xf numFmtId="1" fontId="54" fillId="0" borderId="0" xfId="0" applyNumberFormat="1" applyFont="1" applyBorder="1" applyAlignment="1">
      <alignment horizontal="right" vertical="center"/>
    </xf>
    <xf numFmtId="198" fontId="54" fillId="0" borderId="0" xfId="0" applyNumberFormat="1" applyFont="1" applyBorder="1" applyAlignment="1">
      <alignment horizontal="center" vertical="center"/>
    </xf>
    <xf numFmtId="0" fontId="54" fillId="0" borderId="0" xfId="0" applyNumberFormat="1" applyFont="1" applyBorder="1" applyAlignment="1">
      <alignment horizontal="right" vertical="center"/>
    </xf>
    <xf numFmtId="190" fontId="54" fillId="0" borderId="0" xfId="0" applyNumberFormat="1" applyFont="1" applyBorder="1" applyAlignment="1">
      <alignment horizontal="center" vertical="center"/>
    </xf>
    <xf numFmtId="0" fontId="93" fillId="0" borderId="0" xfId="0" applyNumberFormat="1" applyFont="1" applyBorder="1" applyAlignment="1">
      <alignment horizontal="right" vertical="center"/>
    </xf>
    <xf numFmtId="0" fontId="94" fillId="0" borderId="0" xfId="0" applyFont="1" applyBorder="1" applyAlignment="1">
      <alignment vertical="center"/>
    </xf>
    <xf numFmtId="1" fontId="54" fillId="0" borderId="0" xfId="0" applyNumberFormat="1" applyFont="1" applyBorder="1" applyAlignment="1">
      <alignment horizontal="center" vertical="center"/>
    </xf>
    <xf numFmtId="199" fontId="54" fillId="0" borderId="0" xfId="0" applyNumberFormat="1" applyFont="1" applyBorder="1" applyAlignment="1">
      <alignment vertical="center"/>
    </xf>
    <xf numFmtId="190" fontId="54" fillId="0" borderId="0" xfId="0" applyNumberFormat="1" applyFont="1" applyBorder="1" applyAlignment="1">
      <alignment vertical="center"/>
    </xf>
    <xf numFmtId="0" fontId="54" fillId="0" borderId="60" xfId="0" applyNumberFormat="1" applyFont="1" applyBorder="1" applyAlignment="1">
      <alignment vertical="center"/>
    </xf>
    <xf numFmtId="194" fontId="54" fillId="0" borderId="0" xfId="0" applyNumberFormat="1" applyFont="1" applyBorder="1" applyAlignment="1">
      <alignment vertical="center"/>
    </xf>
    <xf numFmtId="0" fontId="93" fillId="0" borderId="0" xfId="0" applyFont="1" applyBorder="1" applyAlignment="1">
      <alignment vertical="center"/>
    </xf>
    <xf numFmtId="0" fontId="88" fillId="0" borderId="0" xfId="0" applyFont="1" applyAlignment="1">
      <alignment vertical="center"/>
    </xf>
    <xf numFmtId="200" fontId="88" fillId="0" borderId="0" xfId="0" applyNumberFormat="1" applyFont="1" applyBorder="1" applyAlignment="1">
      <alignment vertical="center" shrinkToFit="1"/>
    </xf>
    <xf numFmtId="201" fontId="88" fillId="0" borderId="0" xfId="0" applyNumberFormat="1" applyFont="1" applyBorder="1" applyAlignment="1">
      <alignment horizontal="right" vertical="center" shrinkToFit="1"/>
    </xf>
    <xf numFmtId="190" fontId="88" fillId="0" borderId="0" xfId="0" applyNumberFormat="1" applyFont="1" applyBorder="1" applyAlignment="1">
      <alignment vertical="center"/>
    </xf>
    <xf numFmtId="0" fontId="88" fillId="0" borderId="0" xfId="0" applyFont="1" applyAlignment="1">
      <alignment horizontal="center" vertical="center"/>
    </xf>
    <xf numFmtId="202" fontId="88" fillId="0" borderId="0" xfId="0" applyNumberFormat="1" applyFont="1" applyBorder="1" applyAlignment="1">
      <alignment horizontal="center" vertical="center"/>
    </xf>
    <xf numFmtId="0" fontId="89" fillId="0" borderId="0" xfId="0" applyFont="1" applyBorder="1" applyAlignment="1">
      <alignment horizontal="right" vertical="center"/>
    </xf>
    <xf numFmtId="203" fontId="88" fillId="0" borderId="0" xfId="0" applyNumberFormat="1" applyFont="1" applyBorder="1" applyAlignment="1">
      <alignment vertical="center"/>
    </xf>
    <xf numFmtId="200" fontId="88" fillId="0" borderId="0" xfId="0" applyNumberFormat="1" applyFont="1" applyBorder="1" applyAlignment="1">
      <alignment horizontal="left" vertical="center"/>
    </xf>
    <xf numFmtId="0" fontId="89" fillId="0" borderId="0" xfId="0" applyFont="1" applyBorder="1" applyAlignment="1">
      <alignment horizontal="center" vertical="center"/>
    </xf>
    <xf numFmtId="2" fontId="88" fillId="0" borderId="0" xfId="0" applyNumberFormat="1" applyFont="1" applyBorder="1" applyAlignment="1">
      <alignment horizontal="left" vertical="center"/>
    </xf>
    <xf numFmtId="2" fontId="88" fillId="0" borderId="0" xfId="0" applyNumberFormat="1" applyFont="1" applyBorder="1" applyAlignment="1">
      <alignment vertical="center"/>
    </xf>
    <xf numFmtId="0" fontId="88" fillId="0" borderId="0" xfId="0" applyFont="1" applyBorder="1" applyAlignment="1">
      <alignment horizontal="right" vertical="center"/>
    </xf>
    <xf numFmtId="0" fontId="88" fillId="0" borderId="0" xfId="0" applyFont="1" applyBorder="1" applyAlignment="1">
      <alignment vertical="center" shrinkToFit="1"/>
    </xf>
    <xf numFmtId="0" fontId="56" fillId="0" borderId="0" xfId="0" applyNumberFormat="1" applyFont="1" applyBorder="1" applyAlignment="1">
      <alignment vertical="center"/>
    </xf>
    <xf numFmtId="0" fontId="91" fillId="0" borderId="0" xfId="0" applyFont="1" applyBorder="1" applyAlignment="1">
      <alignment horizontal="left" vertical="center" indent="1"/>
    </xf>
    <xf numFmtId="0" fontId="97" fillId="0" borderId="0" xfId="0" applyNumberFormat="1" applyFont="1" applyAlignment="1">
      <alignment vertical="center"/>
    </xf>
    <xf numFmtId="0" fontId="40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horizontal="center" vertical="center"/>
    </xf>
    <xf numFmtId="0" fontId="0" fillId="0" borderId="0" xfId="0" applyFill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57" fillId="0" borderId="46" xfId="0" applyFont="1" applyBorder="1" applyAlignment="1">
      <alignment horizontal="center" vertical="center"/>
    </xf>
    <xf numFmtId="49" fontId="51" fillId="33" borderId="0" xfId="79" applyNumberFormat="1" applyFont="1" applyFill="1" applyAlignment="1">
      <alignment horizontal="center" vertical="center"/>
    </xf>
    <xf numFmtId="0" fontId="51" fillId="33" borderId="0" xfId="79" applyNumberFormat="1" applyFont="1" applyFill="1" applyAlignment="1">
      <alignment horizontal="center" vertical="center"/>
    </xf>
    <xf numFmtId="49" fontId="2" fillId="0" borderId="0" xfId="79" applyNumberFormat="1" applyFont="1" applyFill="1" applyAlignment="1">
      <alignment horizontal="center" vertical="center"/>
    </xf>
    <xf numFmtId="0" fontId="2" fillId="0" borderId="0" xfId="79" applyNumberFormat="1" applyFont="1" applyFill="1" applyAlignment="1">
      <alignment horizontal="center" vertical="center"/>
    </xf>
    <xf numFmtId="192" fontId="98" fillId="0" borderId="0" xfId="0" applyNumberFormat="1" applyFont="1" applyFill="1" applyAlignment="1">
      <alignment horizontal="left" vertical="center"/>
    </xf>
    <xf numFmtId="49" fontId="3" fillId="0" borderId="0" xfId="79" applyNumberFormat="1" applyFont="1" applyFill="1" applyAlignment="1">
      <alignment horizontal="center" vertical="center"/>
    </xf>
    <xf numFmtId="0" fontId="3" fillId="33" borderId="0" xfId="79" applyNumberFormat="1" applyFont="1" applyFill="1" applyAlignment="1">
      <alignment horizontal="left" vertical="center"/>
    </xf>
    <xf numFmtId="49" fontId="2" fillId="33" borderId="0" xfId="79" applyNumberFormat="1" applyFont="1" applyFill="1" applyAlignment="1">
      <alignment horizontal="center" vertical="center"/>
    </xf>
    <xf numFmtId="0" fontId="51" fillId="33" borderId="0" xfId="78" applyNumberFormat="1" applyFont="1" applyFill="1" applyBorder="1" applyAlignment="1">
      <alignment horizontal="center" vertical="center"/>
    </xf>
    <xf numFmtId="49" fontId="2" fillId="0" borderId="0" xfId="79" applyNumberFormat="1" applyFont="1" applyFill="1" applyBorder="1" applyAlignment="1">
      <alignment vertical="center"/>
    </xf>
    <xf numFmtId="49" fontId="51" fillId="0" borderId="19" xfId="80" applyNumberFormat="1" applyFont="1" applyFill="1" applyBorder="1" applyAlignment="1">
      <alignment horizontal="right" vertical="center"/>
    </xf>
    <xf numFmtId="49" fontId="51" fillId="0" borderId="0" xfId="79" applyNumberFormat="1" applyFont="1" applyFill="1" applyBorder="1" applyAlignment="1">
      <alignment horizontal="center" vertical="center"/>
    </xf>
    <xf numFmtId="0" fontId="98" fillId="0" borderId="0" xfId="79" applyNumberFormat="1" applyFont="1" applyFill="1" applyAlignment="1">
      <alignment horizontal="center" vertical="center"/>
    </xf>
    <xf numFmtId="0" fontId="100" fillId="0" borderId="0" xfId="0" applyFont="1">
      <alignment vertical="center"/>
    </xf>
    <xf numFmtId="0" fontId="56" fillId="0" borderId="0" xfId="0" applyFont="1" applyAlignment="1">
      <alignment horizontal="center" vertical="center"/>
    </xf>
    <xf numFmtId="0" fontId="55" fillId="26" borderId="46" xfId="0" applyFont="1" applyFill="1" applyBorder="1" applyAlignment="1">
      <alignment horizontal="center" vertical="center" wrapText="1"/>
    </xf>
    <xf numFmtId="49" fontId="57" fillId="0" borderId="46" xfId="0" applyNumberFormat="1" applyFont="1" applyBorder="1" applyAlignment="1">
      <alignment horizontal="center" vertical="center"/>
    </xf>
    <xf numFmtId="0" fontId="51" fillId="0" borderId="56" xfId="79" applyNumberFormat="1" applyFont="1" applyFill="1" applyBorder="1" applyAlignment="1">
      <alignment horizontal="center" vertical="center" wrapText="1"/>
    </xf>
    <xf numFmtId="0" fontId="51" fillId="0" borderId="33" xfId="79" applyNumberFormat="1" applyFont="1" applyFill="1" applyBorder="1" applyAlignment="1">
      <alignment horizontal="center" vertical="center"/>
    </xf>
    <xf numFmtId="0" fontId="51" fillId="0" borderId="63" xfId="79" applyNumberFormat="1" applyFont="1" applyFill="1" applyBorder="1" applyAlignment="1">
      <alignment horizontal="center" vertical="center"/>
    </xf>
    <xf numFmtId="0" fontId="51" fillId="0" borderId="18" xfId="79" applyNumberFormat="1" applyFont="1" applyFill="1" applyBorder="1" applyAlignment="1">
      <alignment horizontal="center" vertical="center"/>
    </xf>
    <xf numFmtId="0" fontId="51" fillId="0" borderId="59" xfId="79" applyNumberFormat="1" applyFont="1" applyFill="1" applyBorder="1" applyAlignment="1">
      <alignment horizontal="center" vertical="center"/>
    </xf>
    <xf numFmtId="0" fontId="51" fillId="0" borderId="75" xfId="79" applyNumberFormat="1" applyFont="1" applyFill="1" applyBorder="1" applyAlignment="1">
      <alignment horizontal="center" vertical="center"/>
    </xf>
    <xf numFmtId="0" fontId="51" fillId="0" borderId="76" xfId="79" applyNumberFormat="1" applyFont="1" applyFill="1" applyBorder="1" applyAlignment="1">
      <alignment horizontal="center" vertical="center"/>
    </xf>
    <xf numFmtId="0" fontId="51" fillId="0" borderId="77" xfId="79" applyNumberFormat="1" applyFont="1" applyFill="1" applyBorder="1" applyAlignment="1">
      <alignment horizontal="center" vertical="center"/>
    </xf>
    <xf numFmtId="0" fontId="51" fillId="0" borderId="17" xfId="79" applyNumberFormat="1" applyFont="1" applyFill="1" applyBorder="1" applyAlignment="1">
      <alignment horizontal="center" vertical="center"/>
    </xf>
    <xf numFmtId="0" fontId="51" fillId="0" borderId="78" xfId="79" applyNumberFormat="1" applyFont="1" applyFill="1" applyBorder="1" applyAlignment="1">
      <alignment horizontal="center" vertical="center"/>
    </xf>
    <xf numFmtId="0" fontId="51" fillId="0" borderId="79" xfId="79" applyNumberFormat="1" applyFont="1" applyFill="1" applyBorder="1" applyAlignment="1">
      <alignment horizontal="center" vertical="center"/>
    </xf>
    <xf numFmtId="0" fontId="51" fillId="0" borderId="67" xfId="79" applyNumberFormat="1" applyFont="1" applyFill="1" applyBorder="1" applyAlignment="1">
      <alignment horizontal="center" vertical="center"/>
    </xf>
    <xf numFmtId="0" fontId="51" fillId="0" borderId="13" xfId="79" applyNumberFormat="1" applyFont="1" applyFill="1" applyBorder="1" applyAlignment="1">
      <alignment horizontal="center" vertical="center"/>
    </xf>
    <xf numFmtId="0" fontId="51" fillId="0" borderId="80" xfId="79" applyNumberFormat="1" applyFont="1" applyFill="1" applyBorder="1" applyAlignment="1">
      <alignment horizontal="center" vertical="center"/>
    </xf>
    <xf numFmtId="0" fontId="51" fillId="0" borderId="81" xfId="79" applyNumberFormat="1" applyFont="1" applyFill="1" applyBorder="1" applyAlignment="1">
      <alignment horizontal="center" vertical="center"/>
    </xf>
    <xf numFmtId="0" fontId="51" fillId="0" borderId="82" xfId="79" applyNumberFormat="1" applyFont="1" applyFill="1" applyBorder="1" applyAlignment="1">
      <alignment horizontal="center" vertical="center"/>
    </xf>
    <xf numFmtId="0" fontId="51" fillId="33" borderId="0" xfId="79" applyNumberFormat="1" applyFont="1" applyFill="1" applyBorder="1" applyAlignment="1">
      <alignment horizontal="center" vertical="center"/>
    </xf>
    <xf numFmtId="0" fontId="65" fillId="0" borderId="0" xfId="0" applyNumberFormat="1" applyFont="1" applyFill="1" applyBorder="1" applyAlignment="1">
      <alignment vertical="center"/>
    </xf>
    <xf numFmtId="0" fontId="9" fillId="29" borderId="83" xfId="0" applyNumberFormat="1" applyFont="1" applyFill="1" applyBorder="1" applyAlignment="1">
      <alignment horizontal="center" vertical="center"/>
    </xf>
    <xf numFmtId="0" fontId="49" fillId="17" borderId="1" xfId="0" applyNumberFormat="1" applyFont="1" applyFill="1" applyBorder="1" applyAlignment="1" applyProtection="1">
      <alignment horizontal="center" vertical="center" shrinkToFit="1"/>
      <protection locked="0"/>
    </xf>
    <xf numFmtId="0" fontId="61" fillId="27" borderId="58" xfId="81" applyFont="1" applyFill="1" applyBorder="1" applyAlignment="1">
      <alignment horizontal="center" vertical="center"/>
    </xf>
    <xf numFmtId="0" fontId="101" fillId="0" borderId="0" xfId="0" applyNumberFormat="1" applyFont="1" applyFill="1" applyAlignment="1">
      <alignment horizontal="left" vertical="center" indent="1"/>
    </xf>
    <xf numFmtId="0" fontId="100" fillId="0" borderId="0" xfId="0" applyNumberFormat="1" applyFont="1" applyFill="1" applyBorder="1" applyAlignment="1">
      <alignment horizontal="center" vertical="center"/>
    </xf>
    <xf numFmtId="0" fontId="100" fillId="0" borderId="0" xfId="0" applyNumberFormat="1" applyFont="1" applyFill="1" applyBorder="1" applyAlignment="1">
      <alignment horizontal="left" vertical="center"/>
    </xf>
    <xf numFmtId="0" fontId="100" fillId="0" borderId="0" xfId="0" applyNumberFormat="1" applyFont="1">
      <alignment vertical="center"/>
    </xf>
    <xf numFmtId="0" fontId="100" fillId="0" borderId="43" xfId="0" applyNumberFormat="1" applyFont="1" applyFill="1" applyBorder="1" applyAlignment="1">
      <alignment horizontal="center" vertical="center"/>
    </xf>
    <xf numFmtId="0" fontId="100" fillId="0" borderId="0" xfId="0" applyNumberFormat="1" applyFont="1" applyFill="1" applyAlignment="1">
      <alignment horizontal="center" vertical="center"/>
    </xf>
    <xf numFmtId="0" fontId="103" fillId="0" borderId="0" xfId="0" applyNumberFormat="1" applyFont="1" applyFill="1" applyAlignment="1">
      <alignment horizontal="center" vertical="center"/>
    </xf>
    <xf numFmtId="0" fontId="101" fillId="0" borderId="0" xfId="0" applyNumberFormat="1" applyFont="1" applyFill="1" applyAlignment="1">
      <alignment vertical="center"/>
    </xf>
    <xf numFmtId="0" fontId="101" fillId="0" borderId="0" xfId="0" applyNumberFormat="1" applyFont="1" applyFill="1" applyBorder="1" applyAlignment="1">
      <alignment vertical="center"/>
    </xf>
    <xf numFmtId="0" fontId="100" fillId="0" borderId="85" xfId="78" applyNumberFormat="1" applyFont="1" applyFill="1" applyBorder="1" applyAlignment="1">
      <alignment horizontal="center" vertical="center"/>
    </xf>
    <xf numFmtId="0" fontId="100" fillId="0" borderId="88" xfId="78" applyNumberFormat="1" applyFont="1" applyFill="1" applyBorder="1" applyAlignment="1">
      <alignment horizontal="center" vertical="center"/>
    </xf>
    <xf numFmtId="205" fontId="100" fillId="0" borderId="89" xfId="78" applyNumberFormat="1" applyFont="1" applyFill="1" applyBorder="1" applyAlignment="1">
      <alignment horizontal="center" vertical="center"/>
    </xf>
    <xf numFmtId="205" fontId="100" fillId="0" borderId="84" xfId="78" applyNumberFormat="1" applyFont="1" applyFill="1" applyBorder="1" applyAlignment="1">
      <alignment horizontal="center" vertical="center"/>
    </xf>
    <xf numFmtId="205" fontId="100" fillId="0" borderId="89" xfId="0" applyNumberFormat="1" applyFont="1" applyFill="1" applyBorder="1" applyAlignment="1">
      <alignment horizontal="center" vertical="center"/>
    </xf>
    <xf numFmtId="205" fontId="100" fillId="33" borderId="84" xfId="0" applyNumberFormat="1" applyFont="1" applyFill="1" applyBorder="1" applyAlignment="1">
      <alignment horizontal="center" vertical="center"/>
    </xf>
    <xf numFmtId="205" fontId="100" fillId="0" borderId="84" xfId="0" applyNumberFormat="1" applyFont="1" applyFill="1" applyBorder="1" applyAlignment="1">
      <alignment horizontal="center" vertical="center"/>
    </xf>
    <xf numFmtId="0" fontId="100" fillId="0" borderId="0" xfId="0" applyNumberFormat="1" applyFont="1" applyFill="1" applyBorder="1" applyAlignment="1">
      <alignment vertical="center"/>
    </xf>
    <xf numFmtId="0" fontId="100" fillId="0" borderId="84" xfId="0" applyNumberFormat="1" applyFont="1" applyFill="1" applyBorder="1" applyAlignment="1">
      <alignment horizontal="center" vertical="center"/>
    </xf>
    <xf numFmtId="0" fontId="100" fillId="0" borderId="0" xfId="0" applyNumberFormat="1" applyFont="1" applyFill="1" applyAlignment="1">
      <alignment vertical="center"/>
    </xf>
    <xf numFmtId="196" fontId="6" fillId="29" borderId="83" xfId="0" applyNumberFormat="1" applyFont="1" applyFill="1" applyBorder="1" applyAlignment="1">
      <alignment horizontal="center" vertical="center" wrapText="1"/>
    </xf>
    <xf numFmtId="196" fontId="9" fillId="29" borderId="83" xfId="0" applyNumberFormat="1" applyFont="1" applyFill="1" applyBorder="1" applyAlignment="1">
      <alignment horizontal="center" vertical="center" wrapText="1"/>
    </xf>
    <xf numFmtId="196" fontId="6" fillId="29" borderId="26" xfId="0" applyNumberFormat="1" applyFont="1" applyFill="1" applyBorder="1" applyAlignment="1">
      <alignment horizontal="center" vertical="center" wrapText="1"/>
    </xf>
    <xf numFmtId="0" fontId="100" fillId="40" borderId="93" xfId="0" applyNumberFormat="1" applyFont="1" applyFill="1" applyBorder="1" applyAlignment="1">
      <alignment horizontal="center" vertical="center"/>
    </xf>
    <xf numFmtId="196" fontId="9" fillId="29" borderId="94" xfId="0" applyNumberFormat="1" applyFont="1" applyFill="1" applyBorder="1" applyAlignment="1">
      <alignment horizontal="center" vertical="center" wrapText="1"/>
    </xf>
    <xf numFmtId="0" fontId="105" fillId="30" borderId="84" xfId="0" applyNumberFormat="1" applyFont="1" applyFill="1" applyBorder="1" applyAlignment="1">
      <alignment horizontal="center" vertical="center"/>
    </xf>
    <xf numFmtId="0" fontId="105" fillId="30" borderId="92" xfId="0" applyNumberFormat="1" applyFont="1" applyFill="1" applyBorder="1" applyAlignment="1">
      <alignment horizontal="center" vertical="center"/>
    </xf>
    <xf numFmtId="0" fontId="2" fillId="0" borderId="26" xfId="78" applyNumberFormat="1" applyFont="1" applyFill="1" applyBorder="1" applyAlignment="1">
      <alignment horizontal="center" vertical="center"/>
    </xf>
    <xf numFmtId="0" fontId="2" fillId="30" borderId="26" xfId="78" applyNumberFormat="1" applyFont="1" applyFill="1" applyBorder="1" applyAlignment="1">
      <alignment horizontal="center" vertical="center"/>
    </xf>
    <xf numFmtId="196" fontId="100" fillId="0" borderId="0" xfId="0" applyNumberFormat="1" applyFont="1">
      <alignment vertical="center"/>
    </xf>
    <xf numFmtId="49" fontId="2" fillId="0" borderId="43" xfId="78" applyNumberFormat="1" applyFont="1" applyFill="1" applyBorder="1" applyAlignment="1">
      <alignment horizontal="center" vertical="center"/>
    </xf>
    <xf numFmtId="206" fontId="2" fillId="0" borderId="43" xfId="78" applyNumberFormat="1" applyFont="1" applyFill="1" applyBorder="1" applyAlignment="1">
      <alignment horizontal="center" vertical="center"/>
    </xf>
    <xf numFmtId="0" fontId="51" fillId="33" borderId="60" xfId="79" applyNumberFormat="1" applyFont="1" applyFill="1" applyBorder="1" applyAlignment="1">
      <alignment horizontal="center" vertical="center"/>
    </xf>
    <xf numFmtId="0" fontId="64" fillId="33" borderId="60" xfId="0" applyNumberFormat="1" applyFont="1" applyFill="1" applyBorder="1" applyAlignment="1">
      <alignment horizontal="left" vertical="center"/>
    </xf>
    <xf numFmtId="0" fontId="106" fillId="0" borderId="0" xfId="79" applyNumberFormat="1" applyFont="1" applyFill="1" applyAlignment="1">
      <alignment horizontal="center" vertical="center"/>
    </xf>
    <xf numFmtId="0" fontId="100" fillId="40" borderId="93" xfId="82" applyNumberFormat="1" applyFont="1" applyFill="1" applyBorder="1" applyAlignment="1">
      <alignment horizontal="center" vertical="center"/>
    </xf>
    <xf numFmtId="0" fontId="6" fillId="29" borderId="43" xfId="0" applyNumberFormat="1" applyFont="1" applyFill="1" applyBorder="1" applyAlignment="1">
      <alignment horizontal="center" vertical="center"/>
    </xf>
    <xf numFmtId="0" fontId="6" fillId="29" borderId="43" xfId="0" applyNumberFormat="1" applyFont="1" applyFill="1" applyBorder="1" applyAlignment="1">
      <alignment horizontal="center" vertical="center" wrapText="1"/>
    </xf>
    <xf numFmtId="0" fontId="88" fillId="0" borderId="0" xfId="0" applyFont="1" applyBorder="1" applyAlignment="1">
      <alignment horizontal="center" vertical="center" wrapText="1"/>
    </xf>
    <xf numFmtId="204" fontId="88" fillId="0" borderId="19" xfId="0" applyNumberFormat="1" applyFont="1" applyBorder="1" applyAlignment="1">
      <alignment vertical="center"/>
    </xf>
    <xf numFmtId="0" fontId="88" fillId="0" borderId="19" xfId="0" applyFont="1" applyBorder="1" applyAlignment="1">
      <alignment vertical="center"/>
    </xf>
    <xf numFmtId="0" fontId="91" fillId="0" borderId="0" xfId="0" applyFont="1" applyBorder="1">
      <alignment vertical="center"/>
    </xf>
    <xf numFmtId="0" fontId="91" fillId="0" borderId="0" xfId="0" applyNumberFormat="1" applyFont="1" applyBorder="1" applyAlignment="1">
      <alignment vertical="center"/>
    </xf>
    <xf numFmtId="0" fontId="88" fillId="0" borderId="19" xfId="0" applyNumberFormat="1" applyFont="1" applyBorder="1" applyAlignment="1">
      <alignment vertical="center"/>
    </xf>
    <xf numFmtId="0" fontId="107" fillId="0" borderId="0" xfId="0" applyNumberFormat="1" applyFont="1" applyBorder="1" applyAlignment="1">
      <alignment vertical="center"/>
    </xf>
    <xf numFmtId="0" fontId="54" fillId="0" borderId="0" xfId="0" applyFont="1" applyBorder="1" applyAlignment="1">
      <alignment vertical="center"/>
    </xf>
    <xf numFmtId="0" fontId="65" fillId="0" borderId="0" xfId="0" applyFont="1">
      <alignment vertical="center"/>
    </xf>
    <xf numFmtId="0" fontId="108" fillId="0" borderId="0" xfId="0" applyFont="1">
      <alignment vertical="center"/>
    </xf>
    <xf numFmtId="210" fontId="108" fillId="0" borderId="93" xfId="0" applyNumberFormat="1" applyFont="1" applyBorder="1">
      <alignment vertical="center"/>
    </xf>
    <xf numFmtId="0" fontId="86" fillId="0" borderId="0" xfId="0" applyNumberFormat="1" applyFont="1" applyFill="1" applyAlignment="1">
      <alignment vertical="center"/>
    </xf>
    <xf numFmtId="0" fontId="86" fillId="0" borderId="0" xfId="0" applyNumberFormat="1" applyFont="1">
      <alignment vertical="center"/>
    </xf>
    <xf numFmtId="41" fontId="2" fillId="0" borderId="0" xfId="0" applyNumberFormat="1" applyFont="1" applyFill="1" applyBorder="1">
      <alignment vertical="center"/>
    </xf>
    <xf numFmtId="0" fontId="54" fillId="0" borderId="46" xfId="0" applyNumberFormat="1" applyFont="1" applyBorder="1" applyAlignment="1">
      <alignment horizontal="center" vertical="center"/>
    </xf>
    <xf numFmtId="41" fontId="54" fillId="0" borderId="46" xfId="132" applyFont="1" applyBorder="1" applyAlignment="1">
      <alignment horizontal="center" vertical="center"/>
    </xf>
    <xf numFmtId="0" fontId="54" fillId="0" borderId="46" xfId="0" applyNumberFormat="1" applyFont="1" applyBorder="1" applyAlignment="1">
      <alignment vertical="center"/>
    </xf>
    <xf numFmtId="0" fontId="54" fillId="0" borderId="46" xfId="132" applyNumberFormat="1" applyFont="1" applyBorder="1" applyAlignment="1">
      <alignment horizontal="center" vertical="center"/>
    </xf>
    <xf numFmtId="0" fontId="107" fillId="0" borderId="0" xfId="0" applyNumberFormat="1" applyFont="1">
      <alignment vertical="center"/>
    </xf>
    <xf numFmtId="0" fontId="107" fillId="0" borderId="0" xfId="0" applyNumberFormat="1" applyFont="1" applyAlignment="1">
      <alignment horizontal="left" vertical="center" indent="1"/>
    </xf>
    <xf numFmtId="41" fontId="54" fillId="28" borderId="46" xfId="132" applyFont="1" applyFill="1" applyBorder="1" applyAlignment="1">
      <alignment horizontal="center" vertical="center"/>
    </xf>
    <xf numFmtId="0" fontId="54" fillId="30" borderId="46" xfId="0" applyNumberFormat="1" applyFont="1" applyFill="1" applyBorder="1" applyAlignment="1">
      <alignment horizontal="center" vertical="center"/>
    </xf>
    <xf numFmtId="41" fontId="54" fillId="30" borderId="46" xfId="132" applyFont="1" applyFill="1" applyBorder="1" applyAlignment="1">
      <alignment horizontal="center" vertical="center"/>
    </xf>
    <xf numFmtId="0" fontId="102" fillId="29" borderId="84" xfId="0" applyNumberFormat="1" applyFont="1" applyFill="1" applyBorder="1" applyAlignment="1">
      <alignment horizontal="center" vertical="center" wrapText="1"/>
    </xf>
    <xf numFmtId="0" fontId="102" fillId="29" borderId="3" xfId="0" applyNumberFormat="1" applyFont="1" applyFill="1" applyBorder="1" applyAlignment="1">
      <alignment horizontal="center" vertical="center" wrapText="1"/>
    </xf>
    <xf numFmtId="0" fontId="100" fillId="0" borderId="3" xfId="0" applyNumberFormat="1" applyFont="1" applyFill="1" applyBorder="1" applyAlignment="1">
      <alignment horizontal="center" vertical="center"/>
    </xf>
    <xf numFmtId="0" fontId="100" fillId="40" borderId="3" xfId="0" applyNumberFormat="1" applyFont="1" applyFill="1" applyBorder="1" applyAlignment="1">
      <alignment horizontal="center" vertical="center"/>
    </xf>
    <xf numFmtId="196" fontId="9" fillId="29" borderId="3" xfId="0" applyNumberFormat="1" applyFont="1" applyFill="1" applyBorder="1" applyAlignment="1">
      <alignment horizontal="center" vertical="center" wrapText="1"/>
    </xf>
    <xf numFmtId="0" fontId="102" fillId="29" borderId="3" xfId="0" applyNumberFormat="1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left" vertical="center"/>
    </xf>
    <xf numFmtId="0" fontId="100" fillId="0" borderId="3" xfId="0" applyFont="1" applyFill="1" applyBorder="1" applyAlignment="1">
      <alignment horizontal="center" vertical="center"/>
    </xf>
    <xf numFmtId="0" fontId="2" fillId="0" borderId="3" xfId="0" quotePrefix="1" applyNumberFormat="1" applyFont="1" applyFill="1" applyBorder="1" applyAlignment="1">
      <alignment horizontal="left" vertical="center"/>
    </xf>
    <xf numFmtId="190" fontId="100" fillId="0" borderId="3" xfId="0" applyNumberFormat="1" applyFont="1" applyFill="1" applyBorder="1" applyAlignment="1">
      <alignment horizontal="center" vertical="center"/>
    </xf>
    <xf numFmtId="205" fontId="100" fillId="0" borderId="3" xfId="0" applyNumberFormat="1" applyFont="1" applyFill="1" applyBorder="1" applyAlignment="1">
      <alignment horizontal="center" vertical="center"/>
    </xf>
    <xf numFmtId="0" fontId="102" fillId="29" borderId="84" xfId="0" applyNumberFormat="1" applyFont="1" applyFill="1" applyBorder="1" applyAlignment="1">
      <alignment horizontal="center" vertical="center"/>
    </xf>
    <xf numFmtId="205" fontId="100" fillId="0" borderId="105" xfId="0" applyNumberFormat="1" applyFont="1" applyFill="1" applyBorder="1" applyAlignment="1">
      <alignment horizontal="center" vertical="center"/>
    </xf>
    <xf numFmtId="0" fontId="100" fillId="0" borderId="3" xfId="78" applyNumberFormat="1" applyFont="1" applyFill="1" applyBorder="1" applyAlignment="1">
      <alignment horizontal="center" vertical="center"/>
    </xf>
    <xf numFmtId="0" fontId="54" fillId="0" borderId="0" xfId="0" applyNumberFormat="1" applyFont="1" applyBorder="1" applyAlignment="1">
      <alignment vertical="center"/>
    </xf>
    <xf numFmtId="205" fontId="54" fillId="0" borderId="0" xfId="0" applyNumberFormat="1" applyFont="1" applyBorder="1" applyAlignment="1">
      <alignment vertical="center"/>
    </xf>
    <xf numFmtId="205" fontId="54" fillId="0" borderId="0" xfId="0" applyNumberFormat="1" applyFont="1" applyBorder="1" applyAlignment="1">
      <alignment horizontal="center" vertical="center"/>
    </xf>
    <xf numFmtId="0" fontId="92" fillId="0" borderId="0" xfId="0" applyFont="1" applyBorder="1" applyAlignment="1">
      <alignment vertical="center"/>
    </xf>
    <xf numFmtId="0" fontId="54" fillId="28" borderId="46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88" fillId="0" borderId="46" xfId="0" applyNumberFormat="1" applyFont="1" applyBorder="1" applyAlignment="1">
      <alignment horizontal="center" vertical="center"/>
    </xf>
    <xf numFmtId="205" fontId="88" fillId="0" borderId="0" xfId="0" applyNumberFormat="1" applyFont="1" applyBorder="1" applyAlignment="1">
      <alignment vertical="center"/>
    </xf>
    <xf numFmtId="0" fontId="88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54" fillId="0" borderId="61" xfId="0" applyNumberFormat="1" applyFont="1" applyBorder="1" applyAlignment="1">
      <alignment horizontal="center" vertical="center"/>
    </xf>
    <xf numFmtId="0" fontId="54" fillId="0" borderId="64" xfId="0" applyNumberFormat="1" applyFont="1" applyBorder="1" applyAlignment="1">
      <alignment horizontal="center" vertical="center"/>
    </xf>
    <xf numFmtId="0" fontId="54" fillId="0" borderId="62" xfId="0" applyNumberFormat="1" applyFont="1" applyBorder="1" applyAlignment="1">
      <alignment horizontal="center" vertical="center"/>
    </xf>
    <xf numFmtId="0" fontId="102" fillId="29" borderId="83" xfId="0" applyNumberFormat="1" applyFont="1" applyFill="1" applyBorder="1" applyAlignment="1">
      <alignment horizontal="center" vertical="center"/>
    </xf>
    <xf numFmtId="0" fontId="6" fillId="29" borderId="83" xfId="0" applyNumberFormat="1" applyFont="1" applyFill="1" applyBorder="1" applyAlignment="1">
      <alignment horizontal="center" vertical="center"/>
    </xf>
    <xf numFmtId="0" fontId="102" fillId="29" borderId="83" xfId="0" applyNumberFormat="1" applyFont="1" applyFill="1" applyBorder="1" applyAlignment="1">
      <alignment horizontal="center" vertical="center" wrapText="1"/>
    </xf>
    <xf numFmtId="0" fontId="102" fillId="29" borderId="27" xfId="0" applyNumberFormat="1" applyFont="1" applyFill="1" applyBorder="1" applyAlignment="1">
      <alignment horizontal="center" vertical="center"/>
    </xf>
    <xf numFmtId="205" fontId="100" fillId="0" borderId="85" xfId="78" applyNumberFormat="1" applyFont="1" applyFill="1" applyBorder="1" applyAlignment="1">
      <alignment horizontal="center" vertical="center"/>
    </xf>
    <xf numFmtId="0" fontId="100" fillId="0" borderId="87" xfId="0" applyNumberFormat="1" applyFont="1" applyFill="1" applyBorder="1" applyAlignment="1">
      <alignment horizontal="center" vertical="center"/>
    </xf>
    <xf numFmtId="0" fontId="100" fillId="0" borderId="107" xfId="0" applyNumberFormat="1" applyFont="1" applyFill="1" applyBorder="1" applyAlignment="1">
      <alignment horizontal="center" vertical="center"/>
    </xf>
    <xf numFmtId="205" fontId="100" fillId="33" borderId="85" xfId="0" applyNumberFormat="1" applyFont="1" applyFill="1" applyBorder="1" applyAlignment="1">
      <alignment horizontal="center" vertical="center"/>
    </xf>
    <xf numFmtId="205" fontId="100" fillId="0" borderId="105" xfId="78" applyNumberFormat="1" applyFont="1" applyFill="1" applyBorder="1" applyAlignment="1">
      <alignment horizontal="center" vertical="center"/>
    </xf>
    <xf numFmtId="0" fontId="102" fillId="29" borderId="0" xfId="0" applyNumberFormat="1" applyFont="1" applyFill="1" applyBorder="1" applyAlignment="1">
      <alignment horizontal="center" vertical="center" wrapText="1"/>
    </xf>
    <xf numFmtId="0" fontId="2" fillId="0" borderId="3" xfId="78" applyNumberFormat="1" applyFont="1" applyFill="1" applyBorder="1" applyAlignment="1">
      <alignment horizontal="center" vertical="center"/>
    </xf>
    <xf numFmtId="0" fontId="54" fillId="0" borderId="110" xfId="0" applyFont="1" applyBorder="1" applyAlignment="1">
      <alignment vertical="center"/>
    </xf>
    <xf numFmtId="0" fontId="88" fillId="0" borderId="18" xfId="0" applyFont="1" applyBorder="1" applyAlignment="1">
      <alignment vertical="center" wrapText="1"/>
    </xf>
    <xf numFmtId="0" fontId="88" fillId="0" borderId="110" xfId="0" applyFont="1" applyBorder="1" applyAlignment="1">
      <alignment vertical="center" wrapText="1"/>
    </xf>
    <xf numFmtId="211" fontId="54" fillId="0" borderId="19" xfId="0" applyNumberFormat="1" applyFont="1" applyBorder="1" applyAlignment="1">
      <alignment vertical="center" shrinkToFit="1"/>
    </xf>
    <xf numFmtId="49" fontId="51" fillId="0" borderId="112" xfId="79" applyNumberFormat="1" applyFont="1" applyFill="1" applyBorder="1" applyAlignment="1">
      <alignment horizontal="center" vertical="center"/>
    </xf>
    <xf numFmtId="0" fontId="51" fillId="0" borderId="112" xfId="79" applyNumberFormat="1" applyFont="1" applyFill="1" applyBorder="1" applyAlignment="1">
      <alignment vertical="center"/>
    </xf>
    <xf numFmtId="0" fontId="51" fillId="0" borderId="124" xfId="79" applyNumberFormat="1" applyFont="1" applyFill="1" applyBorder="1" applyAlignment="1">
      <alignment horizontal="center" vertical="center"/>
    </xf>
    <xf numFmtId="0" fontId="51" fillId="0" borderId="123" xfId="79" applyNumberFormat="1" applyFont="1" applyFill="1" applyBorder="1" applyAlignment="1">
      <alignment horizontal="center" vertical="center"/>
    </xf>
    <xf numFmtId="0" fontId="51" fillId="0" borderId="121" xfId="79" applyNumberFormat="1" applyFont="1" applyFill="1" applyBorder="1" applyAlignment="1">
      <alignment horizontal="center" vertical="center"/>
    </xf>
    <xf numFmtId="0" fontId="51" fillId="0" borderId="122" xfId="79" applyNumberFormat="1" applyFont="1" applyFill="1" applyBorder="1" applyAlignment="1">
      <alignment horizontal="center" vertical="center"/>
    </xf>
    <xf numFmtId="0" fontId="51" fillId="0" borderId="65" xfId="79" applyNumberFormat="1" applyFont="1" applyFill="1" applyBorder="1" applyAlignment="1">
      <alignment horizontal="center" vertical="center"/>
    </xf>
    <xf numFmtId="0" fontId="51" fillId="0" borderId="118" xfId="79" applyNumberFormat="1" applyFont="1" applyFill="1" applyBorder="1" applyAlignment="1">
      <alignment horizontal="center" vertical="center"/>
    </xf>
    <xf numFmtId="0" fontId="51" fillId="0" borderId="119" xfId="79" applyNumberFormat="1" applyFont="1" applyFill="1" applyBorder="1" applyAlignment="1">
      <alignment horizontal="center" vertical="center"/>
    </xf>
    <xf numFmtId="0" fontId="51" fillId="0" borderId="71" xfId="79" applyNumberFormat="1" applyFont="1" applyFill="1" applyBorder="1" applyAlignment="1">
      <alignment horizontal="center" vertical="center"/>
    </xf>
    <xf numFmtId="49" fontId="51" fillId="0" borderId="0" xfId="79" applyNumberFormat="1" applyFont="1" applyFill="1" applyBorder="1" applyAlignment="1">
      <alignment vertical="center"/>
    </xf>
    <xf numFmtId="0" fontId="51" fillId="0" borderId="0" xfId="79" applyNumberFormat="1" applyFont="1" applyFill="1" applyBorder="1" applyAlignment="1">
      <alignment vertical="center"/>
    </xf>
    <xf numFmtId="49" fontId="51" fillId="0" borderId="0" xfId="79" applyNumberFormat="1" applyFont="1" applyFill="1" applyAlignment="1">
      <alignment horizontal="center" vertical="center"/>
    </xf>
    <xf numFmtId="0" fontId="51" fillId="0" borderId="0" xfId="79" applyNumberFormat="1" applyFont="1" applyFill="1" applyAlignment="1">
      <alignment horizontal="center" vertical="center"/>
    </xf>
    <xf numFmtId="0" fontId="51" fillId="0" borderId="48" xfId="79" applyNumberFormat="1" applyFont="1" applyFill="1" applyBorder="1" applyAlignment="1">
      <alignment horizontal="center" vertical="center"/>
    </xf>
    <xf numFmtId="0" fontId="51" fillId="0" borderId="49" xfId="79" applyNumberFormat="1" applyFont="1" applyFill="1" applyBorder="1" applyAlignment="1">
      <alignment horizontal="center" vertical="center"/>
    </xf>
    <xf numFmtId="0" fontId="51" fillId="0" borderId="50" xfId="79" applyNumberFormat="1" applyFont="1" applyFill="1" applyBorder="1" applyAlignment="1">
      <alignment horizontal="center" vertical="center"/>
    </xf>
    <xf numFmtId="0" fontId="51" fillId="0" borderId="114" xfId="79" applyNumberFormat="1" applyFont="1" applyFill="1" applyBorder="1" applyAlignment="1">
      <alignment horizontal="center" vertical="center"/>
    </xf>
    <xf numFmtId="0" fontId="51" fillId="0" borderId="66" xfId="79" applyNumberFormat="1" applyFont="1" applyFill="1" applyBorder="1" applyAlignment="1">
      <alignment horizontal="center" vertical="center"/>
    </xf>
    <xf numFmtId="0" fontId="51" fillId="0" borderId="115" xfId="79" applyNumberFormat="1" applyFont="1" applyFill="1" applyBorder="1" applyAlignment="1">
      <alignment horizontal="center" vertical="center"/>
    </xf>
    <xf numFmtId="0" fontId="51" fillId="0" borderId="52" xfId="79" applyNumberFormat="1" applyFont="1" applyFill="1" applyBorder="1" applyAlignment="1">
      <alignment horizontal="center" vertical="center"/>
    </xf>
    <xf numFmtId="0" fontId="51" fillId="0" borderId="53" xfId="79" applyNumberFormat="1" applyFont="1" applyFill="1" applyBorder="1" applyAlignment="1">
      <alignment horizontal="center" vertical="center"/>
    </xf>
    <xf numFmtId="0" fontId="51" fillId="0" borderId="55" xfId="79" applyNumberFormat="1" applyFont="1" applyFill="1" applyBorder="1" applyAlignment="1">
      <alignment horizontal="center" vertical="center"/>
    </xf>
    <xf numFmtId="0" fontId="51" fillId="0" borderId="116" xfId="79" applyNumberFormat="1" applyFont="1" applyFill="1" applyBorder="1" applyAlignment="1">
      <alignment horizontal="center" vertical="center"/>
    </xf>
    <xf numFmtId="0" fontId="51" fillId="0" borderId="57" xfId="79" applyNumberFormat="1" applyFont="1" applyFill="1" applyBorder="1" applyAlignment="1">
      <alignment horizontal="center" vertical="center"/>
    </xf>
    <xf numFmtId="0" fontId="51" fillId="0" borderId="72" xfId="79" applyNumberFormat="1" applyFont="1" applyFill="1" applyBorder="1" applyAlignment="1">
      <alignment horizontal="center" vertical="center"/>
    </xf>
    <xf numFmtId="0" fontId="51" fillId="0" borderId="117" xfId="79" applyNumberFormat="1" applyFont="1" applyFill="1" applyBorder="1" applyAlignment="1">
      <alignment horizontal="center" vertical="center"/>
    </xf>
    <xf numFmtId="0" fontId="51" fillId="0" borderId="54" xfId="79" applyNumberFormat="1" applyFont="1" applyFill="1" applyBorder="1" applyAlignment="1">
      <alignment horizontal="center" vertical="center"/>
    </xf>
    <xf numFmtId="0" fontId="51" fillId="0" borderId="47" xfId="79" applyNumberFormat="1" applyFont="1" applyFill="1" applyBorder="1" applyAlignment="1">
      <alignment horizontal="center" vertical="center"/>
    </xf>
    <xf numFmtId="0" fontId="98" fillId="0" borderId="0" xfId="79" applyNumberFormat="1" applyFont="1" applyFill="1" applyAlignment="1">
      <alignment horizontal="center" vertical="center"/>
    </xf>
    <xf numFmtId="0" fontId="51" fillId="0" borderId="121" xfId="79" applyNumberFormat="1" applyFont="1" applyFill="1" applyBorder="1" applyAlignment="1">
      <alignment vertical="center"/>
    </xf>
    <xf numFmtId="0" fontId="51" fillId="0" borderId="54" xfId="79" applyNumberFormat="1" applyFont="1" applyFill="1" applyBorder="1" applyAlignment="1">
      <alignment vertical="center"/>
    </xf>
    <xf numFmtId="49" fontId="51" fillId="33" borderId="0" xfId="79" applyNumberFormat="1" applyFont="1" applyFill="1" applyAlignment="1">
      <alignment horizontal="center" vertical="center"/>
    </xf>
    <xf numFmtId="0" fontId="51" fillId="33" borderId="0" xfId="79" applyNumberFormat="1" applyFont="1" applyFill="1" applyAlignment="1">
      <alignment horizontal="center" vertical="center"/>
    </xf>
    <xf numFmtId="49" fontId="64" fillId="33" borderId="0" xfId="0" applyNumberFormat="1" applyFont="1" applyFill="1" applyBorder="1" applyAlignment="1">
      <alignment vertical="center"/>
    </xf>
    <xf numFmtId="0" fontId="51" fillId="0" borderId="112" xfId="0" applyNumberFormat="1" applyFont="1" applyFill="1" applyBorder="1" applyAlignment="1">
      <alignment vertical="center"/>
    </xf>
    <xf numFmtId="0" fontId="100" fillId="31" borderId="3" xfId="0" applyFont="1" applyFill="1" applyBorder="1" applyAlignment="1">
      <alignment horizontal="center" vertical="center"/>
    </xf>
    <xf numFmtId="0" fontId="100" fillId="30" borderId="3" xfId="0" applyNumberFormat="1" applyFont="1" applyFill="1" applyBorder="1" applyAlignment="1">
      <alignment horizontal="center" vertical="center"/>
    </xf>
    <xf numFmtId="0" fontId="100" fillId="28" borderId="3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vertical="center"/>
    </xf>
    <xf numFmtId="192" fontId="64" fillId="0" borderId="0" xfId="0" applyNumberFormat="1" applyFont="1" applyFill="1" applyAlignment="1">
      <alignment vertical="center"/>
    </xf>
    <xf numFmtId="195" fontId="51" fillId="0" borderId="0" xfId="78" applyNumberFormat="1" applyFont="1" applyFill="1" applyBorder="1" applyAlignment="1">
      <alignment horizontal="center" vertical="center"/>
    </xf>
    <xf numFmtId="195" fontId="51" fillId="0" borderId="0" xfId="0" applyNumberFormat="1" applyFont="1" applyFill="1" applyBorder="1" applyAlignment="1">
      <alignment horizontal="center" vertical="center"/>
    </xf>
    <xf numFmtId="213" fontId="51" fillId="0" borderId="0" xfId="0" applyNumberFormat="1" applyFont="1" applyFill="1" applyBorder="1" applyAlignment="1">
      <alignment horizontal="center" vertical="center"/>
    </xf>
    <xf numFmtId="0" fontId="64" fillId="0" borderId="0" xfId="0" applyNumberFormat="1" applyFont="1" applyFill="1" applyBorder="1" applyAlignment="1">
      <alignment horizontal="left" vertical="center"/>
    </xf>
    <xf numFmtId="214" fontId="51" fillId="0" borderId="0" xfId="0" applyNumberFormat="1" applyFont="1" applyFill="1" applyBorder="1" applyAlignment="1">
      <alignment horizontal="left" vertical="center"/>
    </xf>
    <xf numFmtId="192" fontId="51" fillId="0" borderId="0" xfId="0" applyNumberFormat="1" applyFont="1" applyFill="1" applyAlignment="1">
      <alignment horizontal="left" vertical="center"/>
    </xf>
    <xf numFmtId="0" fontId="51" fillId="0" borderId="0" xfId="78" applyNumberFormat="1" applyFont="1" applyFill="1" applyBorder="1" applyAlignment="1">
      <alignment horizontal="center" vertical="center"/>
    </xf>
    <xf numFmtId="215" fontId="51" fillId="0" borderId="0" xfId="82" applyNumberFormat="1" applyFont="1" applyFill="1" applyBorder="1" applyAlignment="1">
      <alignment horizontal="center" vertical="center"/>
    </xf>
    <xf numFmtId="0" fontId="51" fillId="0" borderId="0" xfId="78" applyNumberFormat="1" applyFont="1" applyFill="1" applyBorder="1" applyAlignment="1">
      <alignment vertical="center"/>
    </xf>
    <xf numFmtId="190" fontId="2" fillId="0" borderId="3" xfId="0" applyNumberFormat="1" applyFont="1" applyFill="1" applyBorder="1" applyAlignment="1">
      <alignment horizontal="center" vertical="center"/>
    </xf>
    <xf numFmtId="0" fontId="116" fillId="29" borderId="3" xfId="0" applyNumberFormat="1" applyFont="1" applyFill="1" applyBorder="1" applyAlignment="1">
      <alignment horizontal="center" vertical="center" wrapText="1"/>
    </xf>
    <xf numFmtId="0" fontId="114" fillId="29" borderId="84" xfId="133" applyNumberFormat="1" applyFont="1" applyFill="1" applyBorder="1" applyAlignment="1">
      <alignment horizontal="center" vertical="center" wrapText="1"/>
    </xf>
    <xf numFmtId="0" fontId="2" fillId="40" borderId="0" xfId="0" applyFont="1" applyFill="1" applyBorder="1" applyProtection="1">
      <alignment vertical="center"/>
      <protection locked="0"/>
    </xf>
    <xf numFmtId="0" fontId="117" fillId="0" borderId="0" xfId="0" applyNumberFormat="1" applyFont="1" applyAlignment="1">
      <alignment horizontal="left" vertical="center" indent="1"/>
    </xf>
    <xf numFmtId="0" fontId="118" fillId="40" borderId="3" xfId="0" applyNumberFormat="1" applyFont="1" applyFill="1" applyBorder="1" applyAlignment="1">
      <alignment horizontal="center" vertical="center"/>
    </xf>
    <xf numFmtId="0" fontId="99" fillId="39" borderId="128" xfId="86" applyFont="1" applyFill="1" applyBorder="1">
      <alignment vertical="center"/>
    </xf>
    <xf numFmtId="0" fontId="99" fillId="39" borderId="128" xfId="0" applyFont="1" applyFill="1" applyBorder="1">
      <alignment vertical="center"/>
    </xf>
    <xf numFmtId="190" fontId="100" fillId="35" borderId="127" xfId="78" applyNumberFormat="1" applyFont="1" applyFill="1" applyBorder="1" applyAlignment="1">
      <alignment horizontal="center" vertical="center"/>
    </xf>
    <xf numFmtId="0" fontId="102" fillId="29" borderId="127" xfId="0" applyNumberFormat="1" applyFont="1" applyFill="1" applyBorder="1" applyAlignment="1">
      <alignment horizontal="center" vertical="center"/>
    </xf>
    <xf numFmtId="0" fontId="100" fillId="0" borderId="127" xfId="78" applyNumberFormat="1" applyFont="1" applyFill="1" applyBorder="1" applyAlignment="1">
      <alignment horizontal="center" vertical="center"/>
    </xf>
    <xf numFmtId="11" fontId="100" fillId="0" borderId="127" xfId="78" applyNumberFormat="1" applyFont="1" applyFill="1" applyBorder="1" applyAlignment="1">
      <alignment horizontal="center" vertical="center"/>
    </xf>
    <xf numFmtId="0" fontId="51" fillId="0" borderId="110" xfId="79" applyNumberFormat="1" applyFont="1" applyFill="1" applyBorder="1" applyAlignment="1">
      <alignment vertical="center" wrapText="1"/>
    </xf>
    <xf numFmtId="0" fontId="51" fillId="0" borderId="78" xfId="79" applyNumberFormat="1" applyFont="1" applyFill="1" applyBorder="1" applyAlignment="1">
      <alignment vertical="center" wrapText="1"/>
    </xf>
    <xf numFmtId="49" fontId="57" fillId="0" borderId="128" xfId="0" applyNumberFormat="1" applyFont="1" applyBorder="1" applyAlignment="1">
      <alignment horizontal="center" vertical="center"/>
    </xf>
    <xf numFmtId="0" fontId="2" fillId="0" borderId="127" xfId="78" applyNumberFormat="1" applyFont="1" applyFill="1" applyBorder="1" applyAlignment="1">
      <alignment horizontal="center" vertical="center"/>
    </xf>
    <xf numFmtId="49" fontId="6" fillId="29" borderId="127" xfId="0" applyNumberFormat="1" applyFont="1" applyFill="1" applyBorder="1" applyAlignment="1">
      <alignment horizontal="center" vertical="center"/>
    </xf>
    <xf numFmtId="0" fontId="2" fillId="0" borderId="0" xfId="79" applyNumberFormat="1" applyFont="1" applyFill="1" applyAlignment="1">
      <alignment horizontal="left" vertical="center"/>
    </xf>
    <xf numFmtId="0" fontId="51" fillId="0" borderId="0" xfId="0" applyNumberFormat="1" applyFont="1">
      <alignment vertical="center"/>
    </xf>
    <xf numFmtId="0" fontId="119" fillId="0" borderId="19" xfId="80" applyNumberFormat="1" applyFont="1" applyFill="1" applyBorder="1" applyAlignment="1">
      <alignment horizontal="right" vertical="center"/>
    </xf>
    <xf numFmtId="0" fontId="51" fillId="0" borderId="19" xfId="79" applyNumberFormat="1" applyFont="1" applyFill="1" applyBorder="1" applyAlignment="1">
      <alignment horizontal="center" vertical="center"/>
    </xf>
    <xf numFmtId="0" fontId="2" fillId="0" borderId="0" xfId="79" applyNumberFormat="1" applyFont="1" applyFill="1" applyBorder="1" applyAlignment="1">
      <alignment horizontal="left" vertical="center"/>
    </xf>
    <xf numFmtId="0" fontId="51" fillId="0" borderId="0" xfId="0" applyNumberFormat="1" applyFont="1" applyBorder="1" applyAlignment="1">
      <alignment vertical="center"/>
    </xf>
    <xf numFmtId="0" fontId="98" fillId="0" borderId="0" xfId="79" applyNumberFormat="1" applyFont="1" applyFill="1" applyAlignment="1">
      <alignment vertical="center"/>
    </xf>
    <xf numFmtId="49" fontId="64" fillId="0" borderId="0" xfId="79" applyNumberFormat="1" applyFont="1" applyFill="1" applyBorder="1" applyAlignment="1">
      <alignment vertical="center"/>
    </xf>
    <xf numFmtId="49" fontId="64" fillId="0" borderId="0" xfId="79" applyNumberFormat="1" applyFont="1" applyFill="1" applyBorder="1" applyAlignment="1">
      <alignment horizontal="center" vertical="center"/>
    </xf>
    <xf numFmtId="0" fontId="98" fillId="0" borderId="0" xfId="79" applyNumberFormat="1" applyFont="1" applyFill="1" applyAlignment="1">
      <alignment horizontal="left" vertical="center"/>
    </xf>
    <xf numFmtId="0" fontId="51" fillId="0" borderId="0" xfId="79" applyNumberFormat="1" applyFont="1" applyFill="1" applyBorder="1" applyAlignment="1">
      <alignment horizontal="center" vertical="center"/>
    </xf>
    <xf numFmtId="0" fontId="51" fillId="0" borderId="0" xfId="79" applyNumberFormat="1" applyFont="1" applyFill="1" applyAlignment="1">
      <alignment horizontal="right" vertical="center"/>
    </xf>
    <xf numFmtId="0" fontId="51" fillId="0" borderId="0" xfId="79" applyNumberFormat="1" applyFont="1" applyFill="1" applyAlignment="1">
      <alignment horizontal="left" vertical="center" indent="2"/>
    </xf>
    <xf numFmtId="0" fontId="51" fillId="0" borderId="0" xfId="79" applyNumberFormat="1" applyFont="1" applyFill="1" applyAlignment="1">
      <alignment horizontal="left" vertical="center"/>
    </xf>
    <xf numFmtId="0" fontId="64" fillId="33" borderId="0" xfId="0" applyNumberFormat="1" applyFont="1" applyFill="1" applyBorder="1" applyAlignment="1">
      <alignment horizontal="left" vertical="center"/>
    </xf>
    <xf numFmtId="192" fontId="120" fillId="41" borderId="19" xfId="134" applyNumberFormat="1" applyFont="1" applyFill="1" applyBorder="1" applyAlignment="1">
      <alignment horizontal="center" vertical="center" wrapText="1"/>
    </xf>
    <xf numFmtId="0" fontId="6" fillId="29" borderId="43" xfId="0" applyNumberFormat="1" applyFont="1" applyFill="1" applyBorder="1" applyAlignment="1">
      <alignment horizontal="center" vertical="center"/>
    </xf>
    <xf numFmtId="0" fontId="6" fillId="29" borderId="43" xfId="0" applyNumberFormat="1" applyFont="1" applyFill="1" applyBorder="1" applyAlignment="1">
      <alignment horizontal="center" vertical="center" wrapText="1"/>
    </xf>
    <xf numFmtId="0" fontId="9" fillId="29" borderId="83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88" fillId="0" borderId="0" xfId="0" applyFont="1" applyBorder="1" applyAlignment="1">
      <alignment horizontal="center" vertical="center" wrapText="1"/>
    </xf>
    <xf numFmtId="0" fontId="54" fillId="0" borderId="46" xfId="0" applyFont="1" applyBorder="1" applyAlignment="1">
      <alignment horizontal="center" vertical="center"/>
    </xf>
    <xf numFmtId="0" fontId="54" fillId="0" borderId="0" xfId="0" applyFont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92" fillId="0" borderId="0" xfId="0" applyFont="1" applyBorder="1" applyAlignment="1">
      <alignment vertical="center"/>
    </xf>
    <xf numFmtId="205" fontId="54" fillId="0" borderId="0" xfId="0" applyNumberFormat="1" applyFont="1" applyBorder="1" applyAlignment="1">
      <alignment horizontal="center" vertical="center"/>
    </xf>
    <xf numFmtId="0" fontId="54" fillId="0" borderId="0" xfId="0" applyNumberFormat="1" applyFont="1" applyBorder="1" applyAlignment="1">
      <alignment horizontal="center" vertical="center"/>
    </xf>
    <xf numFmtId="205" fontId="54" fillId="0" borderId="0" xfId="0" applyNumberFormat="1" applyFont="1" applyBorder="1" applyAlignment="1">
      <alignment vertical="center"/>
    </xf>
    <xf numFmtId="0" fontId="54" fillId="0" borderId="0" xfId="0" applyNumberFormat="1" applyFont="1" applyBorder="1" applyAlignment="1">
      <alignment vertical="center"/>
    </xf>
    <xf numFmtId="197" fontId="54" fillId="0" borderId="0" xfId="0" applyNumberFormat="1" applyFont="1" applyBorder="1" applyAlignment="1">
      <alignment vertical="center"/>
    </xf>
    <xf numFmtId="0" fontId="54" fillId="0" borderId="0" xfId="0" applyNumberFormat="1" applyFont="1" applyBorder="1" applyAlignment="1">
      <alignment horizontal="left" vertical="center"/>
    </xf>
    <xf numFmtId="0" fontId="88" fillId="0" borderId="0" xfId="0" applyFont="1" applyBorder="1" applyAlignment="1">
      <alignment horizontal="center" vertical="center"/>
    </xf>
    <xf numFmtId="205" fontId="88" fillId="0" borderId="0" xfId="0" applyNumberFormat="1" applyFont="1" applyBorder="1" applyAlignment="1">
      <alignment vertical="center"/>
    </xf>
    <xf numFmtId="0" fontId="102" fillId="29" borderId="83" xfId="0" applyNumberFormat="1" applyFont="1" applyFill="1" applyBorder="1" applyAlignment="1">
      <alignment horizontal="center" vertical="center" wrapText="1"/>
    </xf>
    <xf numFmtId="0" fontId="102" fillId="29" borderId="83" xfId="0" applyNumberFormat="1" applyFont="1" applyFill="1" applyBorder="1" applyAlignment="1">
      <alignment horizontal="center" vertical="center"/>
    </xf>
    <xf numFmtId="0" fontId="102" fillId="29" borderId="84" xfId="0" applyNumberFormat="1" applyFont="1" applyFill="1" applyBorder="1" applyAlignment="1">
      <alignment horizontal="center" vertical="center" wrapText="1"/>
    </xf>
    <xf numFmtId="0" fontId="102" fillId="29" borderId="84" xfId="0" applyNumberFormat="1" applyFont="1" applyFill="1" applyBorder="1" applyAlignment="1">
      <alignment horizontal="center" vertical="center"/>
    </xf>
    <xf numFmtId="0" fontId="102" fillId="29" borderId="27" xfId="0" applyNumberFormat="1" applyFont="1" applyFill="1" applyBorder="1" applyAlignment="1">
      <alignment horizontal="center" vertical="center"/>
    </xf>
    <xf numFmtId="0" fontId="6" fillId="29" borderId="83" xfId="0" applyNumberFormat="1" applyFont="1" applyFill="1" applyBorder="1" applyAlignment="1">
      <alignment horizontal="center" vertical="center"/>
    </xf>
    <xf numFmtId="49" fontId="64" fillId="41" borderId="19" xfId="79" applyNumberFormat="1" applyFont="1" applyFill="1" applyBorder="1" applyAlignment="1">
      <alignment horizontal="center" vertical="center" wrapText="1"/>
    </xf>
    <xf numFmtId="0" fontId="2" fillId="0" borderId="0" xfId="78" applyNumberFormat="1" applyFont="1" applyFill="1" applyBorder="1" applyAlignment="1">
      <alignment horizontal="center" vertical="center"/>
    </xf>
    <xf numFmtId="0" fontId="54" fillId="0" borderId="0" xfId="0" applyNumberFormat="1" applyFont="1" applyBorder="1" applyAlignment="1">
      <alignment vertical="center"/>
    </xf>
    <xf numFmtId="2" fontId="54" fillId="0" borderId="0" xfId="0" applyNumberFormat="1" applyFont="1" applyBorder="1" applyAlignment="1">
      <alignment horizontal="center" vertical="center"/>
    </xf>
    <xf numFmtId="0" fontId="54" fillId="0" borderId="0" xfId="0" applyNumberFormat="1" applyFont="1" applyBorder="1" applyAlignment="1">
      <alignment horizontal="center" vertical="center"/>
    </xf>
    <xf numFmtId="0" fontId="88" fillId="0" borderId="0" xfId="0" applyFont="1" applyBorder="1" applyAlignment="1">
      <alignment horizontal="center" vertical="center"/>
    </xf>
    <xf numFmtId="0" fontId="73" fillId="0" borderId="128" xfId="0" applyFont="1" applyFill="1" applyBorder="1" applyAlignment="1">
      <alignment horizontal="center" vertical="center"/>
    </xf>
    <xf numFmtId="0" fontId="89" fillId="0" borderId="0" xfId="0" applyFont="1" applyBorder="1" applyAlignment="1">
      <alignment vertical="center"/>
    </xf>
    <xf numFmtId="0" fontId="54" fillId="28" borderId="46" xfId="0" applyNumberFormat="1" applyFont="1" applyFill="1" applyBorder="1" applyAlignment="1">
      <alignment horizontal="center" vertical="center"/>
    </xf>
    <xf numFmtId="0" fontId="54" fillId="0" borderId="128" xfId="0" applyNumberFormat="1" applyFont="1" applyBorder="1" applyAlignment="1">
      <alignment horizontal="center" vertical="center"/>
    </xf>
    <xf numFmtId="0" fontId="54" fillId="0" borderId="128" xfId="0" applyNumberFormat="1" applyFont="1" applyBorder="1" applyAlignment="1">
      <alignment vertical="center"/>
    </xf>
    <xf numFmtId="205" fontId="100" fillId="30" borderId="85" xfId="0" applyNumberFormat="1" applyFont="1" applyFill="1" applyBorder="1" applyAlignment="1">
      <alignment horizontal="center" vertical="center"/>
    </xf>
    <xf numFmtId="0" fontId="100" fillId="30" borderId="107" xfId="78" applyNumberFormat="1" applyFont="1" applyFill="1" applyBorder="1" applyAlignment="1">
      <alignment horizontal="center" vertical="center"/>
    </xf>
    <xf numFmtId="205" fontId="100" fillId="28" borderId="85" xfId="0" applyNumberFormat="1" applyFont="1" applyFill="1" applyBorder="1" applyAlignment="1">
      <alignment horizontal="center" vertical="center"/>
    </xf>
    <xf numFmtId="0" fontId="100" fillId="28" borderId="107" xfId="78" applyNumberFormat="1" applyFont="1" applyFill="1" applyBorder="1" applyAlignment="1">
      <alignment horizontal="center" vertical="center"/>
    </xf>
    <xf numFmtId="205" fontId="100" fillId="35" borderId="84" xfId="0" applyNumberFormat="1" applyFont="1" applyFill="1" applyBorder="1" applyAlignment="1">
      <alignment horizontal="center" vertical="center"/>
    </xf>
    <xf numFmtId="205" fontId="100" fillId="30" borderId="84" xfId="0" applyNumberFormat="1" applyFont="1" applyFill="1" applyBorder="1" applyAlignment="1">
      <alignment horizontal="center" vertical="center"/>
    </xf>
    <xf numFmtId="205" fontId="100" fillId="33" borderId="89" xfId="0" applyNumberFormat="1" applyFont="1" applyFill="1" applyBorder="1" applyAlignment="1">
      <alignment horizontal="center" vertical="center"/>
    </xf>
    <xf numFmtId="0" fontId="88" fillId="0" borderId="31" xfId="0" applyFont="1" applyBorder="1" applyAlignment="1">
      <alignment horizontal="center" vertical="center" wrapText="1"/>
    </xf>
    <xf numFmtId="205" fontId="54" fillId="0" borderId="0" xfId="0" applyNumberFormat="1" applyFont="1" applyBorder="1" applyAlignment="1">
      <alignment horizontal="center" vertical="center"/>
    </xf>
    <xf numFmtId="0" fontId="54" fillId="0" borderId="0" xfId="0" applyNumberFormat="1" applyFont="1" applyBorder="1" applyAlignment="1">
      <alignment horizontal="center" vertical="center"/>
    </xf>
    <xf numFmtId="0" fontId="54" fillId="0" borderId="0" xfId="0" applyFont="1" applyBorder="1" applyAlignment="1">
      <alignment horizontal="left" vertical="center"/>
    </xf>
    <xf numFmtId="205" fontId="54" fillId="0" borderId="0" xfId="0" applyNumberFormat="1" applyFont="1" applyBorder="1" applyAlignment="1">
      <alignment vertical="center"/>
    </xf>
    <xf numFmtId="0" fontId="54" fillId="0" borderId="0" xfId="0" applyNumberFormat="1" applyFont="1" applyBorder="1" applyAlignment="1">
      <alignment vertical="center"/>
    </xf>
    <xf numFmtId="0" fontId="55" fillId="26" borderId="61" xfId="0" applyFont="1" applyFill="1" applyBorder="1" applyAlignment="1">
      <alignment horizontal="center" vertical="center"/>
    </xf>
    <xf numFmtId="0" fontId="102" fillId="29" borderId="83" xfId="0" applyNumberFormat="1" applyFont="1" applyFill="1" applyBorder="1" applyAlignment="1">
      <alignment horizontal="center" vertical="center"/>
    </xf>
    <xf numFmtId="0" fontId="102" fillId="29" borderId="84" xfId="0" applyNumberFormat="1" applyFont="1" applyFill="1" applyBorder="1" applyAlignment="1">
      <alignment horizontal="center" vertical="center" wrapText="1"/>
    </xf>
    <xf numFmtId="0" fontId="61" fillId="27" borderId="128" xfId="81" applyFont="1" applyFill="1" applyBorder="1" applyAlignment="1">
      <alignment horizontal="center" vertical="center"/>
    </xf>
    <xf numFmtId="0" fontId="61" fillId="27" borderId="62" xfId="81" applyFont="1" applyFill="1" applyBorder="1" applyAlignment="1">
      <alignment horizontal="center" vertical="center"/>
    </xf>
    <xf numFmtId="0" fontId="61" fillId="27" borderId="61" xfId="81" applyFont="1" applyFill="1" applyBorder="1" applyAlignment="1">
      <alignment horizontal="center" vertical="center"/>
    </xf>
    <xf numFmtId="0" fontId="121" fillId="28" borderId="61" xfId="81" applyFont="1" applyFill="1" applyBorder="1" applyAlignment="1">
      <alignment horizontal="center" vertical="center"/>
    </xf>
    <xf numFmtId="0" fontId="73" fillId="28" borderId="61" xfId="0" applyFont="1" applyFill="1" applyBorder="1" applyAlignment="1">
      <alignment horizontal="center" vertical="center"/>
    </xf>
    <xf numFmtId="0" fontId="73" fillId="28" borderId="62" xfId="81" applyFont="1" applyFill="1" applyBorder="1" applyAlignment="1">
      <alignment horizontal="center" vertical="center"/>
    </xf>
    <xf numFmtId="0" fontId="122" fillId="0" borderId="128" xfId="0" applyFont="1" applyFill="1" applyBorder="1" applyAlignment="1">
      <alignment horizontal="center" vertical="center"/>
    </xf>
    <xf numFmtId="0" fontId="123" fillId="30" borderId="61" xfId="0" applyFont="1" applyFill="1" applyBorder="1" applyAlignment="1">
      <alignment horizontal="center" vertical="center"/>
    </xf>
    <xf numFmtId="0" fontId="123" fillId="28" borderId="62" xfId="81" applyFont="1" applyFill="1" applyBorder="1" applyAlignment="1">
      <alignment horizontal="center" vertical="center"/>
    </xf>
    <xf numFmtId="205" fontId="124" fillId="30" borderId="64" xfId="0" applyNumberFormat="1" applyFont="1" applyFill="1" applyBorder="1" applyAlignment="1">
      <alignment horizontal="center" vertical="center"/>
    </xf>
    <xf numFmtId="0" fontId="73" fillId="0" borderId="62" xfId="81" applyFont="1" applyFill="1" applyBorder="1" applyAlignment="1">
      <alignment vertical="center"/>
    </xf>
    <xf numFmtId="205" fontId="73" fillId="28" borderId="61" xfId="0" applyNumberFormat="1" applyFont="1" applyFill="1" applyBorder="1" applyAlignment="1">
      <alignment horizontal="center" vertical="center"/>
    </xf>
    <xf numFmtId="205" fontId="73" fillId="28" borderId="128" xfId="0" applyNumberFormat="1" applyFont="1" applyFill="1" applyBorder="1" applyAlignment="1">
      <alignment horizontal="center" vertical="center"/>
    </xf>
    <xf numFmtId="0" fontId="73" fillId="0" borderId="61" xfId="81" applyFont="1" applyFill="1" applyBorder="1" applyAlignment="1">
      <alignment horizontal="center" vertical="center"/>
    </xf>
    <xf numFmtId="0" fontId="73" fillId="0" borderId="62" xfId="81" applyFont="1" applyFill="1" applyBorder="1" applyAlignment="1">
      <alignment horizontal="center" vertical="center"/>
    </xf>
    <xf numFmtId="0" fontId="73" fillId="28" borderId="61" xfId="81" applyNumberFormat="1" applyFont="1" applyFill="1" applyBorder="1" applyAlignment="1">
      <alignment horizontal="center" vertical="center"/>
    </xf>
    <xf numFmtId="0" fontId="73" fillId="28" borderId="62" xfId="81" applyNumberFormat="1" applyFont="1" applyFill="1" applyBorder="1" applyAlignment="1">
      <alignment horizontal="center" vertical="center"/>
    </xf>
    <xf numFmtId="0" fontId="73" fillId="0" borderId="61" xfId="0" applyNumberFormat="1" applyFont="1" applyFill="1" applyBorder="1">
      <alignment vertical="center"/>
    </xf>
    <xf numFmtId="0" fontId="73" fillId="0" borderId="62" xfId="0" applyNumberFormat="1" applyFont="1" applyFill="1" applyBorder="1">
      <alignment vertical="center"/>
    </xf>
    <xf numFmtId="0" fontId="124" fillId="30" borderId="61" xfId="0" applyNumberFormat="1" applyFont="1" applyFill="1" applyBorder="1">
      <alignment vertical="center"/>
    </xf>
    <xf numFmtId="0" fontId="122" fillId="0" borderId="62" xfId="81" applyFont="1" applyFill="1" applyBorder="1" applyAlignment="1">
      <alignment horizontal="center" vertical="center"/>
    </xf>
    <xf numFmtId="0" fontId="73" fillId="31" borderId="128" xfId="0" applyNumberFormat="1" applyFont="1" applyFill="1" applyBorder="1" applyAlignment="1">
      <alignment horizontal="center" vertical="center"/>
    </xf>
    <xf numFmtId="0" fontId="123" fillId="31" borderId="62" xfId="0" applyNumberFormat="1" applyFont="1" applyFill="1" applyBorder="1" applyAlignment="1">
      <alignment horizontal="center" vertical="center"/>
    </xf>
    <xf numFmtId="0" fontId="73" fillId="0" borderId="0" xfId="0" applyNumberFormat="1" applyFont="1" applyFill="1" applyBorder="1" applyAlignment="1">
      <alignment horizontal="center" vertical="center"/>
    </xf>
    <xf numFmtId="0" fontId="2" fillId="0" borderId="127" xfId="0" applyNumberFormat="1" applyFont="1" applyFill="1" applyBorder="1" applyAlignment="1">
      <alignment horizontal="left" vertical="center"/>
    </xf>
    <xf numFmtId="0" fontId="102" fillId="29" borderId="127" xfId="0" applyNumberFormat="1" applyFont="1" applyFill="1" applyBorder="1" applyAlignment="1">
      <alignment horizontal="center" vertical="center" wrapText="1"/>
    </xf>
    <xf numFmtId="0" fontId="100" fillId="0" borderId="127" xfId="0" applyNumberFormat="1" applyFont="1" applyFill="1" applyBorder="1" applyAlignment="1">
      <alignment horizontal="center" vertical="center"/>
    </xf>
    <xf numFmtId="0" fontId="121" fillId="42" borderId="61" xfId="81" applyFont="1" applyFill="1" applyBorder="1" applyAlignment="1">
      <alignment horizontal="center" vertical="center"/>
    </xf>
    <xf numFmtId="0" fontId="73" fillId="28" borderId="62" xfId="0" applyFont="1" applyFill="1" applyBorder="1" applyAlignment="1">
      <alignment horizontal="center" vertical="center"/>
    </xf>
    <xf numFmtId="0" fontId="121" fillId="43" borderId="62" xfId="81" applyFont="1" applyFill="1" applyBorder="1" applyAlignment="1">
      <alignment horizontal="center" vertical="center"/>
    </xf>
    <xf numFmtId="0" fontId="73" fillId="0" borderId="61" xfId="81" applyNumberFormat="1" applyFont="1" applyFill="1" applyBorder="1" applyAlignment="1">
      <alignment horizontal="center" vertical="center"/>
    </xf>
    <xf numFmtId="0" fontId="73" fillId="0" borderId="62" xfId="81" applyNumberFormat="1" applyFont="1" applyFill="1" applyBorder="1" applyAlignment="1">
      <alignment horizontal="center" vertical="center"/>
    </xf>
    <xf numFmtId="0" fontId="73" fillId="0" borderId="64" xfId="81" applyNumberFormat="1" applyFont="1" applyFill="1" applyBorder="1" applyAlignment="1">
      <alignment horizontal="center" vertical="center"/>
    </xf>
    <xf numFmtId="189" fontId="73" fillId="0" borderId="128" xfId="0" applyNumberFormat="1" applyFont="1" applyFill="1" applyBorder="1" applyAlignment="1">
      <alignment horizontal="center" vertical="center"/>
    </xf>
    <xf numFmtId="0" fontId="73" fillId="42" borderId="61" xfId="81" applyNumberFormat="1" applyFont="1" applyFill="1" applyBorder="1" applyAlignment="1">
      <alignment horizontal="center" vertical="center"/>
    </xf>
    <xf numFmtId="0" fontId="73" fillId="42" borderId="62" xfId="81" applyNumberFormat="1" applyFont="1" applyFill="1" applyBorder="1" applyAlignment="1">
      <alignment horizontal="center" vertical="center"/>
    </xf>
    <xf numFmtId="0" fontId="73" fillId="28" borderId="61" xfId="0" applyNumberFormat="1" applyFont="1" applyFill="1" applyBorder="1">
      <alignment vertical="center"/>
    </xf>
    <xf numFmtId="0" fontId="122" fillId="0" borderId="62" xfId="0" applyFont="1" applyFill="1" applyBorder="1" applyAlignment="1">
      <alignment horizontal="center" vertical="center"/>
    </xf>
    <xf numFmtId="0" fontId="73" fillId="28" borderId="61" xfId="0" applyNumberFormat="1" applyFont="1" applyFill="1" applyBorder="1" applyAlignment="1">
      <alignment horizontal="center" vertical="center"/>
    </xf>
    <xf numFmtId="0" fontId="73" fillId="35" borderId="62" xfId="0" applyNumberFormat="1" applyFont="1" applyFill="1" applyBorder="1">
      <alignment vertical="center"/>
    </xf>
    <xf numFmtId="0" fontId="73" fillId="31" borderId="64" xfId="0" applyNumberFormat="1" applyFont="1" applyFill="1" applyBorder="1" applyAlignment="1">
      <alignment horizontal="center" vertical="center"/>
    </xf>
    <xf numFmtId="0" fontId="73" fillId="31" borderId="61" xfId="0" applyNumberFormat="1" applyFont="1" applyFill="1" applyBorder="1" applyAlignment="1">
      <alignment horizontal="center" vertical="center"/>
    </xf>
    <xf numFmtId="0" fontId="73" fillId="31" borderId="62" xfId="0" applyNumberFormat="1" applyFont="1" applyFill="1" applyBorder="1" applyAlignment="1">
      <alignment horizontal="center" vertical="center"/>
    </xf>
    <xf numFmtId="0" fontId="68" fillId="0" borderId="128" xfId="0" applyFont="1" applyBorder="1" applyAlignment="1">
      <alignment horizontal="center" vertical="center"/>
    </xf>
    <xf numFmtId="0" fontId="70" fillId="0" borderId="128" xfId="0" applyFont="1" applyBorder="1" applyAlignment="1">
      <alignment horizontal="center" vertical="center"/>
    </xf>
    <xf numFmtId="0" fontId="68" fillId="28" borderId="128" xfId="0" applyFont="1" applyFill="1" applyBorder="1" applyAlignment="1">
      <alignment horizontal="center" vertical="center"/>
    </xf>
    <xf numFmtId="0" fontId="70" fillId="28" borderId="128" xfId="0" applyFont="1" applyFill="1" applyBorder="1" applyAlignment="1">
      <alignment horizontal="center" vertical="center"/>
    </xf>
    <xf numFmtId="0" fontId="72" fillId="30" borderId="128" xfId="0" applyFont="1" applyFill="1" applyBorder="1" applyAlignment="1">
      <alignment horizontal="center" vertical="center"/>
    </xf>
    <xf numFmtId="0" fontId="61" fillId="27" borderId="128" xfId="81" applyFont="1" applyFill="1" applyBorder="1" applyAlignment="1">
      <alignment horizontal="center" vertical="center" wrapText="1"/>
    </xf>
    <xf numFmtId="196" fontId="73" fillId="42" borderId="61" xfId="81" applyNumberFormat="1" applyFont="1" applyFill="1" applyBorder="1" applyAlignment="1">
      <alignment horizontal="center" vertical="center"/>
    </xf>
    <xf numFmtId="0" fontId="73" fillId="42" borderId="62" xfId="81" applyFont="1" applyFill="1" applyBorder="1" applyAlignment="1">
      <alignment horizontal="center" vertical="center"/>
    </xf>
    <xf numFmtId="196" fontId="73" fillId="0" borderId="61" xfId="0" applyNumberFormat="1" applyFont="1" applyFill="1" applyBorder="1">
      <alignment vertical="center"/>
    </xf>
    <xf numFmtId="0" fontId="73" fillId="40" borderId="128" xfId="0" applyFont="1" applyFill="1" applyBorder="1" applyAlignment="1">
      <alignment horizontal="center" vertical="center"/>
    </xf>
    <xf numFmtId="0" fontId="73" fillId="35" borderId="128" xfId="0" applyFont="1" applyFill="1" applyBorder="1" applyAlignment="1">
      <alignment horizontal="center" vertical="center"/>
    </xf>
    <xf numFmtId="0" fontId="124" fillId="30" borderId="128" xfId="0" applyNumberFormat="1" applyFont="1" applyFill="1" applyBorder="1" applyAlignment="1">
      <alignment horizontal="center" vertical="center"/>
    </xf>
    <xf numFmtId="0" fontId="73" fillId="35" borderId="128" xfId="0" applyNumberFormat="1" applyFont="1" applyFill="1" applyBorder="1" applyAlignment="1">
      <alignment horizontal="center" vertical="center"/>
    </xf>
    <xf numFmtId="0" fontId="73" fillId="0" borderId="128" xfId="0" applyNumberFormat="1" applyFont="1" applyBorder="1" applyAlignment="1">
      <alignment horizontal="center" vertical="center"/>
    </xf>
    <xf numFmtId="0" fontId="73" fillId="0" borderId="128" xfId="0" applyFont="1" applyBorder="1" applyAlignment="1">
      <alignment horizontal="center" vertical="center"/>
    </xf>
    <xf numFmtId="0" fontId="124" fillId="30" borderId="128" xfId="0" applyFont="1" applyFill="1" applyBorder="1" applyAlignment="1">
      <alignment horizontal="center" vertical="center"/>
    </xf>
    <xf numFmtId="0" fontId="123" fillId="28" borderId="128" xfId="0" applyNumberFormat="1" applyFont="1" applyFill="1" applyBorder="1" applyAlignment="1">
      <alignment horizontal="center" vertical="center"/>
    </xf>
    <xf numFmtId="0" fontId="73" fillId="34" borderId="128" xfId="0" applyFont="1" applyFill="1" applyBorder="1" applyAlignment="1">
      <alignment horizontal="center" vertical="center"/>
    </xf>
    <xf numFmtId="0" fontId="73" fillId="36" borderId="128" xfId="0" applyFont="1" applyFill="1" applyBorder="1" applyAlignment="1">
      <alignment horizontal="center" vertical="center"/>
    </xf>
    <xf numFmtId="0" fontId="124" fillId="28" borderId="128" xfId="0" applyNumberFormat="1" applyFont="1" applyFill="1" applyBorder="1">
      <alignment vertical="center"/>
    </xf>
    <xf numFmtId="0" fontId="63" fillId="0" borderId="128" xfId="0" applyFont="1" applyBorder="1" applyAlignment="1">
      <alignment horizontal="center" vertical="center"/>
    </xf>
    <xf numFmtId="0" fontId="73" fillId="31" borderId="128" xfId="0" applyFont="1" applyFill="1" applyBorder="1" applyAlignment="1">
      <alignment horizontal="center" vertical="center"/>
    </xf>
    <xf numFmtId="0" fontId="63" fillId="30" borderId="128" xfId="0" applyFont="1" applyFill="1" applyBorder="1" applyAlignment="1">
      <alignment horizontal="center" vertical="center"/>
    </xf>
    <xf numFmtId="0" fontId="55" fillId="26" borderId="128" xfId="0" applyFont="1" applyFill="1" applyBorder="1" applyAlignment="1">
      <alignment horizontal="center" vertical="center"/>
    </xf>
    <xf numFmtId="0" fontId="74" fillId="26" borderId="128" xfId="0" applyFont="1" applyFill="1" applyBorder="1" applyAlignment="1">
      <alignment horizontal="center" vertical="center"/>
    </xf>
    <xf numFmtId="0" fontId="83" fillId="0" borderId="128" xfId="0" applyFont="1" applyFill="1" applyBorder="1" applyAlignment="1">
      <alignment horizontal="center" vertical="center"/>
    </xf>
    <xf numFmtId="0" fontId="77" fillId="0" borderId="128" xfId="0" applyFont="1" applyBorder="1" applyAlignment="1">
      <alignment horizontal="center" vertical="center"/>
    </xf>
    <xf numFmtId="0" fontId="78" fillId="0" borderId="128" xfId="0" applyFont="1" applyFill="1" applyBorder="1" applyAlignment="1">
      <alignment horizontal="center" vertical="center"/>
    </xf>
    <xf numFmtId="191" fontId="77" fillId="30" borderId="128" xfId="0" applyNumberFormat="1" applyFont="1" applyFill="1" applyBorder="1" applyAlignment="1">
      <alignment horizontal="center" vertical="center"/>
    </xf>
    <xf numFmtId="0" fontId="80" fillId="0" borderId="128" xfId="0" applyFont="1" applyFill="1" applyBorder="1" applyAlignment="1">
      <alignment horizontal="center" vertical="center"/>
    </xf>
    <xf numFmtId="191" fontId="77" fillId="37" borderId="128" xfId="0" applyNumberFormat="1" applyFont="1" applyFill="1" applyBorder="1" applyAlignment="1">
      <alignment horizontal="center" vertical="center"/>
    </xf>
    <xf numFmtId="0" fontId="78" fillId="0" borderId="128" xfId="0" applyNumberFormat="1" applyFont="1" applyFill="1" applyBorder="1" applyAlignment="1">
      <alignment horizontal="center" vertical="center"/>
    </xf>
    <xf numFmtId="193" fontId="77" fillId="37" borderId="128" xfId="0" applyNumberFormat="1" applyFont="1" applyFill="1" applyBorder="1" applyAlignment="1">
      <alignment horizontal="center" vertical="center"/>
    </xf>
    <xf numFmtId="11" fontId="77" fillId="37" borderId="128" xfId="0" applyNumberFormat="1" applyFont="1" applyFill="1" applyBorder="1" applyAlignment="1">
      <alignment horizontal="center" vertical="center"/>
    </xf>
    <xf numFmtId="192" fontId="77" fillId="37" borderId="128" xfId="0" applyNumberFormat="1" applyFont="1" applyFill="1" applyBorder="1" applyAlignment="1">
      <alignment horizontal="center" vertical="center"/>
    </xf>
    <xf numFmtId="0" fontId="77" fillId="0" borderId="128" xfId="0" applyNumberFormat="1" applyFont="1" applyFill="1" applyBorder="1" applyAlignment="1">
      <alignment horizontal="center" vertical="center"/>
    </xf>
    <xf numFmtId="11" fontId="82" fillId="38" borderId="128" xfId="0" applyNumberFormat="1" applyFont="1" applyFill="1" applyBorder="1" applyAlignment="1">
      <alignment horizontal="center" vertical="center"/>
    </xf>
    <xf numFmtId="0" fontId="78" fillId="0" borderId="128" xfId="0" applyFont="1" applyBorder="1" applyAlignment="1">
      <alignment horizontal="center" vertical="center"/>
    </xf>
    <xf numFmtId="0" fontId="77" fillId="30" borderId="128" xfId="0" applyNumberFormat="1" applyFont="1" applyFill="1" applyBorder="1" applyAlignment="1">
      <alignment horizontal="center" vertical="center"/>
    </xf>
    <xf numFmtId="0" fontId="77" fillId="32" borderId="128" xfId="0" applyNumberFormat="1" applyFont="1" applyFill="1" applyBorder="1" applyAlignment="1">
      <alignment horizontal="center" vertical="center"/>
    </xf>
    <xf numFmtId="192" fontId="82" fillId="38" borderId="128" xfId="0" applyNumberFormat="1" applyFont="1" applyFill="1" applyBorder="1" applyAlignment="1">
      <alignment horizontal="center" vertical="center"/>
    </xf>
    <xf numFmtId="11" fontId="77" fillId="30" borderId="128" xfId="0" applyNumberFormat="1" applyFont="1" applyFill="1" applyBorder="1" applyAlignment="1">
      <alignment horizontal="center" vertical="center"/>
    </xf>
    <xf numFmtId="9" fontId="80" fillId="0" borderId="128" xfId="0" applyNumberFormat="1" applyFont="1" applyFill="1" applyBorder="1" applyAlignment="1">
      <alignment horizontal="center" vertical="center"/>
    </xf>
    <xf numFmtId="0" fontId="77" fillId="37" borderId="128" xfId="0" applyNumberFormat="1" applyFont="1" applyFill="1" applyBorder="1" applyAlignment="1">
      <alignment horizontal="center" vertical="center"/>
    </xf>
    <xf numFmtId="195" fontId="77" fillId="37" borderId="128" xfId="0" applyNumberFormat="1" applyFont="1" applyFill="1" applyBorder="1" applyAlignment="1">
      <alignment horizontal="center" vertical="center"/>
    </xf>
    <xf numFmtId="188" fontId="82" fillId="38" borderId="128" xfId="0" applyNumberFormat="1" applyFont="1" applyFill="1" applyBorder="1" applyAlignment="1">
      <alignment horizontal="center" vertical="center"/>
    </xf>
    <xf numFmtId="0" fontId="77" fillId="28" borderId="128" xfId="0" applyFont="1" applyFill="1" applyBorder="1" applyAlignment="1">
      <alignment horizontal="center" vertical="center"/>
    </xf>
    <xf numFmtId="0" fontId="77" fillId="0" borderId="128" xfId="0" applyFont="1" applyFill="1" applyBorder="1" applyAlignment="1">
      <alignment horizontal="center" vertical="center"/>
    </xf>
    <xf numFmtId="9" fontId="78" fillId="0" borderId="128" xfId="0" applyNumberFormat="1" applyFont="1" applyFill="1" applyBorder="1" applyAlignment="1">
      <alignment horizontal="center" vertical="center"/>
    </xf>
    <xf numFmtId="196" fontId="82" fillId="38" borderId="128" xfId="0" applyNumberFormat="1" applyFont="1" applyFill="1" applyBorder="1" applyAlignment="1">
      <alignment horizontal="center" vertical="center"/>
    </xf>
    <xf numFmtId="0" fontId="82" fillId="0" borderId="128" xfId="0" applyFont="1" applyFill="1" applyBorder="1" applyAlignment="1">
      <alignment horizontal="left" vertical="center"/>
    </xf>
    <xf numFmtId="0" fontId="77" fillId="32" borderId="128" xfId="0" applyFont="1" applyFill="1" applyBorder="1" applyAlignment="1">
      <alignment horizontal="center" vertical="center"/>
    </xf>
    <xf numFmtId="0" fontId="56" fillId="0" borderId="61" xfId="0" applyFont="1" applyFill="1" applyBorder="1" applyAlignment="1">
      <alignment horizontal="center" vertical="center"/>
    </xf>
    <xf numFmtId="0" fontId="77" fillId="28" borderId="128" xfId="0" applyNumberFormat="1" applyFont="1" applyFill="1" applyBorder="1" applyAlignment="1">
      <alignment horizontal="center" vertical="center"/>
    </xf>
    <xf numFmtId="11" fontId="77" fillId="31" borderId="128" xfId="0" applyNumberFormat="1" applyFont="1" applyFill="1" applyBorder="1" applyAlignment="1">
      <alignment horizontal="center" vertical="center"/>
    </xf>
    <xf numFmtId="9" fontId="77" fillId="0" borderId="128" xfId="0" applyNumberFormat="1" applyFont="1" applyFill="1" applyBorder="1" applyAlignment="1">
      <alignment horizontal="center" vertical="center"/>
    </xf>
    <xf numFmtId="191" fontId="77" fillId="31" borderId="128" xfId="0" applyNumberFormat="1" applyFont="1" applyFill="1" applyBorder="1" applyAlignment="1">
      <alignment horizontal="center" vertical="center"/>
    </xf>
    <xf numFmtId="0" fontId="77" fillId="35" borderId="128" xfId="0" applyNumberFormat="1" applyFont="1" applyFill="1" applyBorder="1" applyAlignment="1">
      <alignment horizontal="center" vertical="center"/>
    </xf>
    <xf numFmtId="191" fontId="77" fillId="28" borderId="128" xfId="0" applyNumberFormat="1" applyFont="1" applyFill="1" applyBorder="1" applyAlignment="1">
      <alignment horizontal="center" vertical="center"/>
    </xf>
    <xf numFmtId="0" fontId="100" fillId="0" borderId="89" xfId="78" applyNumberFormat="1" applyFont="1" applyFill="1" applyBorder="1" applyAlignment="1">
      <alignment horizontal="center" vertical="center"/>
    </xf>
    <xf numFmtId="0" fontId="61" fillId="27" borderId="62" xfId="81" applyFont="1" applyFill="1" applyBorder="1" applyAlignment="1">
      <alignment horizontal="center" vertical="center"/>
    </xf>
    <xf numFmtId="0" fontId="61" fillId="27" borderId="128" xfId="81" applyFont="1" applyFill="1" applyBorder="1" applyAlignment="1">
      <alignment horizontal="center" vertical="center"/>
    </xf>
    <xf numFmtId="0" fontId="61" fillId="27" borderId="62" xfId="81" applyFont="1" applyFill="1" applyBorder="1" applyAlignment="1">
      <alignment horizontal="center" vertical="center"/>
    </xf>
    <xf numFmtId="0" fontId="61" fillId="27" borderId="128" xfId="81" applyFont="1" applyFill="1" applyBorder="1" applyAlignment="1">
      <alignment horizontal="center" vertical="center"/>
    </xf>
    <xf numFmtId="190" fontId="124" fillId="30" borderId="61" xfId="0" applyNumberFormat="1" applyFont="1" applyFill="1" applyBorder="1">
      <alignment vertical="center"/>
    </xf>
    <xf numFmtId="0" fontId="67" fillId="0" borderId="28" xfId="0" applyFont="1" applyFill="1" applyBorder="1" applyAlignment="1">
      <alignment horizontal="center" vertical="center"/>
    </xf>
    <xf numFmtId="0" fontId="67" fillId="0" borderId="29" xfId="0" applyFont="1" applyFill="1" applyBorder="1" applyAlignment="1">
      <alignment horizontal="center" vertical="center" wrapText="1"/>
    </xf>
    <xf numFmtId="0" fontId="67" fillId="0" borderId="17" xfId="0" applyFont="1" applyFill="1" applyBorder="1" applyAlignment="1">
      <alignment horizontal="center" vertical="center" wrapText="1"/>
    </xf>
    <xf numFmtId="0" fontId="67" fillId="0" borderId="13" xfId="0" applyFont="1" applyFill="1" applyBorder="1" applyAlignment="1">
      <alignment horizontal="center" vertical="center" wrapText="1"/>
    </xf>
    <xf numFmtId="0" fontId="67" fillId="0" borderId="30" xfId="0" applyFont="1" applyFill="1" applyBorder="1" applyAlignment="1" applyProtection="1">
      <alignment horizontal="left" vertical="center" wrapText="1"/>
      <protection locked="0"/>
    </xf>
    <xf numFmtId="0" fontId="67" fillId="0" borderId="31" xfId="0" applyFont="1" applyFill="1" applyBorder="1" applyAlignment="1" applyProtection="1">
      <alignment horizontal="left" vertical="center" wrapText="1"/>
      <protection locked="0"/>
    </xf>
    <xf numFmtId="0" fontId="67" fillId="0" borderId="32" xfId="0" applyFont="1" applyFill="1" applyBorder="1" applyAlignment="1" applyProtection="1">
      <alignment horizontal="left" vertical="center" wrapText="1"/>
      <protection locked="0"/>
    </xf>
    <xf numFmtId="0" fontId="67" fillId="0" borderId="33" xfId="0" applyFont="1" applyFill="1" applyBorder="1" applyAlignment="1" applyProtection="1">
      <alignment horizontal="left" vertical="center" wrapText="1"/>
      <protection locked="0"/>
    </xf>
    <xf numFmtId="0" fontId="67" fillId="0" borderId="0" xfId="0" applyFont="1" applyFill="1" applyBorder="1" applyAlignment="1" applyProtection="1">
      <alignment horizontal="left" vertical="center" wrapText="1"/>
      <protection locked="0"/>
    </xf>
    <xf numFmtId="0" fontId="67" fillId="0" borderId="34" xfId="0" applyFont="1" applyFill="1" applyBorder="1" applyAlignment="1" applyProtection="1">
      <alignment horizontal="left" vertical="center" wrapText="1"/>
      <protection locked="0"/>
    </xf>
    <xf numFmtId="0" fontId="67" fillId="0" borderId="18" xfId="0" applyFont="1" applyFill="1" applyBorder="1" applyAlignment="1" applyProtection="1">
      <alignment horizontal="left" vertical="center" wrapText="1"/>
      <protection locked="0"/>
    </xf>
    <xf numFmtId="0" fontId="67" fillId="0" borderId="19" xfId="0" applyFont="1" applyFill="1" applyBorder="1" applyAlignment="1" applyProtection="1">
      <alignment horizontal="left" vertical="center" wrapText="1"/>
      <protection locked="0"/>
    </xf>
    <xf numFmtId="0" fontId="67" fillId="0" borderId="20" xfId="0" applyFont="1" applyFill="1" applyBorder="1" applyAlignment="1" applyProtection="1">
      <alignment horizontal="left" vertical="center" wrapText="1"/>
      <protection locked="0"/>
    </xf>
    <xf numFmtId="0" fontId="67" fillId="32" borderId="46" xfId="0" applyFont="1" applyFill="1" applyBorder="1" applyAlignment="1" applyProtection="1">
      <alignment horizontal="center" vertical="center"/>
      <protection locked="0"/>
    </xf>
    <xf numFmtId="0" fontId="14" fillId="17" borderId="1" xfId="0" applyFont="1" applyFill="1" applyBorder="1" applyAlignment="1" applyProtection="1">
      <alignment horizontal="center" vertical="center" shrinkToFit="1"/>
      <protection locked="0"/>
    </xf>
    <xf numFmtId="0" fontId="10" fillId="17" borderId="1" xfId="0" applyFont="1" applyFill="1" applyBorder="1" applyAlignment="1" applyProtection="1">
      <alignment horizontal="center" vertical="center" shrinkToFit="1"/>
      <protection locked="0"/>
    </xf>
    <xf numFmtId="0" fontId="10" fillId="0" borderId="21" xfId="0" applyNumberFormat="1" applyFont="1" applyFill="1" applyBorder="1" applyAlignment="1" applyProtection="1">
      <alignment horizontal="center" vertical="center" shrinkToFit="1"/>
      <protection locked="0"/>
    </xf>
    <xf numFmtId="0" fontId="10" fillId="0" borderId="18" xfId="0" applyNumberFormat="1" applyFont="1" applyFill="1" applyBorder="1" applyAlignment="1" applyProtection="1">
      <alignment horizontal="center" vertical="center" shrinkToFit="1"/>
      <protection locked="0"/>
    </xf>
    <xf numFmtId="0" fontId="13" fillId="0" borderId="0" xfId="0" applyFont="1" applyFill="1" applyBorder="1" applyAlignment="1" applyProtection="1">
      <alignment horizontal="left" vertical="center" shrinkToFit="1"/>
    </xf>
    <xf numFmtId="0" fontId="43" fillId="30" borderId="22" xfId="0" applyFont="1" applyFill="1" applyBorder="1" applyAlignment="1" applyProtection="1">
      <alignment horizontal="left" vertical="center" wrapText="1"/>
    </xf>
    <xf numFmtId="0" fontId="43" fillId="30" borderId="16" xfId="0" applyFont="1" applyFill="1" applyBorder="1" applyAlignment="1" applyProtection="1">
      <alignment horizontal="left" vertical="center"/>
    </xf>
    <xf numFmtId="0" fontId="43" fillId="0" borderId="12" xfId="0" applyFont="1" applyFill="1" applyBorder="1" applyAlignment="1" applyProtection="1">
      <alignment horizontal="center" vertical="center"/>
    </xf>
    <xf numFmtId="0" fontId="43" fillId="0" borderId="13" xfId="0" applyFont="1" applyFill="1" applyBorder="1" applyAlignment="1" applyProtection="1">
      <alignment horizontal="center" vertical="center"/>
    </xf>
    <xf numFmtId="0" fontId="43" fillId="0" borderId="23" xfId="0" applyFont="1" applyFill="1" applyBorder="1" applyAlignment="1" applyProtection="1">
      <alignment horizontal="left" vertical="center" wrapText="1"/>
    </xf>
    <xf numFmtId="0" fontId="43" fillId="0" borderId="15" xfId="0" applyFont="1" applyFill="1" applyBorder="1" applyAlignment="1" applyProtection="1">
      <alignment horizontal="left" vertical="center"/>
    </xf>
    <xf numFmtId="0" fontId="43" fillId="0" borderId="24" xfId="0" applyFont="1" applyFill="1" applyBorder="1" applyAlignment="1" applyProtection="1">
      <alignment horizontal="left" vertical="center"/>
    </xf>
    <xf numFmtId="0" fontId="43" fillId="0" borderId="20" xfId="0" applyFont="1" applyFill="1" applyBorder="1" applyAlignment="1" applyProtection="1">
      <alignment horizontal="left" vertical="center"/>
    </xf>
    <xf numFmtId="0" fontId="10" fillId="30" borderId="11" xfId="0" applyFont="1" applyFill="1" applyBorder="1" applyAlignment="1" applyProtection="1">
      <alignment horizontal="left" vertical="center" wrapText="1"/>
    </xf>
    <xf numFmtId="0" fontId="10" fillId="30" borderId="14" xfId="0" applyFont="1" applyFill="1" applyBorder="1" applyAlignment="1" applyProtection="1">
      <alignment horizontal="left" vertical="center" wrapText="1"/>
    </xf>
    <xf numFmtId="0" fontId="10" fillId="30" borderId="16" xfId="0" applyFont="1" applyFill="1" applyBorder="1" applyAlignment="1" applyProtection="1">
      <alignment horizontal="left" vertical="center" wrapText="1"/>
    </xf>
    <xf numFmtId="0" fontId="43" fillId="0" borderId="1" xfId="0" applyFont="1" applyFill="1" applyBorder="1" applyAlignment="1" applyProtection="1">
      <alignment horizontal="center" vertical="center" shrinkToFit="1"/>
    </xf>
    <xf numFmtId="0" fontId="10" fillId="0" borderId="1" xfId="0" applyFont="1" applyFill="1" applyBorder="1" applyAlignment="1" applyProtection="1">
      <alignment horizontal="center" vertical="center" shrinkToFit="1"/>
    </xf>
    <xf numFmtId="0" fontId="10" fillId="30" borderId="1" xfId="0" applyFont="1" applyFill="1" applyBorder="1" applyAlignment="1" applyProtection="1">
      <alignment horizontal="center" vertical="center" shrinkToFit="1"/>
      <protection locked="0"/>
    </xf>
    <xf numFmtId="0" fontId="10" fillId="30" borderId="1" xfId="0" applyFont="1" applyFill="1" applyBorder="1" applyAlignment="1" applyProtection="1">
      <alignment vertical="center" shrinkToFit="1"/>
      <protection locked="0"/>
    </xf>
    <xf numFmtId="49" fontId="10" fillId="0" borderId="1" xfId="0" applyNumberFormat="1" applyFont="1" applyFill="1" applyBorder="1" applyAlignment="1" applyProtection="1">
      <alignment horizontal="center" vertical="center" shrinkToFit="1"/>
    </xf>
    <xf numFmtId="49" fontId="10" fillId="0" borderId="1" xfId="0" applyNumberFormat="1" applyFont="1" applyFill="1" applyBorder="1" applyAlignment="1" applyProtection="1">
      <alignment vertical="center" shrinkToFit="1"/>
    </xf>
    <xf numFmtId="0" fontId="10" fillId="0" borderId="1" xfId="0" applyFont="1" applyFill="1" applyBorder="1" applyAlignment="1" applyProtection="1">
      <alignment vertical="center" shrinkToFit="1"/>
    </xf>
    <xf numFmtId="184" fontId="10" fillId="0" borderId="1" xfId="0" applyNumberFormat="1" applyFont="1" applyFill="1" applyBorder="1" applyAlignment="1" applyProtection="1">
      <alignment horizontal="center" vertical="center" shrinkToFit="1"/>
    </xf>
    <xf numFmtId="0" fontId="47" fillId="0" borderId="1" xfId="0" applyFont="1" applyFill="1" applyBorder="1" applyAlignment="1" applyProtection="1">
      <alignment horizontal="center" vertical="center" shrinkToFit="1"/>
    </xf>
    <xf numFmtId="0" fontId="40" fillId="0" borderId="11" xfId="0" applyFont="1" applyFill="1" applyBorder="1" applyAlignment="1" applyProtection="1">
      <alignment horizontal="center" vertical="center"/>
    </xf>
    <xf numFmtId="0" fontId="40" fillId="0" borderId="14" xfId="0" applyFont="1" applyFill="1" applyBorder="1" applyAlignment="1" applyProtection="1">
      <alignment horizontal="center" vertical="center"/>
    </xf>
    <xf numFmtId="0" fontId="11" fillId="0" borderId="14" xfId="0" applyFont="1" applyFill="1" applyBorder="1" applyAlignment="1" applyProtection="1">
      <alignment vertical="center"/>
    </xf>
    <xf numFmtId="0" fontId="0" fillId="0" borderId="14" xfId="0" applyFill="1" applyBorder="1" applyAlignment="1" applyProtection="1">
      <alignment vertical="center"/>
    </xf>
    <xf numFmtId="0" fontId="0" fillId="0" borderId="16" xfId="0" applyFill="1" applyBorder="1" applyAlignment="1" applyProtection="1">
      <alignment vertical="center"/>
    </xf>
    <xf numFmtId="0" fontId="13" fillId="0" borderId="1" xfId="0" applyFont="1" applyFill="1" applyBorder="1" applyAlignment="1" applyProtection="1">
      <alignment horizontal="center" vertical="center" shrinkToFit="1"/>
    </xf>
    <xf numFmtId="0" fontId="5" fillId="0" borderId="1" xfId="0" applyFont="1" applyFill="1" applyBorder="1" applyAlignment="1" applyProtection="1">
      <alignment horizontal="center" vertical="center" shrinkToFit="1"/>
    </xf>
    <xf numFmtId="0" fontId="50" fillId="0" borderId="0" xfId="79" applyFont="1" applyAlignment="1">
      <alignment horizontal="center" wrapText="1"/>
    </xf>
    <xf numFmtId="49" fontId="51" fillId="0" borderId="51" xfId="79" applyNumberFormat="1" applyFont="1" applyFill="1" applyBorder="1" applyAlignment="1">
      <alignment horizontal="center" vertical="center" wrapText="1"/>
    </xf>
    <xf numFmtId="49" fontId="51" fillId="0" borderId="52" xfId="79" applyNumberFormat="1" applyFont="1" applyFill="1" applyBorder="1" applyAlignment="1">
      <alignment horizontal="center" vertical="center" wrapText="1"/>
    </xf>
    <xf numFmtId="49" fontId="51" fillId="0" borderId="53" xfId="79" applyNumberFormat="1" applyFont="1" applyFill="1" applyBorder="1" applyAlignment="1">
      <alignment horizontal="center" vertical="center" wrapText="1"/>
    </xf>
    <xf numFmtId="0" fontId="51" fillId="0" borderId="56" xfId="79" applyNumberFormat="1" applyFont="1" applyFill="1" applyBorder="1" applyAlignment="1">
      <alignment horizontal="center" vertical="center" wrapText="1"/>
    </xf>
    <xf numFmtId="0" fontId="51" fillId="0" borderId="117" xfId="79" applyNumberFormat="1" applyFont="1" applyFill="1" applyBorder="1" applyAlignment="1">
      <alignment horizontal="center" vertical="center" wrapText="1"/>
    </xf>
    <xf numFmtId="0" fontId="51" fillId="0" borderId="47" xfId="79" applyNumberFormat="1" applyFont="1" applyFill="1" applyBorder="1" applyAlignment="1">
      <alignment horizontal="center" vertical="center"/>
    </xf>
    <xf numFmtId="0" fontId="51" fillId="0" borderId="48" xfId="79" applyNumberFormat="1" applyFont="1" applyFill="1" applyBorder="1" applyAlignment="1">
      <alignment horizontal="center" vertical="center" wrapText="1"/>
    </xf>
    <xf numFmtId="0" fontId="51" fillId="0" borderId="120" xfId="79" applyNumberFormat="1" applyFont="1" applyFill="1" applyBorder="1" applyAlignment="1">
      <alignment horizontal="center" vertical="center" wrapText="1"/>
    </xf>
    <xf numFmtId="0" fontId="51" fillId="0" borderId="119" xfId="79" applyNumberFormat="1" applyFont="1" applyFill="1" applyBorder="1" applyAlignment="1">
      <alignment horizontal="center" vertical="center" wrapText="1"/>
    </xf>
    <xf numFmtId="0" fontId="51" fillId="0" borderId="110" xfId="79" applyNumberFormat="1" applyFont="1" applyFill="1" applyBorder="1" applyAlignment="1">
      <alignment horizontal="center" vertical="center" wrapText="1"/>
    </xf>
    <xf numFmtId="0" fontId="51" fillId="0" borderId="78" xfId="79" applyNumberFormat="1" applyFont="1" applyFill="1" applyBorder="1" applyAlignment="1">
      <alignment horizontal="center" vertical="center" wrapText="1"/>
    </xf>
    <xf numFmtId="212" fontId="51" fillId="0" borderId="110" xfId="79" applyNumberFormat="1" applyFont="1" applyFill="1" applyBorder="1" applyAlignment="1">
      <alignment horizontal="left" vertical="center" wrapText="1" indent="3"/>
    </xf>
    <xf numFmtId="212" fontId="51" fillId="0" borderId="78" xfId="79" applyNumberFormat="1" applyFont="1" applyFill="1" applyBorder="1" applyAlignment="1">
      <alignment horizontal="left" vertical="center" wrapText="1" indent="3"/>
    </xf>
    <xf numFmtId="212" fontId="51" fillId="0" borderId="115" xfId="79" applyNumberFormat="1" applyFont="1" applyFill="1" applyBorder="1" applyAlignment="1">
      <alignment horizontal="left" vertical="center" wrapText="1" indent="3"/>
    </xf>
    <xf numFmtId="212" fontId="51" fillId="0" borderId="116" xfId="79" applyNumberFormat="1" applyFont="1" applyFill="1" applyBorder="1" applyAlignment="1">
      <alignment horizontal="left" vertical="center" wrapText="1" indent="3"/>
    </xf>
    <xf numFmtId="0" fontId="51" fillId="0" borderId="51" xfId="79" applyNumberFormat="1" applyFont="1" applyFill="1" applyBorder="1" applyAlignment="1">
      <alignment horizontal="center" vertical="center"/>
    </xf>
    <xf numFmtId="0" fontId="51" fillId="0" borderId="73" xfId="79" applyNumberFormat="1" applyFont="1" applyFill="1" applyBorder="1" applyAlignment="1">
      <alignment horizontal="center" vertical="center"/>
    </xf>
    <xf numFmtId="0" fontId="51" fillId="0" borderId="74" xfId="79" applyNumberFormat="1" applyFont="1" applyFill="1" applyBorder="1" applyAlignment="1">
      <alignment horizontal="center" vertical="center"/>
    </xf>
    <xf numFmtId="49" fontId="109" fillId="0" borderId="0" xfId="131" applyNumberFormat="1" applyFont="1" applyFill="1" applyBorder="1" applyAlignment="1">
      <alignment horizontal="center" vertical="center" wrapText="1"/>
    </xf>
    <xf numFmtId="0" fontId="51" fillId="0" borderId="47" xfId="79" applyNumberFormat="1" applyFont="1" applyFill="1" applyBorder="1" applyAlignment="1">
      <alignment horizontal="center" vertical="center" wrapText="1"/>
    </xf>
    <xf numFmtId="0" fontId="64" fillId="41" borderId="0" xfId="0" applyNumberFormat="1" applyFont="1" applyFill="1" applyAlignment="1">
      <alignment horizontal="center" vertical="center"/>
    </xf>
    <xf numFmtId="49" fontId="64" fillId="41" borderId="0" xfId="79" applyNumberFormat="1" applyFont="1" applyFill="1" applyBorder="1" applyAlignment="1">
      <alignment horizontal="center" vertical="center"/>
    </xf>
    <xf numFmtId="49" fontId="64" fillId="41" borderId="19" xfId="79" applyNumberFormat="1" applyFont="1" applyFill="1" applyBorder="1" applyAlignment="1">
      <alignment horizontal="center" vertical="center"/>
    </xf>
    <xf numFmtId="192" fontId="64" fillId="41" borderId="0" xfId="0" applyNumberFormat="1" applyFont="1" applyFill="1" applyBorder="1" applyAlignment="1">
      <alignment horizontal="center" vertical="center" wrapText="1"/>
    </xf>
    <xf numFmtId="192" fontId="64" fillId="41" borderId="19" xfId="0" applyNumberFormat="1" applyFont="1" applyFill="1" applyBorder="1" applyAlignment="1">
      <alignment horizontal="center" vertical="center" wrapText="1"/>
    </xf>
    <xf numFmtId="0" fontId="50" fillId="0" borderId="0" xfId="79" applyNumberFormat="1" applyFont="1" applyAlignment="1">
      <alignment horizontal="center" wrapText="1"/>
    </xf>
    <xf numFmtId="49" fontId="64" fillId="41" borderId="0" xfId="0" applyNumberFormat="1" applyFont="1" applyFill="1" applyBorder="1" applyAlignment="1">
      <alignment horizontal="center" vertical="center"/>
    </xf>
    <xf numFmtId="49" fontId="64" fillId="41" borderId="19" xfId="0" applyNumberFormat="1" applyFont="1" applyFill="1" applyBorder="1" applyAlignment="1">
      <alignment horizontal="center" vertical="center"/>
    </xf>
    <xf numFmtId="192" fontId="51" fillId="41" borderId="0" xfId="0" applyNumberFormat="1" applyFont="1" applyFill="1" applyAlignment="1">
      <alignment horizontal="center" vertical="center"/>
    </xf>
    <xf numFmtId="192" fontId="51" fillId="41" borderId="19" xfId="0" applyNumberFormat="1" applyFont="1" applyFill="1" applyBorder="1" applyAlignment="1">
      <alignment horizontal="center" vertical="center"/>
    </xf>
    <xf numFmtId="192" fontId="64" fillId="41" borderId="0" xfId="0" applyNumberFormat="1" applyFont="1" applyFill="1" applyAlignment="1">
      <alignment horizontal="center" vertical="center"/>
    </xf>
    <xf numFmtId="192" fontId="64" fillId="41" borderId="19" xfId="0" applyNumberFormat="1" applyFont="1" applyFill="1" applyBorder="1" applyAlignment="1">
      <alignment horizontal="center" vertical="center"/>
    </xf>
    <xf numFmtId="192" fontId="120" fillId="41" borderId="0" xfId="134" applyNumberFormat="1" applyFont="1" applyFill="1" applyBorder="1" applyAlignment="1">
      <alignment horizontal="center" vertical="center" wrapText="1"/>
    </xf>
    <xf numFmtId="192" fontId="120" fillId="41" borderId="19" xfId="134" applyNumberFormat="1" applyFont="1" applyFill="1" applyBorder="1" applyAlignment="1">
      <alignment horizontal="center" vertical="center" wrapText="1"/>
    </xf>
    <xf numFmtId="192" fontId="120" fillId="41" borderId="0" xfId="134" applyNumberFormat="1" applyFont="1" applyFill="1" applyBorder="1" applyAlignment="1">
      <alignment horizontal="center" vertical="center"/>
    </xf>
    <xf numFmtId="192" fontId="120" fillId="41" borderId="19" xfId="134" applyNumberFormat="1" applyFont="1" applyFill="1" applyBorder="1" applyAlignment="1">
      <alignment horizontal="center" vertical="center"/>
    </xf>
    <xf numFmtId="0" fontId="64" fillId="41" borderId="0" xfId="0" applyNumberFormat="1" applyFont="1" applyFill="1" applyBorder="1" applyAlignment="1">
      <alignment horizontal="center" vertical="center"/>
    </xf>
    <xf numFmtId="0" fontId="64" fillId="41" borderId="19" xfId="0" applyNumberFormat="1" applyFont="1" applyFill="1" applyBorder="1" applyAlignment="1">
      <alignment horizontal="center" vertical="center"/>
    </xf>
    <xf numFmtId="192" fontId="51" fillId="41" borderId="0" xfId="0" applyNumberFormat="1" applyFont="1" applyFill="1" applyBorder="1" applyAlignment="1">
      <alignment horizontal="center" vertical="center"/>
    </xf>
    <xf numFmtId="192" fontId="64" fillId="41" borderId="0" xfId="0" applyNumberFormat="1" applyFont="1" applyFill="1" applyBorder="1" applyAlignment="1">
      <alignment horizontal="center" vertical="center"/>
    </xf>
    <xf numFmtId="0" fontId="51" fillId="0" borderId="71" xfId="79" applyNumberFormat="1" applyFont="1" applyFill="1" applyBorder="1" applyAlignment="1">
      <alignment horizontal="center" vertical="center" wrapText="1"/>
    </xf>
    <xf numFmtId="0" fontId="51" fillId="0" borderId="72" xfId="79" applyNumberFormat="1" applyFont="1" applyFill="1" applyBorder="1" applyAlignment="1">
      <alignment horizontal="center" vertical="center" wrapText="1"/>
    </xf>
    <xf numFmtId="0" fontId="51" fillId="0" borderId="54" xfId="79" applyNumberFormat="1" applyFont="1" applyFill="1" applyBorder="1" applyAlignment="1">
      <alignment horizontal="center" vertical="center" wrapText="1"/>
    </xf>
    <xf numFmtId="0" fontId="51" fillId="0" borderId="54" xfId="79" applyNumberFormat="1" applyFont="1" applyFill="1" applyBorder="1" applyAlignment="1">
      <alignment horizontal="center" vertical="center"/>
    </xf>
    <xf numFmtId="0" fontId="51" fillId="0" borderId="65" xfId="79" applyNumberFormat="1" applyFont="1" applyFill="1" applyBorder="1" applyAlignment="1">
      <alignment horizontal="center" vertical="center" wrapText="1"/>
    </xf>
    <xf numFmtId="0" fontId="51" fillId="0" borderId="66" xfId="79" applyNumberFormat="1" applyFont="1" applyFill="1" applyBorder="1" applyAlignment="1">
      <alignment horizontal="center" vertical="center" wrapText="1"/>
    </xf>
    <xf numFmtId="192" fontId="64" fillId="0" borderId="111" xfId="0" applyNumberFormat="1" applyFont="1" applyFill="1" applyBorder="1" applyAlignment="1">
      <alignment horizontal="center" vertical="center" wrapText="1"/>
    </xf>
    <xf numFmtId="192" fontId="64" fillId="0" borderId="113" xfId="0" applyNumberFormat="1" applyFont="1" applyFill="1" applyBorder="1" applyAlignment="1">
      <alignment horizontal="center" vertical="center" wrapText="1"/>
    </xf>
    <xf numFmtId="192" fontId="64" fillId="0" borderId="33" xfId="0" applyNumberFormat="1" applyFont="1" applyFill="1" applyBorder="1" applyAlignment="1">
      <alignment horizontal="center" vertical="center" wrapText="1"/>
    </xf>
    <xf numFmtId="192" fontId="64" fillId="0" borderId="34" xfId="0" applyNumberFormat="1" applyFont="1" applyFill="1" applyBorder="1" applyAlignment="1">
      <alignment horizontal="center" vertical="center" wrapText="1"/>
    </xf>
    <xf numFmtId="192" fontId="64" fillId="0" borderId="18" xfId="0" applyNumberFormat="1" applyFont="1" applyFill="1" applyBorder="1" applyAlignment="1">
      <alignment horizontal="center" vertical="center" wrapText="1"/>
    </xf>
    <xf numFmtId="192" fontId="64" fillId="0" borderId="20" xfId="0" applyNumberFormat="1" applyFont="1" applyFill="1" applyBorder="1" applyAlignment="1">
      <alignment horizontal="center" vertical="center" wrapText="1"/>
    </xf>
    <xf numFmtId="0" fontId="51" fillId="0" borderId="111" xfId="78" applyNumberFormat="1" applyFont="1" applyFill="1" applyBorder="1" applyAlignment="1">
      <alignment horizontal="left" vertical="center" indent="3"/>
    </xf>
    <xf numFmtId="0" fontId="51" fillId="0" borderId="113" xfId="78" applyNumberFormat="1" applyFont="1" applyFill="1" applyBorder="1" applyAlignment="1">
      <alignment horizontal="left" vertical="center" indent="3"/>
    </xf>
    <xf numFmtId="0" fontId="51" fillId="0" borderId="110" xfId="78" applyNumberFormat="1" applyFont="1" applyFill="1" applyBorder="1" applyAlignment="1">
      <alignment horizontal="left" vertical="center" indent="3"/>
    </xf>
    <xf numFmtId="0" fontId="51" fillId="0" borderId="34" xfId="78" applyNumberFormat="1" applyFont="1" applyFill="1" applyBorder="1" applyAlignment="1">
      <alignment horizontal="left" vertical="center" indent="3"/>
    </xf>
    <xf numFmtId="0" fontId="51" fillId="0" borderId="18" xfId="78" applyNumberFormat="1" applyFont="1" applyFill="1" applyBorder="1" applyAlignment="1">
      <alignment horizontal="left" vertical="center" indent="3"/>
    </xf>
    <xf numFmtId="0" fontId="51" fillId="0" borderId="20" xfId="78" applyNumberFormat="1" applyFont="1" applyFill="1" applyBorder="1" applyAlignment="1">
      <alignment horizontal="left" vertical="center" indent="3"/>
    </xf>
    <xf numFmtId="0" fontId="51" fillId="0" borderId="111" xfId="82" applyNumberFormat="1" applyFont="1" applyFill="1" applyBorder="1" applyAlignment="1">
      <alignment horizontal="center" vertical="center"/>
    </xf>
    <xf numFmtId="0" fontId="51" fillId="0" borderId="112" xfId="82" applyNumberFormat="1" applyFont="1" applyFill="1" applyBorder="1" applyAlignment="1">
      <alignment horizontal="center" vertical="center"/>
    </xf>
    <xf numFmtId="0" fontId="51" fillId="0" borderId="113" xfId="82" applyNumberFormat="1" applyFont="1" applyFill="1" applyBorder="1" applyAlignment="1">
      <alignment horizontal="center" vertical="center"/>
    </xf>
    <xf numFmtId="0" fontId="51" fillId="0" borderId="33" xfId="82" applyNumberFormat="1" applyFont="1" applyFill="1" applyBorder="1" applyAlignment="1">
      <alignment horizontal="center" vertical="center"/>
    </xf>
    <xf numFmtId="0" fontId="51" fillId="0" borderId="0" xfId="82" applyNumberFormat="1" applyFont="1" applyFill="1" applyBorder="1" applyAlignment="1">
      <alignment horizontal="center" vertical="center"/>
    </xf>
    <xf numFmtId="0" fontId="51" fillId="0" borderId="34" xfId="82" applyNumberFormat="1" applyFont="1" applyFill="1" applyBorder="1" applyAlignment="1">
      <alignment horizontal="center" vertical="center"/>
    </xf>
    <xf numFmtId="0" fontId="51" fillId="0" borderId="18" xfId="82" applyNumberFormat="1" applyFont="1" applyFill="1" applyBorder="1" applyAlignment="1">
      <alignment horizontal="center" vertical="center"/>
    </xf>
    <xf numFmtId="0" fontId="51" fillId="0" borderId="19" xfId="82" applyNumberFormat="1" applyFont="1" applyFill="1" applyBorder="1" applyAlignment="1">
      <alignment horizontal="center" vertical="center"/>
    </xf>
    <xf numFmtId="0" fontId="51" fillId="0" borderId="20" xfId="82" applyNumberFormat="1" applyFont="1" applyFill="1" applyBorder="1" applyAlignment="1">
      <alignment horizontal="center" vertical="center"/>
    </xf>
    <xf numFmtId="192" fontId="64" fillId="0" borderId="46" xfId="134" applyNumberFormat="1" applyFont="1" applyFill="1" applyBorder="1" applyAlignment="1">
      <alignment horizontal="center" vertical="center" wrapText="1"/>
    </xf>
    <xf numFmtId="0" fontId="51" fillId="0" borderId="33" xfId="78" applyNumberFormat="1" applyFont="1" applyFill="1" applyBorder="1" applyAlignment="1">
      <alignment horizontal="left" vertical="center" indent="3"/>
    </xf>
    <xf numFmtId="216" fontId="51" fillId="0" borderId="111" xfId="82" applyNumberFormat="1" applyFont="1" applyFill="1" applyBorder="1" applyAlignment="1">
      <alignment horizontal="center" vertical="center"/>
    </xf>
    <xf numFmtId="216" fontId="51" fillId="0" borderId="112" xfId="82" applyNumberFormat="1" applyFont="1" applyFill="1" applyBorder="1" applyAlignment="1">
      <alignment horizontal="center" vertical="center"/>
    </xf>
    <xf numFmtId="216" fontId="51" fillId="0" borderId="113" xfId="82" applyNumberFormat="1" applyFont="1" applyFill="1" applyBorder="1" applyAlignment="1">
      <alignment horizontal="center" vertical="center"/>
    </xf>
    <xf numFmtId="216" fontId="51" fillId="0" borderId="33" xfId="82" applyNumberFormat="1" applyFont="1" applyFill="1" applyBorder="1" applyAlignment="1">
      <alignment horizontal="center" vertical="center"/>
    </xf>
    <xf numFmtId="216" fontId="51" fillId="0" borderId="0" xfId="82" applyNumberFormat="1" applyFont="1" applyFill="1" applyBorder="1" applyAlignment="1">
      <alignment horizontal="center" vertical="center"/>
    </xf>
    <xf numFmtId="216" fontId="51" fillId="0" borderId="34" xfId="82" applyNumberFormat="1" applyFont="1" applyFill="1" applyBorder="1" applyAlignment="1">
      <alignment horizontal="center" vertical="center"/>
    </xf>
    <xf numFmtId="216" fontId="51" fillId="0" borderId="18" xfId="82" applyNumberFormat="1" applyFont="1" applyFill="1" applyBorder="1" applyAlignment="1">
      <alignment horizontal="center" vertical="center"/>
    </xf>
    <xf numFmtId="216" fontId="51" fillId="0" borderId="19" xfId="82" applyNumberFormat="1" applyFont="1" applyFill="1" applyBorder="1" applyAlignment="1">
      <alignment horizontal="center" vertical="center"/>
    </xf>
    <xf numFmtId="216" fontId="51" fillId="0" borderId="20" xfId="82" applyNumberFormat="1" applyFont="1" applyFill="1" applyBorder="1" applyAlignment="1">
      <alignment horizontal="center" vertical="center"/>
    </xf>
    <xf numFmtId="217" fontId="51" fillId="0" borderId="111" xfId="82" applyNumberFormat="1" applyFont="1" applyFill="1" applyBorder="1" applyAlignment="1">
      <alignment horizontal="center" vertical="center"/>
    </xf>
    <xf numFmtId="217" fontId="51" fillId="0" borderId="112" xfId="82" applyNumberFormat="1" applyFont="1" applyFill="1" applyBorder="1" applyAlignment="1">
      <alignment horizontal="center" vertical="center"/>
    </xf>
    <xf numFmtId="217" fontId="51" fillId="0" borderId="113" xfId="82" applyNumberFormat="1" applyFont="1" applyFill="1" applyBorder="1" applyAlignment="1">
      <alignment horizontal="center" vertical="center"/>
    </xf>
    <xf numFmtId="217" fontId="51" fillId="0" borderId="33" xfId="82" applyNumberFormat="1" applyFont="1" applyFill="1" applyBorder="1" applyAlignment="1">
      <alignment horizontal="center" vertical="center"/>
    </xf>
    <xf numFmtId="217" fontId="51" fillId="0" borderId="0" xfId="82" applyNumberFormat="1" applyFont="1" applyFill="1" applyBorder="1" applyAlignment="1">
      <alignment horizontal="center" vertical="center"/>
    </xf>
    <xf numFmtId="217" fontId="51" fillId="0" borderId="34" xfId="82" applyNumberFormat="1" applyFont="1" applyFill="1" applyBorder="1" applyAlignment="1">
      <alignment horizontal="center" vertical="center"/>
    </xf>
    <xf numFmtId="217" fontId="51" fillId="0" borderId="18" xfId="82" applyNumberFormat="1" applyFont="1" applyFill="1" applyBorder="1" applyAlignment="1">
      <alignment horizontal="center" vertical="center"/>
    </xf>
    <xf numFmtId="217" fontId="51" fillId="0" borderId="19" xfId="82" applyNumberFormat="1" applyFont="1" applyFill="1" applyBorder="1" applyAlignment="1">
      <alignment horizontal="center" vertical="center"/>
    </xf>
    <xf numFmtId="217" fontId="51" fillId="0" borderId="20" xfId="82" applyNumberFormat="1" applyFont="1" applyFill="1" applyBorder="1" applyAlignment="1">
      <alignment horizontal="center" vertical="center"/>
    </xf>
    <xf numFmtId="0" fontId="9" fillId="29" borderId="43" xfId="0" applyNumberFormat="1" applyFont="1" applyFill="1" applyBorder="1" applyAlignment="1">
      <alignment horizontal="center" vertical="center" wrapText="1"/>
    </xf>
    <xf numFmtId="0" fontId="6" fillId="29" borderId="43" xfId="0" applyNumberFormat="1" applyFont="1" applyFill="1" applyBorder="1" applyAlignment="1">
      <alignment horizontal="center" vertical="center" wrapText="1"/>
    </xf>
    <xf numFmtId="0" fontId="6" fillId="29" borderId="43" xfId="0" applyNumberFormat="1" applyFont="1" applyFill="1" applyBorder="1" applyAlignment="1">
      <alignment horizontal="center" vertical="center"/>
    </xf>
    <xf numFmtId="206" fontId="2" fillId="0" borderId="106" xfId="78" applyNumberFormat="1" applyFont="1" applyFill="1" applyBorder="1" applyAlignment="1">
      <alignment horizontal="center" vertical="center"/>
    </xf>
    <xf numFmtId="206" fontId="2" fillId="0" borderId="99" xfId="78" applyNumberFormat="1" applyFont="1" applyFill="1" applyBorder="1" applyAlignment="1">
      <alignment horizontal="center" vertical="center"/>
    </xf>
    <xf numFmtId="49" fontId="2" fillId="0" borderId="106" xfId="78" applyNumberFormat="1" applyFont="1" applyFill="1" applyBorder="1" applyAlignment="1">
      <alignment horizontal="center" vertical="center"/>
    </xf>
    <xf numFmtId="49" fontId="2" fillId="0" borderId="99" xfId="78" applyNumberFormat="1" applyFont="1" applyFill="1" applyBorder="1" applyAlignment="1">
      <alignment horizontal="center" vertical="center"/>
    </xf>
    <xf numFmtId="0" fontId="9" fillId="29" borderId="83" xfId="0" applyNumberFormat="1" applyFont="1" applyFill="1" applyBorder="1" applyAlignment="1">
      <alignment horizontal="center" vertical="center"/>
    </xf>
    <xf numFmtId="0" fontId="9" fillId="29" borderId="26" xfId="0" applyNumberFormat="1" applyFont="1" applyFill="1" applyBorder="1" applyAlignment="1">
      <alignment horizontal="center" vertical="center"/>
    </xf>
    <xf numFmtId="0" fontId="88" fillId="0" borderId="128" xfId="0" applyNumberFormat="1" applyFont="1" applyBorder="1" applyAlignment="1">
      <alignment vertical="center" shrinkToFit="1"/>
    </xf>
    <xf numFmtId="0" fontId="89" fillId="0" borderId="0" xfId="0" applyNumberFormat="1" applyFont="1" applyBorder="1" applyAlignment="1">
      <alignment horizontal="center" vertical="center"/>
    </xf>
    <xf numFmtId="0" fontId="88" fillId="0" borderId="61" xfId="0" applyFont="1" applyBorder="1" applyAlignment="1">
      <alignment horizontal="center" vertical="center" wrapText="1"/>
    </xf>
    <xf numFmtId="0" fontId="0" fillId="0" borderId="64" xfId="0" applyBorder="1">
      <alignment vertical="center"/>
    </xf>
    <xf numFmtId="0" fontId="0" fillId="0" borderId="62" xfId="0" applyBorder="1">
      <alignment vertical="center"/>
    </xf>
    <xf numFmtId="0" fontId="88" fillId="0" borderId="61" xfId="0" applyNumberFormat="1" applyFont="1" applyBorder="1" applyAlignment="1">
      <alignment horizontal="center" vertical="center" wrapText="1"/>
    </xf>
    <xf numFmtId="0" fontId="0" fillId="0" borderId="64" xfId="0" applyNumberFormat="1" applyBorder="1">
      <alignment vertical="center"/>
    </xf>
    <xf numFmtId="0" fontId="0" fillId="0" borderId="62" xfId="0" applyNumberFormat="1" applyBorder="1">
      <alignment vertical="center"/>
    </xf>
    <xf numFmtId="0" fontId="88" fillId="0" borderId="64" xfId="0" applyNumberFormat="1" applyFont="1" applyBorder="1" applyAlignment="1">
      <alignment horizontal="center" vertical="center" wrapText="1"/>
    </xf>
    <xf numFmtId="0" fontId="88" fillId="0" borderId="62" xfId="0" applyNumberFormat="1" applyFont="1" applyBorder="1" applyAlignment="1">
      <alignment horizontal="center" vertical="center" wrapText="1"/>
    </xf>
    <xf numFmtId="0" fontId="88" fillId="0" borderId="46" xfId="0" applyNumberFormat="1" applyFont="1" applyBorder="1" applyAlignment="1">
      <alignment vertical="center" shrinkToFit="1"/>
    </xf>
    <xf numFmtId="0" fontId="88" fillId="0" borderId="110" xfId="0" applyNumberFormat="1" applyFont="1" applyBorder="1" applyAlignment="1">
      <alignment horizontal="center" vertical="center" wrapText="1"/>
    </xf>
    <xf numFmtId="0" fontId="0" fillId="0" borderId="0" xfId="0" applyNumberFormat="1" applyBorder="1">
      <alignment vertical="center"/>
    </xf>
    <xf numFmtId="0" fontId="0" fillId="0" borderId="34" xfId="0" applyNumberFormat="1" applyBorder="1">
      <alignment vertical="center"/>
    </xf>
    <xf numFmtId="205" fontId="88" fillId="0" borderId="110" xfId="0" applyNumberFormat="1" applyFont="1" applyBorder="1" applyAlignment="1">
      <alignment horizontal="center" vertical="center" wrapText="1"/>
    </xf>
    <xf numFmtId="205" fontId="0" fillId="0" borderId="0" xfId="0" applyNumberFormat="1" applyBorder="1">
      <alignment vertical="center"/>
    </xf>
    <xf numFmtId="205" fontId="0" fillId="0" borderId="34" xfId="0" applyNumberFormat="1" applyBorder="1">
      <alignment vertical="center"/>
    </xf>
    <xf numFmtId="205" fontId="88" fillId="0" borderId="0" xfId="0" applyNumberFormat="1" applyFont="1" applyBorder="1" applyAlignment="1">
      <alignment horizontal="center" vertical="center" wrapText="1"/>
    </xf>
    <xf numFmtId="205" fontId="88" fillId="0" borderId="34" xfId="0" applyNumberFormat="1" applyFont="1" applyBorder="1" applyAlignment="1">
      <alignment horizontal="center" vertical="center" wrapText="1"/>
    </xf>
    <xf numFmtId="0" fontId="88" fillId="0" borderId="46" xfId="0" applyNumberFormat="1" applyFont="1" applyBorder="1" applyAlignment="1">
      <alignment horizontal="center" vertical="center" shrinkToFit="1"/>
    </xf>
    <xf numFmtId="0" fontId="88" fillId="0" borderId="30" xfId="0" applyFont="1" applyBorder="1" applyAlignment="1">
      <alignment horizontal="center" vertical="center" wrapText="1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110" xfId="0" applyBorder="1">
      <alignment vertical="center"/>
    </xf>
    <xf numFmtId="0" fontId="0" fillId="0" borderId="0" xfId="0" applyBorder="1">
      <alignment vertical="center"/>
    </xf>
    <xf numFmtId="0" fontId="0" fillId="0" borderId="34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89" fillId="0" borderId="61" xfId="0" applyFont="1" applyBorder="1" applyAlignment="1">
      <alignment horizontal="center" vertical="center" wrapText="1"/>
    </xf>
    <xf numFmtId="0" fontId="89" fillId="0" borderId="64" xfId="0" applyFont="1" applyBorder="1" applyAlignment="1">
      <alignment horizontal="center" vertical="center" wrapText="1"/>
    </xf>
    <xf numFmtId="0" fontId="89" fillId="0" borderId="62" xfId="0" applyFont="1" applyBorder="1" applyAlignment="1">
      <alignment horizontal="center" vertical="center" wrapText="1"/>
    </xf>
    <xf numFmtId="0" fontId="83" fillId="28" borderId="46" xfId="0" applyNumberFormat="1" applyFont="1" applyFill="1" applyBorder="1" applyAlignment="1">
      <alignment horizontal="center" vertical="center" shrinkToFit="1"/>
    </xf>
    <xf numFmtId="0" fontId="54" fillId="28" borderId="46" xfId="0" applyNumberFormat="1" applyFont="1" applyFill="1" applyBorder="1" applyAlignment="1">
      <alignment horizontal="center" vertical="center" shrinkToFit="1"/>
    </xf>
    <xf numFmtId="0" fontId="88" fillId="0" borderId="46" xfId="0" applyNumberFormat="1" applyFont="1" applyBorder="1" applyAlignment="1">
      <alignment horizontal="center" vertical="center"/>
    </xf>
    <xf numFmtId="0" fontId="88" fillId="0" borderId="61" xfId="0" applyNumberFormat="1" applyFont="1" applyBorder="1" applyAlignment="1">
      <alignment horizontal="center" vertical="center"/>
    </xf>
    <xf numFmtId="0" fontId="88" fillId="0" borderId="64" xfId="0" applyNumberFormat="1" applyFont="1" applyBorder="1" applyAlignment="1">
      <alignment horizontal="center" vertical="center"/>
    </xf>
    <xf numFmtId="0" fontId="88" fillId="0" borderId="62" xfId="0" applyNumberFormat="1" applyFont="1" applyBorder="1" applyAlignment="1">
      <alignment horizontal="center" vertical="center"/>
    </xf>
    <xf numFmtId="196" fontId="88" fillId="0" borderId="46" xfId="0" applyNumberFormat="1" applyFont="1" applyBorder="1" applyAlignment="1">
      <alignment horizontal="center" vertical="center" shrinkToFit="1"/>
    </xf>
    <xf numFmtId="0" fontId="54" fillId="28" borderId="46" xfId="0" applyNumberFormat="1" applyFont="1" applyFill="1" applyBorder="1" applyAlignment="1">
      <alignment horizontal="center" vertical="center"/>
    </xf>
    <xf numFmtId="0" fontId="54" fillId="28" borderId="61" xfId="0" applyNumberFormat="1" applyFont="1" applyFill="1" applyBorder="1" applyAlignment="1">
      <alignment horizontal="center" vertical="center" shrinkToFit="1"/>
    </xf>
    <xf numFmtId="0" fontId="54" fillId="28" borderId="64" xfId="0" applyNumberFormat="1" applyFont="1" applyFill="1" applyBorder="1" applyAlignment="1">
      <alignment horizontal="center" vertical="center" shrinkToFit="1"/>
    </xf>
    <xf numFmtId="0" fontId="54" fillId="28" borderId="62" xfId="0" applyNumberFormat="1" applyFont="1" applyFill="1" applyBorder="1" applyAlignment="1">
      <alignment horizontal="center" vertical="center" shrinkToFit="1"/>
    </xf>
    <xf numFmtId="0" fontId="88" fillId="0" borderId="61" xfId="0" applyNumberFormat="1" applyFont="1" applyBorder="1" applyAlignment="1">
      <alignment horizontal="center" vertical="center" shrinkToFit="1"/>
    </xf>
    <xf numFmtId="0" fontId="88" fillId="0" borderId="64" xfId="0" applyNumberFormat="1" applyFont="1" applyBorder="1" applyAlignment="1">
      <alignment horizontal="center" vertical="center" shrinkToFit="1"/>
    </xf>
    <xf numFmtId="0" fontId="88" fillId="0" borderId="62" xfId="0" applyNumberFormat="1" applyFont="1" applyBorder="1" applyAlignment="1">
      <alignment horizontal="center" vertical="center" shrinkToFit="1"/>
    </xf>
    <xf numFmtId="0" fontId="54" fillId="0" borderId="110" xfId="0" applyNumberFormat="1" applyFont="1" applyBorder="1" applyAlignment="1">
      <alignment horizontal="center" vertical="center"/>
    </xf>
    <xf numFmtId="0" fontId="54" fillId="0" borderId="0" xfId="0" applyNumberFormat="1" applyFont="1" applyBorder="1" applyAlignment="1">
      <alignment horizontal="center" vertical="center"/>
    </xf>
    <xf numFmtId="0" fontId="54" fillId="0" borderId="34" xfId="0" applyNumberFormat="1" applyFont="1" applyBorder="1" applyAlignment="1">
      <alignment horizontal="center" vertical="center"/>
    </xf>
    <xf numFmtId="0" fontId="88" fillId="0" borderId="0" xfId="0" applyNumberFormat="1" applyFont="1" applyBorder="1" applyAlignment="1">
      <alignment horizontal="center" vertical="center" wrapText="1"/>
    </xf>
    <xf numFmtId="0" fontId="93" fillId="0" borderId="110" xfId="0" applyFont="1" applyBorder="1" applyAlignment="1">
      <alignment horizontal="right" vertical="center"/>
    </xf>
    <xf numFmtId="0" fontId="93" fillId="0" borderId="0" xfId="0" applyFont="1" applyBorder="1" applyAlignment="1">
      <alignment horizontal="right" vertical="center"/>
    </xf>
    <xf numFmtId="190" fontId="54" fillId="0" borderId="0" xfId="0" applyNumberFormat="1" applyFont="1" applyBorder="1" applyAlignment="1">
      <alignment horizontal="left" vertical="center"/>
    </xf>
    <xf numFmtId="190" fontId="54" fillId="0" borderId="34" xfId="0" applyNumberFormat="1" applyFont="1" applyBorder="1" applyAlignment="1">
      <alignment horizontal="left" vertical="center"/>
    </xf>
    <xf numFmtId="0" fontId="88" fillId="0" borderId="31" xfId="0" applyFont="1" applyBorder="1" applyAlignment="1">
      <alignment horizontal="center" vertical="center" wrapText="1"/>
    </xf>
    <xf numFmtId="0" fontId="88" fillId="0" borderId="110" xfId="0" applyFont="1" applyBorder="1" applyAlignment="1">
      <alignment horizontal="center" vertical="center" wrapText="1"/>
    </xf>
    <xf numFmtId="0" fontId="88" fillId="0" borderId="0" xfId="0" applyFont="1" applyBorder="1" applyAlignment="1">
      <alignment horizontal="center" vertical="center" wrapText="1"/>
    </xf>
    <xf numFmtId="0" fontId="88" fillId="0" borderId="18" xfId="0" applyFont="1" applyBorder="1" applyAlignment="1">
      <alignment horizontal="center" vertical="center" wrapText="1"/>
    </xf>
    <xf numFmtId="0" fontId="88" fillId="0" borderId="19" xfId="0" applyFont="1" applyBorder="1" applyAlignment="1">
      <alignment horizontal="center" vertical="center" wrapText="1"/>
    </xf>
    <xf numFmtId="0" fontId="93" fillId="0" borderId="128" xfId="0" applyFont="1" applyBorder="1" applyAlignment="1">
      <alignment horizontal="center" vertical="center" wrapText="1"/>
    </xf>
    <xf numFmtId="0" fontId="54" fillId="0" borderId="30" xfId="0" applyFont="1" applyBorder="1" applyAlignment="1">
      <alignment horizontal="center" vertical="center"/>
    </xf>
    <xf numFmtId="0" fontId="54" fillId="0" borderId="31" xfId="0" applyFont="1" applyBorder="1" applyAlignment="1">
      <alignment horizontal="center" vertical="center"/>
    </xf>
    <xf numFmtId="0" fontId="54" fillId="0" borderId="32" xfId="0" applyFont="1" applyBorder="1" applyAlignment="1">
      <alignment horizontal="center" vertical="center"/>
    </xf>
    <xf numFmtId="0" fontId="54" fillId="0" borderId="18" xfId="0" applyFont="1" applyBorder="1" applyAlignment="1">
      <alignment horizontal="center" vertical="center"/>
    </xf>
    <xf numFmtId="0" fontId="54" fillId="0" borderId="19" xfId="0" applyFont="1" applyBorder="1" applyAlignment="1">
      <alignment horizontal="center" vertical="center"/>
    </xf>
    <xf numFmtId="0" fontId="54" fillId="0" borderId="20" xfId="0" applyFont="1" applyBorder="1" applyAlignment="1">
      <alignment horizontal="center" vertical="center"/>
    </xf>
    <xf numFmtId="0" fontId="54" fillId="0" borderId="110" xfId="0" applyFont="1" applyBorder="1" applyAlignment="1">
      <alignment horizontal="center" vertical="center"/>
    </xf>
    <xf numFmtId="0" fontId="54" fillId="0" borderId="0" xfId="0" applyFont="1" applyBorder="1" applyAlignment="1">
      <alignment horizontal="center" vertical="center"/>
    </xf>
    <xf numFmtId="0" fontId="54" fillId="0" borderId="34" xfId="0" applyFont="1" applyBorder="1" applyAlignment="1">
      <alignment horizontal="center" vertical="center"/>
    </xf>
    <xf numFmtId="0" fontId="54" fillId="0" borderId="110" xfId="0" applyFont="1" applyBorder="1" applyAlignment="1">
      <alignment horizontal="left" vertical="center" indent="1"/>
    </xf>
    <xf numFmtId="0" fontId="54" fillId="0" borderId="0" xfId="0" applyFont="1" applyBorder="1" applyAlignment="1">
      <alignment horizontal="left" vertical="center" indent="1"/>
    </xf>
    <xf numFmtId="0" fontId="54" fillId="0" borderId="34" xfId="0" applyFont="1" applyBorder="1" applyAlignment="1">
      <alignment horizontal="left" vertical="center" indent="1"/>
    </xf>
    <xf numFmtId="211" fontId="54" fillId="0" borderId="0" xfId="0" applyNumberFormat="1" applyFont="1" applyBorder="1" applyAlignment="1">
      <alignment horizontal="left" vertical="center"/>
    </xf>
    <xf numFmtId="211" fontId="54" fillId="0" borderId="34" xfId="0" applyNumberFormat="1" applyFont="1" applyBorder="1" applyAlignment="1">
      <alignment horizontal="left" vertical="center"/>
    </xf>
    <xf numFmtId="0" fontId="54" fillId="0" borderId="0" xfId="0" applyFont="1" applyBorder="1" applyAlignment="1">
      <alignment horizontal="left" vertical="center"/>
    </xf>
    <xf numFmtId="0" fontId="54" fillId="0" borderId="34" xfId="0" applyFont="1" applyBorder="1" applyAlignment="1">
      <alignment horizontal="left" vertical="center"/>
    </xf>
    <xf numFmtId="0" fontId="54" fillId="0" borderId="110" xfId="0" applyFont="1" applyBorder="1" applyAlignment="1">
      <alignment horizontal="right" vertical="center"/>
    </xf>
    <xf numFmtId="0" fontId="54" fillId="0" borderId="0" xfId="0" applyFont="1" applyBorder="1" applyAlignment="1">
      <alignment horizontal="right" vertical="center"/>
    </xf>
    <xf numFmtId="0" fontId="88" fillId="0" borderId="32" xfId="0" applyFont="1" applyBorder="1" applyAlignment="1">
      <alignment horizontal="center" vertical="center" wrapText="1"/>
    </xf>
    <xf numFmtId="0" fontId="88" fillId="0" borderId="34" xfId="0" applyFont="1" applyBorder="1" applyAlignment="1">
      <alignment horizontal="center" vertical="center" wrapText="1"/>
    </xf>
    <xf numFmtId="0" fontId="88" fillId="0" borderId="20" xfId="0" applyFont="1" applyBorder="1" applyAlignment="1">
      <alignment horizontal="center" vertical="center" wrapText="1"/>
    </xf>
    <xf numFmtId="0" fontId="88" fillId="0" borderId="64" xfId="0" applyFont="1" applyBorder="1" applyAlignment="1">
      <alignment horizontal="center" vertical="center" wrapText="1"/>
    </xf>
    <xf numFmtId="0" fontId="88" fillId="0" borderId="62" xfId="0" applyFont="1" applyBorder="1" applyAlignment="1">
      <alignment horizontal="center" vertical="center" wrapText="1"/>
    </xf>
    <xf numFmtId="0" fontId="88" fillId="0" borderId="128" xfId="0" applyNumberFormat="1" applyFont="1" applyBorder="1" applyAlignment="1">
      <alignment horizontal="center" vertical="center" wrapText="1"/>
    </xf>
    <xf numFmtId="205" fontId="54" fillId="0" borderId="104" xfId="0" applyNumberFormat="1" applyFont="1" applyBorder="1" applyAlignment="1">
      <alignment horizontal="center" vertical="center"/>
    </xf>
    <xf numFmtId="205" fontId="88" fillId="0" borderId="104" xfId="0" applyNumberFormat="1" applyFont="1" applyBorder="1" applyAlignment="1">
      <alignment horizontal="center" vertical="center" wrapText="1"/>
    </xf>
    <xf numFmtId="0" fontId="54" fillId="0" borderId="128" xfId="0" applyFont="1" applyBorder="1" applyAlignment="1">
      <alignment horizontal="center" vertical="center"/>
    </xf>
    <xf numFmtId="0" fontId="54" fillId="0" borderId="128" xfId="0" applyFont="1" applyBorder="1" applyAlignment="1">
      <alignment horizontal="center" vertical="center" wrapText="1"/>
    </xf>
    <xf numFmtId="0" fontId="88" fillId="0" borderId="128" xfId="0" applyFont="1" applyBorder="1" applyAlignment="1">
      <alignment horizontal="center" vertical="center" wrapText="1"/>
    </xf>
    <xf numFmtId="0" fontId="54" fillId="0" borderId="104" xfId="0" applyFont="1" applyBorder="1" applyAlignment="1">
      <alignment horizontal="center" vertical="center"/>
    </xf>
    <xf numFmtId="0" fontId="88" fillId="28" borderId="46" xfId="0" applyFont="1" applyFill="1" applyBorder="1" applyAlignment="1">
      <alignment horizontal="center" vertical="center" wrapText="1"/>
    </xf>
    <xf numFmtId="0" fontId="88" fillId="28" borderId="63" xfId="0" applyFont="1" applyFill="1" applyBorder="1" applyAlignment="1">
      <alignment horizontal="center" vertical="center" wrapText="1"/>
    </xf>
    <xf numFmtId="0" fontId="88" fillId="28" borderId="60" xfId="0" applyFont="1" applyFill="1" applyBorder="1" applyAlignment="1">
      <alignment horizontal="center" vertical="center" wrapText="1"/>
    </xf>
    <xf numFmtId="0" fontId="88" fillId="28" borderId="58" xfId="0" applyFont="1" applyFill="1" applyBorder="1" applyAlignment="1">
      <alignment horizontal="center" vertical="center" wrapText="1"/>
    </xf>
    <xf numFmtId="0" fontId="88" fillId="28" borderId="18" xfId="0" applyFont="1" applyFill="1" applyBorder="1" applyAlignment="1">
      <alignment horizontal="center" vertical="center" wrapText="1"/>
    </xf>
    <xf numFmtId="0" fontId="88" fillId="28" borderId="19" xfId="0" applyFont="1" applyFill="1" applyBorder="1" applyAlignment="1">
      <alignment horizontal="center" vertical="center" wrapText="1"/>
    </xf>
    <xf numFmtId="0" fontId="88" fillId="28" borderId="20" xfId="0" applyFont="1" applyFill="1" applyBorder="1" applyAlignment="1">
      <alignment horizontal="center" vertical="center" wrapText="1"/>
    </xf>
    <xf numFmtId="0" fontId="89" fillId="28" borderId="61" xfId="0" applyFont="1" applyFill="1" applyBorder="1" applyAlignment="1">
      <alignment horizontal="center" vertical="center" wrapText="1"/>
    </xf>
    <xf numFmtId="0" fontId="89" fillId="28" borderId="64" xfId="0" applyFont="1" applyFill="1" applyBorder="1" applyAlignment="1">
      <alignment horizontal="center" vertical="center" wrapText="1"/>
    </xf>
    <xf numFmtId="0" fontId="89" fillId="28" borderId="62" xfId="0" applyFont="1" applyFill="1" applyBorder="1" applyAlignment="1">
      <alignment horizontal="center" vertical="center" wrapText="1"/>
    </xf>
    <xf numFmtId="0" fontId="88" fillId="28" borderId="61" xfId="0" applyFont="1" applyFill="1" applyBorder="1" applyAlignment="1">
      <alignment horizontal="center" vertical="center" wrapText="1"/>
    </xf>
    <xf numFmtId="0" fontId="88" fillId="28" borderId="64" xfId="0" applyFont="1" applyFill="1" applyBorder="1" applyAlignment="1">
      <alignment horizontal="center" vertical="center" wrapText="1"/>
    </xf>
    <xf numFmtId="0" fontId="88" fillId="28" borderId="62" xfId="0" applyFont="1" applyFill="1" applyBorder="1" applyAlignment="1">
      <alignment horizontal="center" vertical="center" wrapText="1"/>
    </xf>
    <xf numFmtId="0" fontId="54" fillId="28" borderId="61" xfId="0" applyFont="1" applyFill="1" applyBorder="1" applyAlignment="1">
      <alignment horizontal="center" vertical="center"/>
    </xf>
    <xf numFmtId="0" fontId="54" fillId="28" borderId="64" xfId="0" applyFont="1" applyFill="1" applyBorder="1" applyAlignment="1">
      <alignment horizontal="center" vertical="center"/>
    </xf>
    <xf numFmtId="0" fontId="54" fillId="28" borderId="62" xfId="0" applyFont="1" applyFill="1" applyBorder="1" applyAlignment="1">
      <alignment horizontal="center" vertical="center"/>
    </xf>
    <xf numFmtId="0" fontId="88" fillId="28" borderId="46" xfId="0" applyNumberFormat="1" applyFont="1" applyFill="1" applyBorder="1" applyAlignment="1">
      <alignment horizontal="center" vertical="center" wrapText="1"/>
    </xf>
    <xf numFmtId="205" fontId="88" fillId="0" borderId="63" xfId="0" applyNumberFormat="1" applyFont="1" applyBorder="1" applyAlignment="1">
      <alignment horizontal="center" vertical="center" wrapText="1"/>
    </xf>
    <xf numFmtId="205" fontId="88" fillId="0" borderId="60" xfId="0" applyNumberFormat="1" applyFont="1" applyBorder="1" applyAlignment="1">
      <alignment horizontal="center" vertical="center" wrapText="1"/>
    </xf>
    <xf numFmtId="205" fontId="88" fillId="0" borderId="18" xfId="0" applyNumberFormat="1" applyFont="1" applyBorder="1" applyAlignment="1">
      <alignment horizontal="center" vertical="center" wrapText="1"/>
    </xf>
    <xf numFmtId="205" fontId="88" fillId="0" borderId="19" xfId="0" applyNumberFormat="1" applyFont="1" applyBorder="1" applyAlignment="1">
      <alignment horizontal="center" vertical="center" wrapText="1"/>
    </xf>
    <xf numFmtId="205" fontId="88" fillId="0" borderId="46" xfId="0" applyNumberFormat="1" applyFont="1" applyBorder="1" applyAlignment="1">
      <alignment horizontal="center" vertical="center" wrapText="1"/>
    </xf>
    <xf numFmtId="208" fontId="88" fillId="0" borderId="46" xfId="0" applyNumberFormat="1" applyFont="1" applyBorder="1" applyAlignment="1">
      <alignment horizontal="center" vertical="center" wrapText="1"/>
    </xf>
    <xf numFmtId="205" fontId="88" fillId="0" borderId="61" xfId="0" applyNumberFormat="1" applyFont="1" applyBorder="1" applyAlignment="1">
      <alignment horizontal="center" vertical="center" wrapText="1"/>
    </xf>
    <xf numFmtId="205" fontId="88" fillId="0" borderId="64" xfId="0" applyNumberFormat="1" applyFont="1" applyBorder="1" applyAlignment="1">
      <alignment horizontal="center" vertical="center" wrapText="1"/>
    </xf>
    <xf numFmtId="205" fontId="88" fillId="0" borderId="62" xfId="0" applyNumberFormat="1" applyFont="1" applyBorder="1" applyAlignment="1">
      <alignment horizontal="center" vertical="center" wrapText="1"/>
    </xf>
    <xf numFmtId="207" fontId="88" fillId="0" borderId="46" xfId="0" applyNumberFormat="1" applyFont="1" applyBorder="1" applyAlignment="1">
      <alignment horizontal="center" vertical="center" wrapText="1"/>
    </xf>
    <xf numFmtId="0" fontId="88" fillId="28" borderId="61" xfId="0" applyNumberFormat="1" applyFont="1" applyFill="1" applyBorder="1" applyAlignment="1">
      <alignment horizontal="center" vertical="center" wrapText="1"/>
    </xf>
    <xf numFmtId="0" fontId="88" fillId="28" borderId="64" xfId="0" applyNumberFormat="1" applyFont="1" applyFill="1" applyBorder="1" applyAlignment="1">
      <alignment horizontal="center" vertical="center" wrapText="1"/>
    </xf>
    <xf numFmtId="0" fontId="88" fillId="28" borderId="62" xfId="0" applyNumberFormat="1" applyFont="1" applyFill="1" applyBorder="1" applyAlignment="1">
      <alignment horizontal="center" vertical="center" wrapText="1"/>
    </xf>
    <xf numFmtId="49" fontId="88" fillId="28" borderId="61" xfId="0" applyNumberFormat="1" applyFont="1" applyFill="1" applyBorder="1" applyAlignment="1">
      <alignment horizontal="center" vertical="center" wrapText="1"/>
    </xf>
    <xf numFmtId="49" fontId="88" fillId="28" borderId="64" xfId="0" applyNumberFormat="1" applyFont="1" applyFill="1" applyBorder="1" applyAlignment="1">
      <alignment horizontal="center" vertical="center" wrapText="1"/>
    </xf>
    <xf numFmtId="49" fontId="88" fillId="28" borderId="62" xfId="0" applyNumberFormat="1" applyFont="1" applyFill="1" applyBorder="1" applyAlignment="1">
      <alignment horizontal="center" vertical="center" wrapText="1"/>
    </xf>
    <xf numFmtId="207" fontId="88" fillId="0" borderId="61" xfId="0" applyNumberFormat="1" applyFont="1" applyBorder="1" applyAlignment="1">
      <alignment horizontal="center" vertical="center" wrapText="1"/>
    </xf>
    <xf numFmtId="207" fontId="88" fillId="0" borderId="64" xfId="0" applyNumberFormat="1" applyFont="1" applyBorder="1" applyAlignment="1">
      <alignment horizontal="center" vertical="center" wrapText="1"/>
    </xf>
    <xf numFmtId="207" fontId="88" fillId="0" borderId="62" xfId="0" applyNumberFormat="1" applyFont="1" applyBorder="1" applyAlignment="1">
      <alignment horizontal="center" vertical="center" wrapText="1"/>
    </xf>
    <xf numFmtId="0" fontId="88" fillId="28" borderId="110" xfId="0" applyFont="1" applyFill="1" applyBorder="1" applyAlignment="1">
      <alignment horizontal="center" vertical="center" wrapText="1"/>
    </xf>
    <xf numFmtId="0" fontId="88" fillId="28" borderId="0" xfId="0" applyFont="1" applyFill="1" applyBorder="1" applyAlignment="1">
      <alignment horizontal="center" vertical="center" wrapText="1"/>
    </xf>
    <xf numFmtId="0" fontId="88" fillId="28" borderId="34" xfId="0" applyFont="1" applyFill="1" applyBorder="1" applyAlignment="1">
      <alignment horizontal="center" vertical="center" wrapText="1"/>
    </xf>
    <xf numFmtId="0" fontId="88" fillId="0" borderId="63" xfId="0" applyFont="1" applyBorder="1" applyAlignment="1">
      <alignment horizontal="center" vertical="center" shrinkToFit="1"/>
    </xf>
    <xf numFmtId="0" fontId="88" fillId="0" borderId="60" xfId="0" applyFont="1" applyBorder="1" applyAlignment="1">
      <alignment horizontal="center" vertical="center" shrinkToFit="1"/>
    </xf>
    <xf numFmtId="0" fontId="88" fillId="0" borderId="58" xfId="0" applyFont="1" applyBorder="1" applyAlignment="1">
      <alignment horizontal="center" vertical="center" shrinkToFit="1"/>
    </xf>
    <xf numFmtId="0" fontId="0" fillId="0" borderId="60" xfId="0" applyBorder="1" applyAlignment="1">
      <alignment vertical="center"/>
    </xf>
    <xf numFmtId="0" fontId="0" fillId="0" borderId="58" xfId="0" applyBorder="1" applyAlignment="1">
      <alignment vertical="center"/>
    </xf>
    <xf numFmtId="0" fontId="92" fillId="0" borderId="60" xfId="0" applyFont="1" applyBorder="1" applyAlignment="1">
      <alignment vertical="center"/>
    </xf>
    <xf numFmtId="0" fontId="88" fillId="0" borderId="63" xfId="0" applyFont="1" applyBorder="1" applyAlignment="1">
      <alignment horizontal="center" vertical="center"/>
    </xf>
    <xf numFmtId="0" fontId="88" fillId="0" borderId="58" xfId="0" applyFont="1" applyBorder="1" applyAlignment="1">
      <alignment horizontal="center" vertical="center"/>
    </xf>
    <xf numFmtId="0" fontId="88" fillId="0" borderId="110" xfId="0" applyFont="1" applyBorder="1" applyAlignment="1">
      <alignment horizontal="center" vertical="center"/>
    </xf>
    <xf numFmtId="0" fontId="88" fillId="0" borderId="34" xfId="0" applyFont="1" applyBorder="1" applyAlignment="1">
      <alignment horizontal="center" vertical="center"/>
    </xf>
    <xf numFmtId="0" fontId="88" fillId="0" borderId="61" xfId="0" applyFont="1" applyBorder="1" applyAlignment="1">
      <alignment horizontal="center" vertical="center" shrinkToFit="1"/>
    </xf>
    <xf numFmtId="0" fontId="88" fillId="0" borderId="64" xfId="0" applyFont="1" applyBorder="1" applyAlignment="1">
      <alignment horizontal="center" vertical="center" shrinkToFit="1"/>
    </xf>
    <xf numFmtId="0" fontId="88" fillId="0" borderId="62" xfId="0" applyFont="1" applyBorder="1" applyAlignment="1">
      <alignment horizontal="center" vertical="center" shrinkToFit="1"/>
    </xf>
    <xf numFmtId="0" fontId="0" fillId="0" borderId="64" xfId="0" applyBorder="1" applyAlignment="1">
      <alignment vertical="center"/>
    </xf>
    <xf numFmtId="0" fontId="0" fillId="0" borderId="62" xfId="0" applyBorder="1" applyAlignment="1">
      <alignment vertical="center"/>
    </xf>
    <xf numFmtId="0" fontId="92" fillId="0" borderId="64" xfId="0" applyFont="1" applyBorder="1" applyAlignment="1">
      <alignment vertical="center"/>
    </xf>
    <xf numFmtId="0" fontId="88" fillId="0" borderId="18" xfId="0" applyFont="1" applyBorder="1" applyAlignment="1">
      <alignment horizontal="center" vertical="center" shrinkToFit="1"/>
    </xf>
    <xf numFmtId="0" fontId="88" fillId="0" borderId="19" xfId="0" applyFont="1" applyBorder="1" applyAlignment="1">
      <alignment horizontal="center" vertical="center" shrinkToFit="1"/>
    </xf>
    <xf numFmtId="0" fontId="88" fillId="0" borderId="20" xfId="0" applyFont="1" applyBorder="1" applyAlignment="1">
      <alignment horizontal="center" vertical="center" shrinkToFit="1"/>
    </xf>
    <xf numFmtId="208" fontId="88" fillId="0" borderId="61" xfId="0" applyNumberFormat="1" applyFont="1" applyBorder="1" applyAlignment="1">
      <alignment horizontal="center" vertical="center" wrapText="1"/>
    </xf>
    <xf numFmtId="208" fontId="88" fillId="0" borderId="64" xfId="0" applyNumberFormat="1" applyFont="1" applyBorder="1" applyAlignment="1">
      <alignment horizontal="center" vertical="center" wrapText="1"/>
    </xf>
    <xf numFmtId="208" fontId="88" fillId="0" borderId="62" xfId="0" applyNumberFormat="1" applyFont="1" applyBorder="1" applyAlignment="1">
      <alignment horizontal="center" vertical="center" wrapText="1"/>
    </xf>
    <xf numFmtId="205" fontId="88" fillId="0" borderId="61" xfId="0" applyNumberFormat="1" applyFont="1" applyBorder="1" applyAlignment="1">
      <alignment vertical="center" shrinkToFit="1"/>
    </xf>
    <xf numFmtId="205" fontId="88" fillId="0" borderId="64" xfId="0" applyNumberFormat="1" applyFont="1" applyBorder="1" applyAlignment="1">
      <alignment vertical="center" shrinkToFit="1"/>
    </xf>
    <xf numFmtId="0" fontId="88" fillId="0" borderId="64" xfId="0" applyNumberFormat="1" applyFont="1" applyBorder="1" applyAlignment="1">
      <alignment vertical="center"/>
    </xf>
    <xf numFmtId="0" fontId="88" fillId="0" borderId="62" xfId="0" applyNumberFormat="1" applyFont="1" applyBorder="1" applyAlignment="1">
      <alignment vertical="center"/>
    </xf>
    <xf numFmtId="0" fontId="89" fillId="0" borderId="61" xfId="0" applyFont="1" applyBorder="1" applyAlignment="1">
      <alignment horizontal="left" vertical="center" shrinkToFit="1"/>
    </xf>
    <xf numFmtId="0" fontId="89" fillId="0" borderId="64" xfId="0" applyFont="1" applyBorder="1" applyAlignment="1">
      <alignment horizontal="left" vertical="center" shrinkToFit="1"/>
    </xf>
    <xf numFmtId="0" fontId="89" fillId="0" borderId="62" xfId="0" applyFont="1" applyBorder="1" applyAlignment="1">
      <alignment horizontal="left" vertical="center" shrinkToFit="1"/>
    </xf>
    <xf numFmtId="205" fontId="88" fillId="0" borderId="63" xfId="0" applyNumberFormat="1" applyFont="1" applyBorder="1" applyAlignment="1">
      <alignment vertical="center" shrinkToFit="1"/>
    </xf>
    <xf numFmtId="205" fontId="88" fillId="0" borderId="60" xfId="0" applyNumberFormat="1" applyFont="1" applyBorder="1" applyAlignment="1">
      <alignment vertical="center" shrinkToFit="1"/>
    </xf>
    <xf numFmtId="0" fontId="88" fillId="0" borderId="61" xfId="0" applyFont="1" applyBorder="1" applyAlignment="1">
      <alignment horizontal="center" vertical="center"/>
    </xf>
    <xf numFmtId="0" fontId="88" fillId="0" borderId="62" xfId="0" applyFont="1" applyBorder="1" applyAlignment="1">
      <alignment horizontal="center" vertical="center"/>
    </xf>
    <xf numFmtId="205" fontId="88" fillId="0" borderId="61" xfId="0" applyNumberFormat="1" applyFont="1" applyBorder="1" applyAlignment="1">
      <alignment vertical="center"/>
    </xf>
    <xf numFmtId="205" fontId="88" fillId="0" borderId="64" xfId="0" applyNumberFormat="1" applyFont="1" applyBorder="1" applyAlignment="1">
      <alignment vertical="center"/>
    </xf>
    <xf numFmtId="0" fontId="89" fillId="0" borderId="110" xfId="0" applyFont="1" applyBorder="1" applyAlignment="1">
      <alignment horizontal="center" vertical="center" shrinkToFit="1"/>
    </xf>
    <xf numFmtId="0" fontId="89" fillId="0" borderId="0" xfId="0" applyFont="1" applyBorder="1" applyAlignment="1">
      <alignment horizontal="center" vertical="center" shrinkToFit="1"/>
    </xf>
    <xf numFmtId="0" fontId="89" fillId="0" borderId="34" xfId="0" applyFont="1" applyBorder="1" applyAlignment="1">
      <alignment horizontal="center" vertical="center" shrinkToFit="1"/>
    </xf>
    <xf numFmtId="0" fontId="89" fillId="0" borderId="18" xfId="0" applyFont="1" applyBorder="1" applyAlignment="1">
      <alignment horizontal="center" vertical="center" shrinkToFit="1"/>
    </xf>
    <xf numFmtId="0" fontId="89" fillId="0" borderId="19" xfId="0" applyFont="1" applyBorder="1" applyAlignment="1">
      <alignment horizontal="center" vertical="center" shrinkToFit="1"/>
    </xf>
    <xf numFmtId="0" fontId="89" fillId="0" borderId="20" xfId="0" applyFont="1" applyBorder="1" applyAlignment="1">
      <alignment horizontal="center" vertical="center" shrinkToFit="1"/>
    </xf>
    <xf numFmtId="0" fontId="88" fillId="0" borderId="110" xfId="0" applyFont="1" applyBorder="1" applyAlignment="1">
      <alignment horizontal="center" vertical="center" shrinkToFit="1"/>
    </xf>
    <xf numFmtId="0" fontId="0" fillId="0" borderId="0" xfId="0" applyBorder="1" applyAlignment="1">
      <alignment vertical="center"/>
    </xf>
    <xf numFmtId="0" fontId="0" fillId="0" borderId="34" xfId="0" applyBorder="1" applyAlignment="1">
      <alignment vertical="center"/>
    </xf>
    <xf numFmtId="0" fontId="92" fillId="0" borderId="0" xfId="0" applyFont="1" applyBorder="1" applyAlignment="1">
      <alignment vertical="center"/>
    </xf>
    <xf numFmtId="0" fontId="88" fillId="0" borderId="61" xfId="0" applyNumberFormat="1" applyFont="1" applyBorder="1" applyAlignment="1">
      <alignment horizontal="right" vertical="center" shrinkToFit="1"/>
    </xf>
    <xf numFmtId="0" fontId="88" fillId="0" borderId="64" xfId="0" applyNumberFormat="1" applyFont="1" applyBorder="1" applyAlignment="1">
      <alignment horizontal="right" vertical="center" shrinkToFit="1"/>
    </xf>
    <xf numFmtId="0" fontId="88" fillId="0" borderId="62" xfId="0" applyNumberFormat="1" applyFont="1" applyBorder="1" applyAlignment="1">
      <alignment horizontal="right" vertical="center" shrinkToFit="1"/>
    </xf>
    <xf numFmtId="0" fontId="88" fillId="0" borderId="61" xfId="0" applyFont="1" applyBorder="1" applyAlignment="1">
      <alignment horizontal="right" vertical="center" shrinkToFit="1"/>
    </xf>
    <xf numFmtId="0" fontId="92" fillId="0" borderId="64" xfId="0" applyFont="1" applyBorder="1" applyAlignment="1">
      <alignment horizontal="right" vertical="center"/>
    </xf>
    <xf numFmtId="0" fontId="0" fillId="0" borderId="62" xfId="0" applyBorder="1" applyAlignment="1">
      <alignment horizontal="right" vertical="center"/>
    </xf>
    <xf numFmtId="0" fontId="89" fillId="0" borderId="61" xfId="0" applyFont="1" applyBorder="1" applyAlignment="1">
      <alignment horizontal="right" vertical="center" shrinkToFit="1"/>
    </xf>
    <xf numFmtId="0" fontId="89" fillId="0" borderId="64" xfId="0" applyFont="1" applyBorder="1" applyAlignment="1">
      <alignment horizontal="right" vertical="center" shrinkToFit="1"/>
    </xf>
    <xf numFmtId="0" fontId="89" fillId="0" borderId="62" xfId="0" applyFont="1" applyBorder="1" applyAlignment="1">
      <alignment horizontal="right" vertical="center" shrinkToFit="1"/>
    </xf>
    <xf numFmtId="0" fontId="88" fillId="0" borderId="63" xfId="0" applyNumberFormat="1" applyFont="1" applyBorder="1" applyAlignment="1">
      <alignment horizontal="center" vertical="center" shrinkToFit="1"/>
    </xf>
    <xf numFmtId="0" fontId="88" fillId="0" borderId="60" xfId="0" applyNumberFormat="1" applyFont="1" applyBorder="1" applyAlignment="1">
      <alignment horizontal="center" vertical="center" shrinkToFit="1"/>
    </xf>
    <xf numFmtId="0" fontId="88" fillId="0" borderId="58" xfId="0" applyNumberFormat="1" applyFont="1" applyBorder="1" applyAlignment="1">
      <alignment horizontal="center" vertical="center" shrinkToFit="1"/>
    </xf>
    <xf numFmtId="188" fontId="88" fillId="0" borderId="61" xfId="0" applyNumberFormat="1" applyFont="1" applyBorder="1" applyAlignment="1">
      <alignment horizontal="center" vertical="center" shrinkToFit="1"/>
    </xf>
    <xf numFmtId="188" fontId="88" fillId="0" borderId="64" xfId="0" applyNumberFormat="1" applyFont="1" applyBorder="1" applyAlignment="1">
      <alignment horizontal="center" vertical="center" shrinkToFit="1"/>
    </xf>
    <xf numFmtId="188" fontId="88" fillId="0" borderId="62" xfId="0" applyNumberFormat="1" applyFont="1" applyBorder="1" applyAlignment="1">
      <alignment horizontal="center" vertical="center" shrinkToFit="1"/>
    </xf>
    <xf numFmtId="205" fontId="54" fillId="0" borderId="0" xfId="0" applyNumberFormat="1" applyFont="1" applyBorder="1" applyAlignment="1">
      <alignment horizontal="center" vertical="center"/>
    </xf>
    <xf numFmtId="205" fontId="54" fillId="0" borderId="0" xfId="0" applyNumberFormat="1" applyFont="1" applyBorder="1" applyAlignment="1">
      <alignment vertical="center"/>
    </xf>
    <xf numFmtId="189" fontId="54" fillId="0" borderId="0" xfId="0" applyNumberFormat="1" applyFont="1" applyBorder="1" applyAlignment="1">
      <alignment horizontal="left" vertical="center"/>
    </xf>
    <xf numFmtId="197" fontId="54" fillId="0" borderId="0" xfId="0" applyNumberFormat="1" applyFont="1" applyBorder="1" applyAlignment="1">
      <alignment vertical="center"/>
    </xf>
    <xf numFmtId="0" fontId="54" fillId="0" borderId="0" xfId="0" applyNumberFormat="1" applyFont="1" applyBorder="1" applyAlignment="1">
      <alignment vertical="center"/>
    </xf>
    <xf numFmtId="2" fontId="54" fillId="0" borderId="0" xfId="0" applyNumberFormat="1" applyFont="1" applyBorder="1" applyAlignment="1">
      <alignment horizontal="center" vertical="center"/>
    </xf>
    <xf numFmtId="205" fontId="54" fillId="0" borderId="0" xfId="0" applyNumberFormat="1" applyFont="1" applyBorder="1" applyAlignment="1">
      <alignment horizontal="center" vertical="center" shrinkToFit="1"/>
    </xf>
    <xf numFmtId="209" fontId="54" fillId="0" borderId="19" xfId="0" applyNumberFormat="1" applyFont="1" applyBorder="1" applyAlignment="1">
      <alignment horizontal="center" vertical="center"/>
    </xf>
    <xf numFmtId="0" fontId="54" fillId="0" borderId="31" xfId="0" applyNumberFormat="1" applyFont="1" applyBorder="1" applyAlignment="1">
      <alignment horizontal="center" vertical="center"/>
    </xf>
    <xf numFmtId="0" fontId="54" fillId="0" borderId="60" xfId="0" applyNumberFormat="1" applyFont="1" applyBorder="1" applyAlignment="1">
      <alignment horizontal="center" vertical="center"/>
    </xf>
    <xf numFmtId="0" fontId="54" fillId="0" borderId="0" xfId="0" applyNumberFormat="1" applyFont="1" applyBorder="1" applyAlignment="1">
      <alignment horizontal="left" vertical="center"/>
    </xf>
    <xf numFmtId="205" fontId="88" fillId="0" borderId="64" xfId="0" applyNumberFormat="1" applyFont="1" applyBorder="1" applyAlignment="1">
      <alignment horizontal="center" vertical="center"/>
    </xf>
    <xf numFmtId="0" fontId="88" fillId="0" borderId="60" xfId="0" applyFont="1" applyBorder="1" applyAlignment="1">
      <alignment horizontal="center" vertical="center"/>
    </xf>
    <xf numFmtId="0" fontId="88" fillId="0" borderId="0" xfId="0" applyFont="1" applyBorder="1" applyAlignment="1">
      <alignment horizontal="center" vertical="center"/>
    </xf>
    <xf numFmtId="205" fontId="88" fillId="0" borderId="19" xfId="0" applyNumberFormat="1" applyFont="1" applyBorder="1" applyAlignment="1">
      <alignment horizontal="center" vertical="center"/>
    </xf>
    <xf numFmtId="211" fontId="54" fillId="0" borderId="0" xfId="0" applyNumberFormat="1" applyFont="1" applyBorder="1" applyAlignment="1">
      <alignment horizontal="center" vertical="center" shrinkToFit="1"/>
    </xf>
    <xf numFmtId="0" fontId="54" fillId="0" borderId="19" xfId="0" applyNumberFormat="1" applyFont="1" applyBorder="1" applyAlignment="1">
      <alignment horizontal="center" vertical="center"/>
    </xf>
    <xf numFmtId="205" fontId="54" fillId="0" borderId="19" xfId="0" applyNumberFormat="1" applyFont="1" applyBorder="1" applyAlignment="1">
      <alignment horizontal="center" vertical="center"/>
    </xf>
    <xf numFmtId="205" fontId="88" fillId="0" borderId="0" xfId="0" applyNumberFormat="1" applyFont="1" applyBorder="1" applyAlignment="1">
      <alignment horizontal="center" vertical="center" shrinkToFit="1"/>
    </xf>
    <xf numFmtId="205" fontId="88" fillId="0" borderId="0" xfId="0" applyNumberFormat="1" applyFont="1" applyBorder="1" applyAlignment="1">
      <alignment vertical="center"/>
    </xf>
    <xf numFmtId="0" fontId="88" fillId="0" borderId="111" xfId="0" applyNumberFormat="1" applyFont="1" applyBorder="1" applyAlignment="1">
      <alignment horizontal="center" vertical="center" wrapText="1"/>
    </xf>
    <xf numFmtId="0" fontId="88" fillId="0" borderId="112" xfId="0" applyNumberFormat="1" applyFont="1" applyBorder="1" applyAlignment="1">
      <alignment horizontal="center" vertical="center" wrapText="1"/>
    </xf>
    <xf numFmtId="0" fontId="88" fillId="0" borderId="113" xfId="0" applyNumberFormat="1" applyFont="1" applyBorder="1" applyAlignment="1">
      <alignment horizontal="center" vertical="center" wrapText="1"/>
    </xf>
    <xf numFmtId="0" fontId="88" fillId="0" borderId="18" xfId="0" applyNumberFormat="1" applyFont="1" applyBorder="1" applyAlignment="1">
      <alignment horizontal="center" vertical="center" wrapText="1"/>
    </xf>
    <xf numFmtId="0" fontId="88" fillId="0" borderId="19" xfId="0" applyNumberFormat="1" applyFont="1" applyBorder="1" applyAlignment="1">
      <alignment horizontal="center" vertical="center" wrapText="1"/>
    </xf>
    <xf numFmtId="0" fontId="88" fillId="0" borderId="20" xfId="0" applyNumberFormat="1" applyFont="1" applyBorder="1" applyAlignment="1">
      <alignment horizontal="center" vertical="center" wrapText="1"/>
    </xf>
    <xf numFmtId="0" fontId="88" fillId="0" borderId="111" xfId="0" applyFont="1" applyBorder="1" applyAlignment="1">
      <alignment horizontal="center" vertical="center" wrapText="1"/>
    </xf>
    <xf numFmtId="0" fontId="88" fillId="0" borderId="113" xfId="0" applyFont="1" applyBorder="1" applyAlignment="1">
      <alignment horizontal="center" vertical="center" wrapText="1"/>
    </xf>
    <xf numFmtId="0" fontId="88" fillId="0" borderId="46" xfId="0" applyFont="1" applyBorder="1" applyAlignment="1">
      <alignment horizontal="center" vertical="center" wrapText="1"/>
    </xf>
    <xf numFmtId="0" fontId="88" fillId="0" borderId="111" xfId="0" applyFont="1" applyBorder="1" applyAlignment="1">
      <alignment horizontal="center" vertical="center"/>
    </xf>
    <xf numFmtId="0" fontId="88" fillId="0" borderId="112" xfId="0" applyFont="1" applyBorder="1" applyAlignment="1">
      <alignment horizontal="center" vertical="center"/>
    </xf>
    <xf numFmtId="0" fontId="88" fillId="0" borderId="113" xfId="0" applyFont="1" applyBorder="1" applyAlignment="1">
      <alignment horizontal="center" vertical="center"/>
    </xf>
    <xf numFmtId="0" fontId="88" fillId="0" borderId="18" xfId="0" applyFont="1" applyBorder="1" applyAlignment="1">
      <alignment horizontal="center" vertical="center"/>
    </xf>
    <xf numFmtId="0" fontId="88" fillId="0" borderId="19" xfId="0" applyFont="1" applyBorder="1" applyAlignment="1">
      <alignment horizontal="center" vertical="center"/>
    </xf>
    <xf numFmtId="0" fontId="88" fillId="0" borderId="20" xfId="0" applyFont="1" applyBorder="1" applyAlignment="1">
      <alignment horizontal="center" vertical="center"/>
    </xf>
    <xf numFmtId="0" fontId="88" fillId="0" borderId="34" xfId="0" applyNumberFormat="1" applyFont="1" applyBorder="1" applyAlignment="1">
      <alignment horizontal="center" vertical="center" wrapText="1"/>
    </xf>
    <xf numFmtId="0" fontId="88" fillId="0" borderId="112" xfId="0" applyFont="1" applyBorder="1" applyAlignment="1">
      <alignment horizontal="center" vertical="center" wrapText="1"/>
    </xf>
    <xf numFmtId="203" fontId="88" fillId="0" borderId="0" xfId="0" applyNumberFormat="1" applyFont="1" applyBorder="1" applyAlignment="1">
      <alignment horizontal="left" vertical="center"/>
    </xf>
    <xf numFmtId="211" fontId="54" fillId="0" borderId="0" xfId="0" applyNumberFormat="1" applyFont="1" applyBorder="1" applyAlignment="1">
      <alignment horizontal="left" vertical="center" shrinkToFit="1"/>
    </xf>
    <xf numFmtId="211" fontId="54" fillId="0" borderId="34" xfId="0" applyNumberFormat="1" applyFont="1" applyBorder="1" applyAlignment="1">
      <alignment horizontal="left" vertical="center" shrinkToFit="1"/>
    </xf>
    <xf numFmtId="211" fontId="54" fillId="0" borderId="19" xfId="0" applyNumberFormat="1" applyFont="1" applyBorder="1" applyAlignment="1">
      <alignment horizontal="left" vertical="center" shrinkToFit="1"/>
    </xf>
    <xf numFmtId="211" fontId="54" fillId="0" borderId="20" xfId="0" applyNumberFormat="1" applyFont="1" applyBorder="1" applyAlignment="1">
      <alignment horizontal="left" vertical="center" shrinkToFit="1"/>
    </xf>
    <xf numFmtId="0" fontId="93" fillId="0" borderId="64" xfId="0" applyFont="1" applyBorder="1" applyAlignment="1">
      <alignment horizontal="center" vertical="center" wrapText="1"/>
    </xf>
    <xf numFmtId="0" fontId="93" fillId="0" borderId="62" xfId="0" applyFont="1" applyBorder="1" applyAlignment="1">
      <alignment horizontal="center" vertical="center" wrapText="1"/>
    </xf>
    <xf numFmtId="0" fontId="88" fillId="0" borderId="0" xfId="0" applyNumberFormat="1" applyFont="1" applyBorder="1" applyAlignment="1">
      <alignment horizontal="center" vertical="center"/>
    </xf>
    <xf numFmtId="0" fontId="61" fillId="27" borderId="61" xfId="81" applyFont="1" applyFill="1" applyBorder="1" applyAlignment="1">
      <alignment horizontal="center" vertical="center"/>
    </xf>
    <xf numFmtId="0" fontId="61" fillId="27" borderId="62" xfId="81" applyFont="1" applyFill="1" applyBorder="1" applyAlignment="1">
      <alignment horizontal="center" vertical="center"/>
    </xf>
    <xf numFmtId="0" fontId="61" fillId="27" borderId="64" xfId="81" applyFont="1" applyFill="1" applyBorder="1" applyAlignment="1">
      <alignment horizontal="center" vertical="center"/>
    </xf>
    <xf numFmtId="0" fontId="61" fillId="27" borderId="128" xfId="81" applyFont="1" applyFill="1" applyBorder="1" applyAlignment="1">
      <alignment horizontal="center" vertical="center"/>
    </xf>
    <xf numFmtId="0" fontId="102" fillId="29" borderId="106" xfId="0" applyNumberFormat="1" applyFont="1" applyFill="1" applyBorder="1" applyAlignment="1">
      <alignment horizontal="center" vertical="center" wrapText="1"/>
    </xf>
    <xf numFmtId="0" fontId="102" fillId="29" borderId="99" xfId="0" applyNumberFormat="1" applyFont="1" applyFill="1" applyBorder="1" applyAlignment="1">
      <alignment horizontal="center" vertical="center" wrapText="1"/>
    </xf>
    <xf numFmtId="0" fontId="102" fillId="29" borderId="127" xfId="0" applyNumberFormat="1" applyFont="1" applyFill="1" applyBorder="1" applyAlignment="1">
      <alignment horizontal="center" vertical="center" wrapText="1"/>
    </xf>
    <xf numFmtId="0" fontId="63" fillId="0" borderId="44" xfId="0" applyFont="1" applyBorder="1" applyAlignment="1">
      <alignment horizontal="center" vertical="center"/>
    </xf>
    <xf numFmtId="0" fontId="63" fillId="0" borderId="45" xfId="0" applyFont="1" applyBorder="1" applyAlignment="1">
      <alignment horizontal="center" vertical="center"/>
    </xf>
    <xf numFmtId="0" fontId="61" fillId="27" borderId="110" xfId="81" applyFont="1" applyFill="1" applyBorder="1" applyAlignment="1">
      <alignment horizontal="center" vertical="center"/>
    </xf>
    <xf numFmtId="0" fontId="61" fillId="27" borderId="0" xfId="81" applyFont="1" applyFill="1" applyBorder="1" applyAlignment="1">
      <alignment horizontal="center" vertical="center"/>
    </xf>
    <xf numFmtId="0" fontId="72" fillId="30" borderId="61" xfId="0" applyFont="1" applyFill="1" applyBorder="1" applyAlignment="1">
      <alignment horizontal="center" vertical="center"/>
    </xf>
    <xf numFmtId="0" fontId="72" fillId="30" borderId="64" xfId="0" applyFont="1" applyFill="1" applyBorder="1" applyAlignment="1">
      <alignment horizontal="center" vertical="center"/>
    </xf>
    <xf numFmtId="0" fontId="72" fillId="30" borderId="62" xfId="0" applyFont="1" applyFill="1" applyBorder="1" applyAlignment="1">
      <alignment horizontal="center" vertical="center"/>
    </xf>
    <xf numFmtId="0" fontId="55" fillId="26" borderId="61" xfId="0" applyFont="1" applyFill="1" applyBorder="1" applyAlignment="1">
      <alignment horizontal="center" vertical="center"/>
    </xf>
    <xf numFmtId="0" fontId="55" fillId="26" borderId="62" xfId="0" applyFont="1" applyFill="1" applyBorder="1" applyAlignment="1">
      <alignment horizontal="center" vertical="center"/>
    </xf>
    <xf numFmtId="0" fontId="63" fillId="0" borderId="106" xfId="0" applyFont="1" applyBorder="1" applyAlignment="1">
      <alignment horizontal="center" vertical="center"/>
    </xf>
    <xf numFmtId="0" fontId="63" fillId="0" borderId="99" xfId="0" applyFont="1" applyBorder="1" applyAlignment="1">
      <alignment horizontal="center" vertical="center"/>
    </xf>
    <xf numFmtId="0" fontId="102" fillId="29" borderId="83" xfId="0" applyNumberFormat="1" applyFont="1" applyFill="1" applyBorder="1" applyAlignment="1">
      <alignment horizontal="center" vertical="center"/>
    </xf>
    <xf numFmtId="0" fontId="102" fillId="29" borderId="27" xfId="0" applyNumberFormat="1" applyFont="1" applyFill="1" applyBorder="1" applyAlignment="1">
      <alignment horizontal="center" vertical="center"/>
    </xf>
    <xf numFmtId="0" fontId="102" fillId="29" borderId="26" xfId="0" applyNumberFormat="1" applyFont="1" applyFill="1" applyBorder="1" applyAlignment="1">
      <alignment horizontal="center" vertical="center"/>
    </xf>
    <xf numFmtId="0" fontId="102" fillId="29" borderId="83" xfId="0" applyNumberFormat="1" applyFont="1" applyFill="1" applyBorder="1" applyAlignment="1">
      <alignment horizontal="center" vertical="center" wrapText="1"/>
    </xf>
    <xf numFmtId="0" fontId="102" fillId="29" borderId="26" xfId="0" applyNumberFormat="1" applyFont="1" applyFill="1" applyBorder="1" applyAlignment="1">
      <alignment horizontal="center" vertical="center" wrapText="1"/>
    </xf>
    <xf numFmtId="0" fontId="102" fillId="29" borderId="98" xfId="0" applyNumberFormat="1" applyFont="1" applyFill="1" applyBorder="1" applyAlignment="1">
      <alignment horizontal="center" vertical="center" wrapText="1"/>
    </xf>
    <xf numFmtId="0" fontId="102" fillId="29" borderId="84" xfId="0" applyNumberFormat="1" applyFont="1" applyFill="1" applyBorder="1" applyAlignment="1">
      <alignment horizontal="center" vertical="center"/>
    </xf>
    <xf numFmtId="0" fontId="102" fillId="29" borderId="96" xfId="0" applyNumberFormat="1" applyFont="1" applyFill="1" applyBorder="1" applyAlignment="1">
      <alignment horizontal="center" vertical="center"/>
    </xf>
    <xf numFmtId="0" fontId="102" fillId="29" borderId="100" xfId="0" applyNumberFormat="1" applyFont="1" applyFill="1" applyBorder="1" applyAlignment="1">
      <alignment horizontal="center" vertical="center"/>
    </xf>
    <xf numFmtId="0" fontId="102" fillId="29" borderId="103" xfId="0" applyNumberFormat="1" applyFont="1" applyFill="1" applyBorder="1" applyAlignment="1">
      <alignment horizontal="center" vertical="center"/>
    </xf>
    <xf numFmtId="0" fontId="102" fillId="29" borderId="90" xfId="0" applyNumberFormat="1" applyFont="1" applyFill="1" applyBorder="1" applyAlignment="1">
      <alignment horizontal="center" vertical="center" wrapText="1"/>
    </xf>
    <xf numFmtId="0" fontId="102" fillId="29" borderId="91" xfId="0" applyNumberFormat="1" applyFont="1" applyFill="1" applyBorder="1" applyAlignment="1">
      <alignment horizontal="center" vertical="center" wrapText="1"/>
    </xf>
    <xf numFmtId="0" fontId="102" fillId="29" borderId="92" xfId="0" applyNumberFormat="1" applyFont="1" applyFill="1" applyBorder="1" applyAlignment="1">
      <alignment horizontal="center" vertical="center" wrapText="1"/>
    </xf>
    <xf numFmtId="0" fontId="102" fillId="29" borderId="97" xfId="0" applyNumberFormat="1" applyFont="1" applyFill="1" applyBorder="1" applyAlignment="1">
      <alignment horizontal="center" vertical="center" wrapText="1"/>
    </xf>
    <xf numFmtId="0" fontId="102" fillId="29" borderId="101" xfId="0" applyNumberFormat="1" applyFont="1" applyFill="1" applyBorder="1" applyAlignment="1">
      <alignment horizontal="center" vertical="center" wrapText="1"/>
    </xf>
    <xf numFmtId="0" fontId="102" fillId="29" borderId="102" xfId="0" applyNumberFormat="1" applyFont="1" applyFill="1" applyBorder="1" applyAlignment="1">
      <alignment horizontal="center" vertical="center" wrapText="1"/>
    </xf>
    <xf numFmtId="0" fontId="102" fillId="29" borderId="126" xfId="0" applyNumberFormat="1" applyFont="1" applyFill="1" applyBorder="1" applyAlignment="1">
      <alignment horizontal="center" vertical="center" wrapText="1"/>
    </xf>
    <xf numFmtId="0" fontId="102" fillId="29" borderId="84" xfId="0" applyNumberFormat="1" applyFont="1" applyFill="1" applyBorder="1" applyAlignment="1">
      <alignment horizontal="center" vertical="center" wrapText="1"/>
    </xf>
    <xf numFmtId="0" fontId="102" fillId="29" borderId="27" xfId="0" applyNumberFormat="1" applyFont="1" applyFill="1" applyBorder="1" applyAlignment="1">
      <alignment horizontal="center" vertical="center" wrapText="1"/>
    </xf>
    <xf numFmtId="196" fontId="9" fillId="29" borderId="106" xfId="0" applyNumberFormat="1" applyFont="1" applyFill="1" applyBorder="1" applyAlignment="1">
      <alignment horizontal="center" vertical="center" wrapText="1"/>
    </xf>
    <xf numFmtId="196" fontId="9" fillId="29" borderId="99" xfId="0" applyNumberFormat="1" applyFont="1" applyFill="1" applyBorder="1" applyAlignment="1">
      <alignment horizontal="center" vertical="center" wrapText="1"/>
    </xf>
    <xf numFmtId="0" fontId="102" fillId="29" borderId="90" xfId="0" applyNumberFormat="1" applyFont="1" applyFill="1" applyBorder="1" applyAlignment="1">
      <alignment horizontal="center" vertical="center"/>
    </xf>
    <xf numFmtId="0" fontId="102" fillId="29" borderId="91" xfId="0" applyNumberFormat="1" applyFont="1" applyFill="1" applyBorder="1" applyAlignment="1">
      <alignment horizontal="center" vertical="center"/>
    </xf>
    <xf numFmtId="0" fontId="102" fillId="29" borderId="92" xfId="0" applyNumberFormat="1" applyFont="1" applyFill="1" applyBorder="1" applyAlignment="1">
      <alignment horizontal="center" vertical="center"/>
    </xf>
    <xf numFmtId="0" fontId="102" fillId="29" borderId="85" xfId="0" applyNumberFormat="1" applyFont="1" applyFill="1" applyBorder="1" applyAlignment="1">
      <alignment horizontal="center" vertical="center" wrapText="1"/>
    </xf>
    <xf numFmtId="0" fontId="102" fillId="29" borderId="86" xfId="0" applyNumberFormat="1" applyFont="1" applyFill="1" applyBorder="1" applyAlignment="1">
      <alignment horizontal="center" vertical="center" wrapText="1"/>
    </xf>
    <xf numFmtId="0" fontId="102" fillId="29" borderId="87" xfId="0" applyNumberFormat="1" applyFont="1" applyFill="1" applyBorder="1" applyAlignment="1">
      <alignment horizontal="center" vertical="center" wrapText="1"/>
    </xf>
    <xf numFmtId="0" fontId="102" fillId="29" borderId="106" xfId="0" applyNumberFormat="1" applyFont="1" applyFill="1" applyBorder="1" applyAlignment="1">
      <alignment horizontal="center" vertical="center"/>
    </xf>
    <xf numFmtId="0" fontId="102" fillId="29" borderId="98" xfId="0" applyNumberFormat="1" applyFont="1" applyFill="1" applyBorder="1" applyAlignment="1">
      <alignment horizontal="center" vertical="center"/>
    </xf>
    <xf numFmtId="0" fontId="102" fillId="29" borderId="99" xfId="0" applyNumberFormat="1" applyFont="1" applyFill="1" applyBorder="1" applyAlignment="1">
      <alignment horizontal="center" vertical="center"/>
    </xf>
    <xf numFmtId="0" fontId="54" fillId="0" borderId="95" xfId="0" applyNumberFormat="1" applyFont="1" applyBorder="1" applyAlignment="1">
      <alignment horizontal="center" vertical="center" wrapText="1"/>
    </xf>
    <xf numFmtId="0" fontId="54" fillId="0" borderId="104" xfId="0" applyNumberFormat="1" applyFont="1" applyBorder="1" applyAlignment="1">
      <alignment horizontal="center" vertical="center" wrapText="1"/>
    </xf>
    <xf numFmtId="0" fontId="54" fillId="0" borderId="13" xfId="0" applyNumberFormat="1" applyFont="1" applyBorder="1" applyAlignment="1">
      <alignment horizontal="center" vertical="center" wrapText="1"/>
    </xf>
    <xf numFmtId="0" fontId="6" fillId="29" borderId="106" xfId="0" applyNumberFormat="1" applyFont="1" applyFill="1" applyBorder="1" applyAlignment="1">
      <alignment horizontal="center" vertical="center"/>
    </xf>
    <xf numFmtId="0" fontId="6" fillId="29" borderId="98" xfId="0" applyNumberFormat="1" applyFont="1" applyFill="1" applyBorder="1" applyAlignment="1">
      <alignment horizontal="center" vertical="center"/>
    </xf>
    <xf numFmtId="0" fontId="6" fillId="29" borderId="99" xfId="0" applyNumberFormat="1" applyFont="1" applyFill="1" applyBorder="1" applyAlignment="1">
      <alignment horizontal="center" vertical="center"/>
    </xf>
    <xf numFmtId="41" fontId="54" fillId="0" borderId="95" xfId="132" applyFont="1" applyBorder="1" applyAlignment="1">
      <alignment horizontal="center" vertical="center"/>
    </xf>
    <xf numFmtId="41" fontId="54" fillId="0" borderId="104" xfId="132" applyFont="1" applyBorder="1" applyAlignment="1">
      <alignment horizontal="center" vertical="center"/>
    </xf>
    <xf numFmtId="41" fontId="54" fillId="0" borderId="13" xfId="132" applyFont="1" applyBorder="1" applyAlignment="1">
      <alignment horizontal="center" vertical="center"/>
    </xf>
    <xf numFmtId="196" fontId="6" fillId="29" borderId="108" xfId="0" applyNumberFormat="1" applyFont="1" applyFill="1" applyBorder="1" applyAlignment="1">
      <alignment horizontal="center" vertical="center"/>
    </xf>
    <xf numFmtId="196" fontId="6" fillId="29" borderId="109" xfId="0" applyNumberFormat="1" applyFont="1" applyFill="1" applyBorder="1" applyAlignment="1">
      <alignment horizontal="center" vertical="center"/>
    </xf>
    <xf numFmtId="0" fontId="115" fillId="29" borderId="90" xfId="133" applyNumberFormat="1" applyFont="1" applyFill="1" applyBorder="1" applyAlignment="1">
      <alignment horizontal="center" vertical="center" wrapText="1"/>
    </xf>
    <xf numFmtId="0" fontId="114" fillId="29" borderId="92" xfId="133" applyNumberFormat="1" applyFont="1" applyFill="1" applyBorder="1" applyAlignment="1">
      <alignment horizontal="center" vertical="center" wrapText="1"/>
    </xf>
    <xf numFmtId="0" fontId="6" fillId="29" borderId="83" xfId="0" applyNumberFormat="1" applyFont="1" applyFill="1" applyBorder="1" applyAlignment="1">
      <alignment horizontal="center" vertical="center"/>
    </xf>
    <xf numFmtId="0" fontId="6" fillId="29" borderId="126" xfId="0" applyNumberFormat="1" applyFont="1" applyFill="1" applyBorder="1" applyAlignment="1">
      <alignment horizontal="center" vertical="center"/>
    </xf>
    <xf numFmtId="0" fontId="54" fillId="0" borderId="61" xfId="0" applyNumberFormat="1" applyFont="1" applyBorder="1" applyAlignment="1">
      <alignment horizontal="center" vertical="center"/>
    </xf>
    <xf numFmtId="0" fontId="54" fillId="0" borderId="64" xfId="0" applyNumberFormat="1" applyFont="1" applyBorder="1" applyAlignment="1">
      <alignment horizontal="center" vertical="center"/>
    </xf>
    <xf numFmtId="0" fontId="54" fillId="0" borderId="62" xfId="0" applyNumberFormat="1" applyFont="1" applyBorder="1" applyAlignment="1">
      <alignment horizontal="center" vertical="center"/>
    </xf>
    <xf numFmtId="0" fontId="9" fillId="29" borderId="84" xfId="0" applyNumberFormat="1" applyFont="1" applyFill="1" applyBorder="1" applyAlignment="1">
      <alignment horizontal="center" vertical="center" wrapText="1"/>
    </xf>
    <xf numFmtId="0" fontId="102" fillId="29" borderId="125" xfId="0" applyNumberFormat="1" applyFont="1" applyFill="1" applyBorder="1" applyAlignment="1">
      <alignment horizontal="center" vertical="center"/>
    </xf>
    <xf numFmtId="0" fontId="9" fillId="29" borderId="84" xfId="0" applyNumberFormat="1" applyFont="1" applyFill="1" applyBorder="1" applyAlignment="1">
      <alignment horizontal="center" vertical="center"/>
    </xf>
    <xf numFmtId="0" fontId="9" fillId="29" borderId="90" xfId="0" applyNumberFormat="1" applyFont="1" applyFill="1" applyBorder="1" applyAlignment="1">
      <alignment horizontal="center" vertical="center"/>
    </xf>
  </cellXfs>
  <cellStyles count="146">
    <cellStyle name="??&amp;O?&amp;H?_x0008__x000f__x0007_?_x0007__x0001__x0001_" xfId="1"/>
    <cellStyle name="??&amp;O?&amp;H?_x0008_??_x0007__x0001__x0001_" xfId="2"/>
    <cellStyle name="æØè [0.00]_PRODUCT DETAIL Q1" xfId="3"/>
    <cellStyle name="æØè_PRODUCT DETAIL Q1" xfId="4"/>
    <cellStyle name="ÊÝ [0.00]_PRODUCT DETAIL Q1" xfId="5"/>
    <cellStyle name="ÊÝ_PRODUCT DETAIL Q1" xfId="6"/>
    <cellStyle name="W?_BOOKSHIP" xfId="7"/>
    <cellStyle name="W_BOOKSHIP" xfId="8"/>
    <cellStyle name="20% - 강조색1" xfId="9" builtinId="30" customBuiltin="1"/>
    <cellStyle name="20% - 강조색1 2" xfId="88"/>
    <cellStyle name="20% - 강조색2" xfId="10" builtinId="34" customBuiltin="1"/>
    <cellStyle name="20% - 강조색2 2" xfId="89"/>
    <cellStyle name="20% - 강조색3" xfId="11" builtinId="38" customBuiltin="1"/>
    <cellStyle name="20% - 강조색3 2" xfId="90"/>
    <cellStyle name="20% - 강조색4" xfId="12" builtinId="42" customBuiltin="1"/>
    <cellStyle name="20% - 강조색4 2" xfId="91"/>
    <cellStyle name="20% - 강조색5" xfId="13" builtinId="46" customBuiltin="1"/>
    <cellStyle name="20% - 강조색5 2" xfId="92"/>
    <cellStyle name="20% - 강조색6" xfId="14" builtinId="50" customBuiltin="1"/>
    <cellStyle name="20% - 강조색6 2" xfId="93"/>
    <cellStyle name="40% - 강조색1" xfId="15" builtinId="31" customBuiltin="1"/>
    <cellStyle name="40% - 강조색1 2" xfId="94"/>
    <cellStyle name="40% - 강조색2" xfId="16" builtinId="35" customBuiltin="1"/>
    <cellStyle name="40% - 강조색2 2" xfId="95"/>
    <cellStyle name="40% - 강조색3" xfId="17" builtinId="39" customBuiltin="1"/>
    <cellStyle name="40% - 강조색3 2" xfId="96"/>
    <cellStyle name="40% - 강조색4" xfId="18" builtinId="43" customBuiltin="1"/>
    <cellStyle name="40% - 강조색4 2" xfId="97"/>
    <cellStyle name="40% - 강조색5" xfId="19" builtinId="47" customBuiltin="1"/>
    <cellStyle name="40% - 강조색5 2" xfId="98"/>
    <cellStyle name="40% - 강조색6" xfId="20" builtinId="51" customBuiltin="1"/>
    <cellStyle name="40% - 강조색6 2" xfId="99"/>
    <cellStyle name="60% - 강조색1" xfId="21" builtinId="32" customBuiltin="1"/>
    <cellStyle name="60% - 강조색1 2" xfId="100"/>
    <cellStyle name="60% - 강조색2" xfId="22" builtinId="36" customBuiltin="1"/>
    <cellStyle name="60% - 강조색2 2" xfId="101"/>
    <cellStyle name="60% - 강조색3" xfId="23" builtinId="40" customBuiltin="1"/>
    <cellStyle name="60% - 강조색3 2" xfId="102"/>
    <cellStyle name="60% - 강조색4" xfId="24" builtinId="44" customBuiltin="1"/>
    <cellStyle name="60% - 강조색4 2" xfId="103"/>
    <cellStyle name="60% - 강조색5" xfId="25" builtinId="48" customBuiltin="1"/>
    <cellStyle name="60% - 강조색5 2" xfId="104"/>
    <cellStyle name="60% - 강조색6" xfId="26" builtinId="52" customBuiltin="1"/>
    <cellStyle name="60% - 강조색6 2" xfId="105"/>
    <cellStyle name="ÅëÈ­ [0]_¸ÅÃâ" xfId="27"/>
    <cellStyle name="ÅëÈ­_¸ÅÃâ" xfId="28"/>
    <cellStyle name="ÄÞ¸¶ [0]_¸ÅÃâ" xfId="29"/>
    <cellStyle name="ÄÞ¸¶_¸ÅÃâ" xfId="30"/>
    <cellStyle name="Ç¥ÁØ_(Á¤º¸ºÎ¹®)¿ùº°ÀÎ¿ø°èÈ¹" xfId="31"/>
    <cellStyle name="Comma [0]_ SG&amp;A Bridge " xfId="32"/>
    <cellStyle name="Comma_ SG&amp;A Bridge " xfId="33"/>
    <cellStyle name="Currency [0]_ SG&amp;A Bridge " xfId="34"/>
    <cellStyle name="Currency_ SG&amp;A Bridge " xfId="35"/>
    <cellStyle name="Grey" xfId="36"/>
    <cellStyle name="Input [yellow]" xfId="37"/>
    <cellStyle name="Input [yellow] 2" xfId="106"/>
    <cellStyle name="Input [yellow] 3" xfId="140"/>
    <cellStyle name="Normal - Style1" xfId="38"/>
    <cellStyle name="Normal_ SG&amp;A Bridge " xfId="39"/>
    <cellStyle name="Percent [2]" xfId="40"/>
    <cellStyle name="강조색1" xfId="41" builtinId="29" customBuiltin="1"/>
    <cellStyle name="강조색1 2" xfId="107"/>
    <cellStyle name="강조색2" xfId="42" builtinId="33" customBuiltin="1"/>
    <cellStyle name="강조색2 2" xfId="108"/>
    <cellStyle name="강조색3" xfId="43" builtinId="37" customBuiltin="1"/>
    <cellStyle name="강조색3 2" xfId="109"/>
    <cellStyle name="강조색4" xfId="44" builtinId="41" customBuiltin="1"/>
    <cellStyle name="강조색4 2" xfId="110"/>
    <cellStyle name="강조색5" xfId="45" builtinId="45" customBuiltin="1"/>
    <cellStyle name="강조색5 2" xfId="111"/>
    <cellStyle name="강조색6" xfId="46" builtinId="49" customBuiltin="1"/>
    <cellStyle name="강조색6 2" xfId="112"/>
    <cellStyle name="경고문" xfId="47" builtinId="11" customBuiltin="1"/>
    <cellStyle name="경고문 2" xfId="113"/>
    <cellStyle name="계산" xfId="48" builtinId="22" customBuiltin="1"/>
    <cellStyle name="계산 2" xfId="114"/>
    <cellStyle name="계산 2 2" xfId="136"/>
    <cellStyle name="계산 3" xfId="141"/>
    <cellStyle name="나쁨" xfId="49" builtinId="27" customBuiltin="1"/>
    <cellStyle name="나쁨 2" xfId="115"/>
    <cellStyle name="뒤에 오는 하이퍼링크_불확도(OPM)" xfId="50"/>
    <cellStyle name="메모" xfId="51" builtinId="10" customBuiltin="1"/>
    <cellStyle name="메모 2" xfId="116"/>
    <cellStyle name="메모 2 2" xfId="137"/>
    <cellStyle name="메모 3" xfId="142"/>
    <cellStyle name="백분율" xfId="82" builtinId="5"/>
    <cellStyle name="백분율 2" xfId="83"/>
    <cellStyle name="보통" xfId="52" builtinId="28" customBuiltin="1"/>
    <cellStyle name="보통 2" xfId="117"/>
    <cellStyle name="뷭?_BOOKSHIP" xfId="53"/>
    <cellStyle name="설명 텍스트" xfId="54" builtinId="53" customBuiltin="1"/>
    <cellStyle name="설명 텍스트 2" xfId="118"/>
    <cellStyle name="셀 확인" xfId="55" builtinId="23" customBuiltin="1"/>
    <cellStyle name="셀 확인 2" xfId="119"/>
    <cellStyle name="쉼표 [0]" xfId="132" builtinId="6"/>
    <cellStyle name="쉼표 [0] 2" xfId="139"/>
    <cellStyle name="쉼표 [0] 3" xfId="135"/>
    <cellStyle name="스타일 1" xfId="56"/>
    <cellStyle name="연결된 셀" xfId="57" builtinId="24" customBuiltin="1"/>
    <cellStyle name="연결된 셀 2" xfId="120"/>
    <cellStyle name="요약" xfId="58" builtinId="25" customBuiltin="1"/>
    <cellStyle name="요약 2" xfId="121"/>
    <cellStyle name="요약 3" xfId="143"/>
    <cellStyle name="입력" xfId="59" builtinId="20" customBuiltin="1"/>
    <cellStyle name="입력 2" xfId="122"/>
    <cellStyle name="입력 2 2" xfId="138"/>
    <cellStyle name="입력 3" xfId="144"/>
    <cellStyle name="제목" xfId="60" builtinId="15" customBuiltin="1"/>
    <cellStyle name="제목 1" xfId="61" builtinId="16" customBuiltin="1"/>
    <cellStyle name="제목 1 2" xfId="124"/>
    <cellStyle name="제목 2" xfId="62" builtinId="17" customBuiltin="1"/>
    <cellStyle name="제목 2 2" xfId="125"/>
    <cellStyle name="제목 3" xfId="63" builtinId="18" customBuiltin="1"/>
    <cellStyle name="제목 3 2" xfId="126"/>
    <cellStyle name="제목 4" xfId="64" builtinId="19" customBuiltin="1"/>
    <cellStyle name="제목 4 2" xfId="127"/>
    <cellStyle name="제목 5" xfId="123"/>
    <cellStyle name="좋음" xfId="65" builtinId="26" customBuiltin="1"/>
    <cellStyle name="좋음 2" xfId="128"/>
    <cellStyle name="출력" xfId="66" builtinId="21" customBuiltin="1"/>
    <cellStyle name="출력 2" xfId="129"/>
    <cellStyle name="출력 3" xfId="145"/>
    <cellStyle name="콤마 [0]_  갑 지  " xfId="67"/>
    <cellStyle name="콤마_  갑 지  " xfId="68"/>
    <cellStyle name="표준" xfId="0" builtinId="0" customBuiltin="1"/>
    <cellStyle name="표준 10" xfId="86"/>
    <cellStyle name="표준 2" xfId="69"/>
    <cellStyle name="표준 2 2" xfId="70"/>
    <cellStyle name="표준 2 3" xfId="84"/>
    <cellStyle name="표준 2 3 2" xfId="85"/>
    <cellStyle name="표준 3" xfId="71"/>
    <cellStyle name="표준 3 2" xfId="72"/>
    <cellStyle name="표준 3 3" xfId="73"/>
    <cellStyle name="표준 4" xfId="74"/>
    <cellStyle name="표준 5" xfId="75"/>
    <cellStyle name="표준 6" xfId="76"/>
    <cellStyle name="표준 7" xfId="77"/>
    <cellStyle name="표준 8" xfId="130"/>
    <cellStyle name="표준 9" xfId="87"/>
    <cellStyle name="표준_AGLIENT 34401A(12.22)" xfId="78"/>
    <cellStyle name="표준_ESS-2000" xfId="79"/>
    <cellStyle name="표준_R3267" xfId="133"/>
    <cellStyle name="표준_Sheet1" xfId="81"/>
    <cellStyle name="표준_교정결과" xfId="134"/>
    <cellStyle name="표준_영문Reg004-X" xfId="131"/>
    <cellStyle name="표준_최신샘플" xfId="8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174593</xdr:colOff>
      <xdr:row>16</xdr:row>
      <xdr:rowOff>13176</xdr:rowOff>
    </xdr:from>
    <xdr:ext cx="254557" cy="3181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2451068" y="3470751"/>
              <a:ext cx="254557" cy="3181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2451068" y="3470751"/>
              <a:ext cx="254557" cy="3181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1/𝑆=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5</xdr:col>
      <xdr:colOff>422243</xdr:colOff>
      <xdr:row>18</xdr:row>
      <xdr:rowOff>13176</xdr:rowOff>
    </xdr:from>
    <xdr:ext cx="146835" cy="1946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2698718" y="3851751"/>
              <a:ext cx="146835" cy="1946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bar>
                      <m:barPr>
                        <m:pos m:val="top"/>
                        <m:ctrlPr>
                          <a:rPr lang="en-US" altLang="ko-K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barPr>
                      <m:e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ba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2698718" y="3851751"/>
              <a:ext cx="146835" cy="1946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¯(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𝑉_𝑖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6</xdr:col>
      <xdr:colOff>412718</xdr:colOff>
      <xdr:row>18</xdr:row>
      <xdr:rowOff>13176</xdr:rowOff>
    </xdr:from>
    <xdr:ext cx="15151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3613118" y="3851751"/>
              <a:ext cx="15151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3613118" y="3851751"/>
              <a:ext cx="15151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𝑝_𝑖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5</xdr:col>
      <xdr:colOff>571500</xdr:colOff>
      <xdr:row>14</xdr:row>
      <xdr:rowOff>19050</xdr:rowOff>
    </xdr:from>
    <xdr:ext cx="691856" cy="3181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/>
            <xdr:cNvSpPr txBox="1"/>
          </xdr:nvSpPr>
          <xdr:spPr>
            <a:xfrm>
              <a:off x="2847975" y="3095625"/>
              <a:ext cx="691856" cy="3181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altLang="ko-K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den>
                    </m:f>
                    <m:r>
                      <a:rPr lang="en-US" altLang="ko-K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bar>
                      <m:barPr>
                        <m:pos m:val="top"/>
                        <m:ctrlPr>
                          <a:rPr lang="en-US" altLang="ko-K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barPr>
                      <m:e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ba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2847975" y="3095625"/>
              <a:ext cx="691856" cy="3181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𝑝_𝑖</a:t>
              </a:r>
              <a:r>
                <a:rPr lang="en-US" altLang="ko-KR" sz="1100" i="0">
                  <a:latin typeface="Cambria Math" panose="02040503050406030204" pitchFamily="18" charset="0"/>
                </a:rPr>
                <a:t>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1/𝑆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×¯(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𝑉_𝑖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5</xdr:col>
      <xdr:colOff>9525</xdr:colOff>
      <xdr:row>36</xdr:row>
      <xdr:rowOff>14287</xdr:rowOff>
    </xdr:from>
    <xdr:ext cx="37568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2200275" y="7281862"/>
              <a:ext cx="3756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=2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2200275" y="7281862"/>
              <a:ext cx="3756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𝑘=2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571500</xdr:colOff>
      <xdr:row>14</xdr:row>
      <xdr:rowOff>19050</xdr:rowOff>
    </xdr:from>
    <xdr:ext cx="691856" cy="3181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2847975" y="3095625"/>
              <a:ext cx="691856" cy="3181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altLang="ko-K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den>
                    </m:f>
                    <m:r>
                      <a:rPr lang="en-US" altLang="ko-K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bar>
                      <m:barPr>
                        <m:pos m:val="top"/>
                        <m:ctrlPr>
                          <a:rPr lang="en-US" altLang="ko-K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barPr>
                      <m:e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ba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2847975" y="3095625"/>
              <a:ext cx="691856" cy="3181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𝑝_𝑖</a:t>
              </a:r>
              <a:r>
                <a:rPr lang="en-US" altLang="ko-KR" sz="1100" i="0">
                  <a:latin typeface="Cambria Math" panose="02040503050406030204" pitchFamily="18" charset="0"/>
                </a:rPr>
                <a:t>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1/𝑆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×¯(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𝑉_𝑖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5</xdr:col>
      <xdr:colOff>171450</xdr:colOff>
      <xdr:row>16</xdr:row>
      <xdr:rowOff>9525</xdr:rowOff>
    </xdr:from>
    <xdr:ext cx="254557" cy="3181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2447925" y="3467100"/>
              <a:ext cx="254557" cy="3181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2447925" y="3467100"/>
              <a:ext cx="254557" cy="3181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1/𝑆=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5</xdr:col>
      <xdr:colOff>422243</xdr:colOff>
      <xdr:row>18</xdr:row>
      <xdr:rowOff>13176</xdr:rowOff>
    </xdr:from>
    <xdr:ext cx="146835" cy="1946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2698718" y="3851751"/>
              <a:ext cx="146835" cy="1946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bar>
                      <m:barPr>
                        <m:pos m:val="top"/>
                        <m:ctrlPr>
                          <a:rPr lang="en-US" altLang="ko-K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barPr>
                      <m:e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ba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2698718" y="3851751"/>
              <a:ext cx="146835" cy="1946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¯(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𝑉_𝑖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6</xdr:col>
      <xdr:colOff>412718</xdr:colOff>
      <xdr:row>18</xdr:row>
      <xdr:rowOff>13176</xdr:rowOff>
    </xdr:from>
    <xdr:ext cx="15151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3613118" y="3851751"/>
              <a:ext cx="15151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3613118" y="3851751"/>
              <a:ext cx="15151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𝑝_𝑖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5</xdr:col>
      <xdr:colOff>723900</xdr:colOff>
      <xdr:row>36</xdr:row>
      <xdr:rowOff>9525</xdr:rowOff>
    </xdr:from>
    <xdr:ext cx="37568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2914650" y="7277100"/>
              <a:ext cx="3756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=2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2914650" y="7277100"/>
              <a:ext cx="3756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𝑘=2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30</xdr:row>
      <xdr:rowOff>9525</xdr:rowOff>
    </xdr:from>
    <xdr:to>
      <xdr:col>7</xdr:col>
      <xdr:colOff>267929</xdr:colOff>
      <xdr:row>30</xdr:row>
      <xdr:rowOff>181752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733550" y="15278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733550" y="15278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35</xdr:row>
      <xdr:rowOff>0</xdr:rowOff>
    </xdr:from>
    <xdr:to>
      <xdr:col>7</xdr:col>
      <xdr:colOff>933450</xdr:colOff>
      <xdr:row>37</xdr:row>
      <xdr:rowOff>109538</xdr:rowOff>
    </xdr:to>
    <xdr:pic>
      <xdr:nvPicPr>
        <xdr:cNvPr id="2" name="그림 1" descr="HCT로고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457700" y="7077075"/>
          <a:ext cx="1885950" cy="4905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41</xdr:col>
      <xdr:colOff>9525</xdr:colOff>
      <xdr:row>11</xdr:row>
      <xdr:rowOff>23812</xdr:rowOff>
    </xdr:from>
    <xdr:ext cx="146835" cy="1751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6257925" y="2300287"/>
              <a:ext cx="146835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ko-KR" alt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6257925" y="2300287"/>
              <a:ext cx="146835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110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𝑉_𝑖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 ) ̅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33</xdr:col>
      <xdr:colOff>66675</xdr:colOff>
      <xdr:row>52</xdr:row>
      <xdr:rowOff>52387</xdr:rowOff>
    </xdr:from>
    <xdr:ext cx="758349" cy="3718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5095875" y="11701462"/>
              <a:ext cx="758349" cy="3718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𝑆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b>
                              <m:sSub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bSup>
                              <m:sSubSup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  <m:sup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e>
                        </m:nary>
                      </m:den>
                    </m:f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5095875" y="11701462"/>
              <a:ext cx="758349" cy="3718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𝑆=(∑▒〖𝑥_𝑖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∙𝑦_𝑖 〗)/(∑▒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𝑥_𝑖^2 )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20</xdr:col>
      <xdr:colOff>38100</xdr:colOff>
      <xdr:row>81</xdr:row>
      <xdr:rowOff>142875</xdr:rowOff>
    </xdr:from>
    <xdr:ext cx="146835" cy="1751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6" name="TextBox 115"/>
            <xdr:cNvSpPr txBox="1"/>
          </xdr:nvSpPr>
          <xdr:spPr>
            <a:xfrm>
              <a:off x="3086100" y="18421350"/>
              <a:ext cx="146835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ko-KR" alt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6" name="TextBox 115"/>
            <xdr:cNvSpPr txBox="1"/>
          </xdr:nvSpPr>
          <xdr:spPr>
            <a:xfrm>
              <a:off x="3086100" y="18421350"/>
              <a:ext cx="146835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110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𝑉_𝑖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 ) ̅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0</xdr:col>
      <xdr:colOff>147637</xdr:colOff>
      <xdr:row>177</xdr:row>
      <xdr:rowOff>19051</xdr:rowOff>
    </xdr:from>
    <xdr:ext cx="842964" cy="1952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5" name="TextBox 154"/>
            <xdr:cNvSpPr txBox="1"/>
          </xdr:nvSpPr>
          <xdr:spPr>
            <a:xfrm>
              <a:off x="452437" y="67903726"/>
              <a:ext cx="842964" cy="1952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ko-KR" altLang="ko-KR">
                <a:effectLst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ko-KR" altLang="ko-KR">
                <a:effectLst/>
              </a:endParaRPr>
            </a:p>
            <a:p>
              <a:pPr algn="l"/>
              <a:endParaRPr lang="ko-KR" altLang="en-US" sz="1100"/>
            </a:p>
          </xdr:txBody>
        </xdr:sp>
      </mc:Choice>
      <mc:Fallback xmlns="">
        <xdr:sp macro="" textlink="">
          <xdr:nvSpPr>
            <xdr:cNvPr id="155" name="TextBox 154"/>
            <xdr:cNvSpPr txBox="1"/>
          </xdr:nvSpPr>
          <xdr:spPr>
            <a:xfrm>
              <a:off x="452437" y="67903726"/>
              <a:ext cx="842964" cy="1952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𝑢_𝑐^2=𝑢_𝑠^2+𝑢_𝑖^2</a:t>
              </a:r>
              <a:endParaRPr lang="ko-KR" altLang="ko-KR">
                <a:effectLst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ko-KR" altLang="ko-KR">
                <a:effectLst/>
              </a:endParaRPr>
            </a:p>
            <a:p>
              <a:pPr algn="l"/>
              <a:endParaRPr lang="ko-KR" altLang="en-US" sz="1100"/>
            </a:p>
          </xdr:txBody>
        </xdr:sp>
      </mc:Fallback>
    </mc:AlternateContent>
    <xdr:clientData/>
  </xdr:oneCellAnchor>
  <xdr:oneCellAnchor>
    <xdr:from>
      <xdr:col>3</xdr:col>
      <xdr:colOff>95250</xdr:colOff>
      <xdr:row>178</xdr:row>
      <xdr:rowOff>28575</xdr:rowOff>
    </xdr:from>
    <xdr:ext cx="1021242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6" name="TextBox 155"/>
            <xdr:cNvSpPr txBox="1"/>
          </xdr:nvSpPr>
          <xdr:spPr>
            <a:xfrm>
              <a:off x="857250" y="68141850"/>
              <a:ext cx="102124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6" name="TextBox 155"/>
            <xdr:cNvSpPr txBox="1"/>
          </xdr:nvSpPr>
          <xdr:spPr>
            <a:xfrm>
              <a:off x="857250" y="68141850"/>
              <a:ext cx="102124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100012</xdr:colOff>
      <xdr:row>178</xdr:row>
      <xdr:rowOff>28575</xdr:rowOff>
    </xdr:from>
    <xdr:ext cx="1021242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7" name="TextBox 156"/>
            <xdr:cNvSpPr txBox="1"/>
          </xdr:nvSpPr>
          <xdr:spPr>
            <a:xfrm>
              <a:off x="2081212" y="68141850"/>
              <a:ext cx="102124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7" name="TextBox 156"/>
            <xdr:cNvSpPr txBox="1"/>
          </xdr:nvSpPr>
          <xdr:spPr>
            <a:xfrm>
              <a:off x="2081212" y="68141850"/>
              <a:ext cx="102124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</xdr:col>
      <xdr:colOff>95251</xdr:colOff>
      <xdr:row>179</xdr:row>
      <xdr:rowOff>28575</xdr:rowOff>
    </xdr:from>
    <xdr:ext cx="1021242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8" name="TextBox 157"/>
            <xdr:cNvSpPr txBox="1"/>
          </xdr:nvSpPr>
          <xdr:spPr>
            <a:xfrm>
              <a:off x="857251" y="68370450"/>
              <a:ext cx="102124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8" name="TextBox 157"/>
            <xdr:cNvSpPr txBox="1"/>
          </xdr:nvSpPr>
          <xdr:spPr>
            <a:xfrm>
              <a:off x="857251" y="68370450"/>
              <a:ext cx="102124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28575</xdr:colOff>
      <xdr:row>206</xdr:row>
      <xdr:rowOff>28575</xdr:rowOff>
    </xdr:from>
    <xdr:ext cx="835037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9" name="TextBox 158"/>
            <xdr:cNvSpPr txBox="1"/>
          </xdr:nvSpPr>
          <xdr:spPr>
            <a:xfrm>
              <a:off x="1857375" y="74542650"/>
              <a:ext cx="835037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9" name="TextBox 158"/>
            <xdr:cNvSpPr txBox="1"/>
          </xdr:nvSpPr>
          <xdr:spPr>
            <a:xfrm>
              <a:off x="1857375" y="74542650"/>
              <a:ext cx="835037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latin typeface="Cambria Math" panose="02040503050406030204" pitchFamily="18" charset="0"/>
                </a:rPr>
                <a:t>(      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4760</xdr:colOff>
      <xdr:row>207</xdr:row>
      <xdr:rowOff>28574</xdr:rowOff>
    </xdr:from>
    <xdr:ext cx="835037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0" name="TextBox 159"/>
            <xdr:cNvSpPr txBox="1"/>
          </xdr:nvSpPr>
          <xdr:spPr>
            <a:xfrm>
              <a:off x="1376360" y="74771249"/>
              <a:ext cx="835037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0" name="TextBox 159"/>
            <xdr:cNvSpPr txBox="1"/>
          </xdr:nvSpPr>
          <xdr:spPr>
            <a:xfrm>
              <a:off x="1376360" y="74771249"/>
              <a:ext cx="835037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latin typeface="Cambria Math" panose="02040503050406030204" pitchFamily="18" charset="0"/>
                </a:rPr>
                <a:t>(      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17</xdr:col>
      <xdr:colOff>4760</xdr:colOff>
      <xdr:row>207</xdr:row>
      <xdr:rowOff>28574</xdr:rowOff>
    </xdr:from>
    <xdr:ext cx="835037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1" name="TextBox 160"/>
            <xdr:cNvSpPr txBox="1"/>
          </xdr:nvSpPr>
          <xdr:spPr>
            <a:xfrm>
              <a:off x="2290760" y="74771249"/>
              <a:ext cx="835037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1" name="TextBox 160"/>
            <xdr:cNvSpPr txBox="1"/>
          </xdr:nvSpPr>
          <xdr:spPr>
            <a:xfrm>
              <a:off x="2290760" y="74771249"/>
              <a:ext cx="835037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latin typeface="Cambria Math" panose="02040503050406030204" pitchFamily="18" charset="0"/>
                </a:rPr>
                <a:t>(      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38103</xdr:colOff>
      <xdr:row>206</xdr:row>
      <xdr:rowOff>28575</xdr:rowOff>
    </xdr:from>
    <xdr:ext cx="1476375" cy="6096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2" name="TextBox 161"/>
            <xdr:cNvSpPr txBox="1"/>
          </xdr:nvSpPr>
          <xdr:spPr>
            <a:xfrm>
              <a:off x="190503" y="74542650"/>
              <a:ext cx="1476375" cy="609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altLang="ko-KR" sz="1100" i="1">
                            <a:latin typeface="Cambria Math" panose="02040503050406030204" pitchFamily="18" charset="0"/>
                          </a:rPr>
                          <m:t>ν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𝑒𝑓𝑓</m:t>
                        </m:r>
                      </m:sub>
                    </m:sSub>
                    <m:r>
                      <a:rPr lang="en-US" altLang="ko-K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nary>
                          <m:naryPr>
                            <m:chr m:val="∑"/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</m:sup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begChr m:val="["/>
                                        <m:endChr m:val="]"/>
                                        <m:ctrlP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𝑐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𝑢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)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</m:sup>
                                </m:sSup>
                              </m:num>
                              <m:den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ν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nary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2" name="TextBox 161"/>
            <xdr:cNvSpPr txBox="1"/>
          </xdr:nvSpPr>
          <xdr:spPr>
            <a:xfrm>
              <a:off x="190503" y="74542650"/>
              <a:ext cx="1476375" cy="609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ν_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𝑒𝑓𝑓</a:t>
              </a:r>
              <a:r>
                <a:rPr lang="en-US" altLang="ko-KR" sz="1100" i="0">
                  <a:latin typeface="Cambria Math" panose="02040503050406030204" pitchFamily="18" charset="0"/>
                </a:rPr>
                <a:t>=(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𝑢_𝑐^4 (𝑦))/(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∑_(𝑖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1)^𝑁▒[𝑐_𝑖 〖𝑢(𝑥〗_𝑖)]^4/ν_𝑖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123823</xdr:colOff>
      <xdr:row>217</xdr:row>
      <xdr:rowOff>166688</xdr:rowOff>
    </xdr:from>
    <xdr:ext cx="614362" cy="33337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3" name="TextBox 162"/>
            <xdr:cNvSpPr txBox="1"/>
          </xdr:nvSpPr>
          <xdr:spPr>
            <a:xfrm>
              <a:off x="2257423" y="77195363"/>
              <a:ext cx="614362" cy="3333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altLang="ko-K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𝑖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3" name="TextBox 162"/>
            <xdr:cNvSpPr txBox="1"/>
          </xdr:nvSpPr>
          <xdr:spPr>
            <a:xfrm>
              <a:off x="2257423" y="77195363"/>
              <a:ext cx="614362" cy="3333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𝑝_𝑖</a:t>
              </a:r>
              <a:r>
                <a:rPr lang="en-US" altLang="ko-KR" sz="1100" i="0">
                  <a:latin typeface="Cambria Math" panose="02040503050406030204" pitchFamily="18" charset="0"/>
                </a:rPr>
                <a:t>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1/𝑆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∙(𝑉_𝑖 ) ̅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57147</xdr:colOff>
      <xdr:row>219</xdr:row>
      <xdr:rowOff>52388</xdr:rowOff>
    </xdr:from>
    <xdr:ext cx="228602" cy="33337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4" name="TextBox 163"/>
            <xdr:cNvSpPr txBox="1"/>
          </xdr:nvSpPr>
          <xdr:spPr>
            <a:xfrm>
              <a:off x="1733547" y="77538263"/>
              <a:ext cx="228602" cy="3333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4" name="TextBox 163"/>
            <xdr:cNvSpPr txBox="1"/>
          </xdr:nvSpPr>
          <xdr:spPr>
            <a:xfrm>
              <a:off x="1733547" y="77538263"/>
              <a:ext cx="228602" cy="3333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1/𝑆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41</xdr:col>
      <xdr:colOff>38100</xdr:colOff>
      <xdr:row>254</xdr:row>
      <xdr:rowOff>19050</xdr:rowOff>
    </xdr:from>
    <xdr:ext cx="146835" cy="1751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5" name="TextBox 164"/>
            <xdr:cNvSpPr txBox="1"/>
          </xdr:nvSpPr>
          <xdr:spPr>
            <a:xfrm>
              <a:off x="6286500" y="85267800"/>
              <a:ext cx="146835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ko-KR" alt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5" name="TextBox 164"/>
            <xdr:cNvSpPr txBox="1"/>
          </xdr:nvSpPr>
          <xdr:spPr>
            <a:xfrm>
              <a:off x="6286500" y="85267800"/>
              <a:ext cx="146835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110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𝑉_𝑖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 ) ̅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33</xdr:col>
      <xdr:colOff>61913</xdr:colOff>
      <xdr:row>295</xdr:row>
      <xdr:rowOff>42862</xdr:rowOff>
    </xdr:from>
    <xdr:ext cx="758349" cy="3718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6" name="TextBox 165"/>
            <xdr:cNvSpPr txBox="1"/>
          </xdr:nvSpPr>
          <xdr:spPr>
            <a:xfrm>
              <a:off x="5091113" y="94664212"/>
              <a:ext cx="758349" cy="3718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𝑆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b>
                              <m:sSub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bSup>
                              <m:sSubSup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  <m:sup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e>
                        </m:nary>
                      </m:den>
                    </m:f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6" name="TextBox 165"/>
            <xdr:cNvSpPr txBox="1"/>
          </xdr:nvSpPr>
          <xdr:spPr>
            <a:xfrm>
              <a:off x="5091113" y="94664212"/>
              <a:ext cx="758349" cy="3718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𝑆=(∑▒〖𝑥_𝑖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∙𝑦_𝑖 〗)/(∑▒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𝑥_𝑖^2 )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20</xdr:col>
      <xdr:colOff>42862</xdr:colOff>
      <xdr:row>324</xdr:row>
      <xdr:rowOff>138113</xdr:rowOff>
    </xdr:from>
    <xdr:ext cx="146835" cy="1751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7" name="TextBox 166"/>
            <xdr:cNvSpPr txBox="1"/>
          </xdr:nvSpPr>
          <xdr:spPr>
            <a:xfrm>
              <a:off x="3090862" y="101388863"/>
              <a:ext cx="146835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ko-KR" alt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7" name="TextBox 166"/>
            <xdr:cNvSpPr txBox="1"/>
          </xdr:nvSpPr>
          <xdr:spPr>
            <a:xfrm>
              <a:off x="3090862" y="101388863"/>
              <a:ext cx="146835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110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𝑉_𝑖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 ) ̅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4756</xdr:colOff>
      <xdr:row>394</xdr:row>
      <xdr:rowOff>52388</xdr:rowOff>
    </xdr:from>
    <xdr:ext cx="2129365" cy="5186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8" name="TextBox 167"/>
            <xdr:cNvSpPr txBox="1"/>
          </xdr:nvSpPr>
          <xdr:spPr>
            <a:xfrm>
              <a:off x="157156" y="117305138"/>
              <a:ext cx="2129365" cy="518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800" b="0" i="1">
                        <a:latin typeface="Cambria Math" panose="02040503050406030204" pitchFamily="18" charset="0"/>
                      </a:rPr>
                      <m:t>𝑐</m:t>
                    </m:r>
                    <m:r>
                      <a:rPr lang="en-US" altLang="ko-KR" sz="18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altLang="ko-KR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8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b>
                        <m:r>
                          <a:rPr lang="en-US" altLang="ko-KR" sz="18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n-US" altLang="ko-KR" sz="18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altLang="ko-KR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8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b>
                        <m:r>
                          <a:rPr lang="en-US" altLang="ko-KR" sz="18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altLang="ko-KR" sz="18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altLang="ko-KR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8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b>
                        <m:r>
                          <a:rPr lang="en-US" altLang="ko-KR" sz="18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n-US" altLang="ko-KR" sz="18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US" altLang="ko-KR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ko-KR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8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altLang="ko-KR" sz="18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num>
                      <m:den>
                        <m:r>
                          <a:rPr lang="en-US" altLang="ko-KR" sz="1800" b="0" i="1">
                            <a:latin typeface="Cambria Math" panose="02040503050406030204" pitchFamily="18" charset="0"/>
                          </a:rPr>
                          <m:t>𝑆</m:t>
                        </m:r>
                      </m:den>
                    </m:f>
                  </m:oMath>
                </m:oMathPara>
              </a14:m>
              <a:endParaRPr lang="ko-KR" altLang="en-US" sz="1800"/>
            </a:p>
          </xdr:txBody>
        </xdr:sp>
      </mc:Choice>
      <mc:Fallback xmlns="">
        <xdr:sp macro="" textlink="">
          <xdr:nvSpPr>
            <xdr:cNvPr id="168" name="TextBox 167"/>
            <xdr:cNvSpPr txBox="1"/>
          </xdr:nvSpPr>
          <xdr:spPr>
            <a:xfrm>
              <a:off x="157156" y="117305138"/>
              <a:ext cx="2129365" cy="518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800" b="0" i="0">
                  <a:latin typeface="Cambria Math" panose="02040503050406030204" pitchFamily="18" charset="0"/>
                </a:rPr>
                <a:t>𝑐=𝑝_𝑠−𝑝_𝑖=𝑝_𝑠−𝑉_𝑖/𝑆</a:t>
              </a:r>
              <a:endParaRPr lang="ko-KR" altLang="en-US" sz="1800"/>
            </a:p>
          </xdr:txBody>
        </xdr:sp>
      </mc:Fallback>
    </mc:AlternateContent>
    <xdr:clientData/>
  </xdr:oneCellAnchor>
  <xdr:oneCellAnchor>
    <xdr:from>
      <xdr:col>3</xdr:col>
      <xdr:colOff>0</xdr:colOff>
      <xdr:row>402</xdr:row>
      <xdr:rowOff>42867</xdr:rowOff>
    </xdr:from>
    <xdr:ext cx="1033232" cy="3722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9" name="TextBox 168"/>
            <xdr:cNvSpPr txBox="1"/>
          </xdr:nvSpPr>
          <xdr:spPr>
            <a:xfrm>
              <a:off x="457200" y="119124417"/>
              <a:ext cx="1033232" cy="3722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𝑆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𝑋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latin typeface="Cambria Math" panose="02040503050406030204" pitchFamily="18" charset="0"/>
                              </a:rPr>
                              <m:t>output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𝑋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latin typeface="Cambria Math" panose="02040503050406030204" pitchFamily="18" charset="0"/>
                              </a:rPr>
                              <m:t>input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9" name="TextBox 168"/>
            <xdr:cNvSpPr txBox="1"/>
          </xdr:nvSpPr>
          <xdr:spPr>
            <a:xfrm>
              <a:off x="457200" y="119124417"/>
              <a:ext cx="1033232" cy="3722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𝑆=𝑋_output/𝑋_input =𝑉_𝑖/𝑝_𝑠 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</xdr:col>
      <xdr:colOff>4760</xdr:colOff>
      <xdr:row>406</xdr:row>
      <xdr:rowOff>0</xdr:rowOff>
    </xdr:from>
    <xdr:ext cx="966547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0" name="TextBox 169"/>
            <xdr:cNvSpPr txBox="1"/>
          </xdr:nvSpPr>
          <xdr:spPr>
            <a:xfrm>
              <a:off x="309560" y="119995950"/>
              <a:ext cx="966547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Sup>
                          <m:sSub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0" name="TextBox 169"/>
            <xdr:cNvSpPr txBox="1"/>
          </xdr:nvSpPr>
          <xdr:spPr>
            <a:xfrm>
              <a:off x="309560" y="119995950"/>
              <a:ext cx="966547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latin typeface="Cambria Math" panose="02040503050406030204" pitchFamily="18" charset="0"/>
                </a:rPr>
                <a:t>𝑢_𝑐=√(𝑢_𝑠^2+𝑢_𝑖^2 )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</xdr:col>
      <xdr:colOff>4760</xdr:colOff>
      <xdr:row>407</xdr:row>
      <xdr:rowOff>200025</xdr:rowOff>
    </xdr:from>
    <xdr:ext cx="2059730" cy="1961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1" name="TextBox 170"/>
            <xdr:cNvSpPr txBox="1"/>
          </xdr:nvSpPr>
          <xdr:spPr>
            <a:xfrm>
              <a:off x="309560" y="120424575"/>
              <a:ext cx="2059730" cy="1961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𝐷𝑀𝑀</m:t>
                        </m:r>
                      </m:sub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bSup>
                      <m:sSub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𝑧𝑒𝑟𝑜</m:t>
                        </m:r>
                      </m:sub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bSup>
                      <m:sSub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𝑟𝑒𝑝</m:t>
                        </m:r>
                      </m:sub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bSup>
                      <m:sSub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h𝑦𝑠</m:t>
                        </m:r>
                      </m:sub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1" name="TextBox 170"/>
            <xdr:cNvSpPr txBox="1"/>
          </xdr:nvSpPr>
          <xdr:spPr>
            <a:xfrm>
              <a:off x="309560" y="120424575"/>
              <a:ext cx="2059730" cy="1961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latin typeface="Cambria Math" panose="02040503050406030204" pitchFamily="18" charset="0"/>
                </a:rPr>
                <a:t>𝑢_𝑖^2=𝑢_𝐷𝑀𝑀^2+𝑢_𝑧𝑒𝑟𝑜^2+𝑢_𝑟𝑒𝑝^2+𝑢_ℎ𝑦𝑠^2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</xdr:col>
      <xdr:colOff>4761</xdr:colOff>
      <xdr:row>410</xdr:row>
      <xdr:rowOff>9525</xdr:rowOff>
    </xdr:from>
    <xdr:ext cx="5006755" cy="10287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2" name="TextBox 171"/>
            <xdr:cNvSpPr txBox="1"/>
          </xdr:nvSpPr>
          <xdr:spPr>
            <a:xfrm>
              <a:off x="461961" y="120919875"/>
              <a:ext cx="5006755" cy="10287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num>
                      <m:den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=1,  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=−1,  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𝐷𝑀𝑀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𝐷𝑀𝑀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=1,  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𝑧𝑒𝑟𝑜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𝑧𝑒𝑟𝑜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</m:t>
                    </m:r>
                  </m:oMath>
                </m:oMathPara>
              </a14:m>
              <a:endParaRPr lang="en-US" altLang="ko-KR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altLang="ko-KR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𝑟𝑒𝑝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𝑟𝑒𝑝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=1,  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h𝑦𝑠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h𝑦𝑠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</m:t>
                    </m:r>
                  </m:oMath>
                </m:oMathPara>
              </a14:m>
              <a:endParaRPr lang="ko-KR" altLang="ko-KR">
                <a:effectLst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ko-KR" altLang="ko-KR">
                <a:effectLst/>
              </a:endParaRPr>
            </a:p>
            <a:p>
              <a:pPr algn="l"/>
              <a:endParaRPr lang="ko-KR" altLang="en-US" sz="1100"/>
            </a:p>
          </xdr:txBody>
        </xdr:sp>
      </mc:Choice>
      <mc:Fallback xmlns="">
        <xdr:sp macro="" textlink="">
          <xdr:nvSpPr>
            <xdr:cNvPr id="172" name="TextBox 171"/>
            <xdr:cNvSpPr txBox="1"/>
          </xdr:nvSpPr>
          <xdr:spPr>
            <a:xfrm>
              <a:off x="461961" y="120919875"/>
              <a:ext cx="5006755" cy="10287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𝑐_(𝑝_𝑠 )=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𝑐/(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𝑝_𝑠 )=1,  𝑐_(𝑝_𝑖 )=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𝑐/(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𝑝_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1,  𝑐_(𝑝_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𝐷𝑀𝑀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)=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𝑐/(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𝑝_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𝐷𝑀𝑀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)=1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𝑐_(𝑝_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𝑧𝑒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𝑟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𝑜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)=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𝑐/(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𝑝_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𝑧𝑒𝑟𝑜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)=1</a:t>
              </a:r>
              <a:endParaRPr lang="en-US" altLang="ko-KR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altLang="ko-KR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𝑐_(𝑝_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𝑟𝑒𝑝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)=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𝑐/(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𝑝_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𝑟𝑒𝑝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)=1,  𝑐_(𝑝_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ℎ𝑦𝑠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)=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𝑐/(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𝑝_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ℎ𝑦𝑠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)=1</a:t>
              </a:r>
              <a:endParaRPr lang="ko-KR" altLang="ko-KR">
                <a:effectLst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ko-KR" altLang="ko-KR">
                <a:effectLst/>
              </a:endParaRPr>
            </a:p>
            <a:p>
              <a:pPr algn="l"/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4763</xdr:colOff>
      <xdr:row>446</xdr:row>
      <xdr:rowOff>138118</xdr:rowOff>
    </xdr:from>
    <xdr:ext cx="3544304" cy="5196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0" name="TextBox 179"/>
            <xdr:cNvSpPr txBox="1"/>
          </xdr:nvSpPr>
          <xdr:spPr>
            <a:xfrm>
              <a:off x="1071563" y="129278068"/>
              <a:ext cx="3544304" cy="5196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𝑚𝑔</m:t>
                            </m:r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1−</m:t>
                                </m:r>
                                <m:f>
                                  <m:f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sSub>
                                      <m:sSubPr>
                                        <m:ctrlPr>
                                          <a:rPr lang="en-US" altLang="ko-KR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ko-KR" altLang="en-US" sz="1100" b="0" i="1">
                                            <a:latin typeface="Cambria Math" panose="02040503050406030204" pitchFamily="18" charset="0"/>
                                          </a:rPr>
                                          <m:t>𝜌</m:t>
                                        </m:r>
                                      </m:e>
                                      <m:sub>
                                        <m:r>
                                          <a:rPr lang="en-US" altLang="ko-KR" sz="1100" b="0" i="1">
                                            <a:latin typeface="Cambria Math" panose="02040503050406030204" pitchFamily="18" charset="0"/>
                                          </a:rPr>
                                          <m:t>𝑎</m:t>
                                        </m:r>
                                      </m:sub>
                                    </m:sSub>
                                  </m:num>
                                  <m:den>
                                    <m:sSub>
                                      <m:sSubPr>
                                        <m:ctrlPr>
                                          <a:rPr lang="en-US" altLang="ko-KR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ko-KR" altLang="en-US" sz="1100" b="0" i="1">
                                            <a:latin typeface="Cambria Math" panose="02040503050406030204" pitchFamily="18" charset="0"/>
                                          </a:rPr>
                                          <m:t>𝜌</m:t>
                                        </m:r>
                                      </m:e>
                                      <m:sub>
                                        <m:r>
                                          <a:rPr lang="en-US" altLang="ko-KR" sz="1100" b="0" i="1">
                                            <a:latin typeface="Cambria Math" panose="02040503050406030204" pitchFamily="18" charset="0"/>
                                          </a:rPr>
                                          <m:t>𝑚</m:t>
                                        </m:r>
                                      </m:sub>
                                    </m:sSub>
                                  </m:den>
                                </m:f>
                              </m:e>
                            </m:d>
                            <m:func>
                              <m:func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US" altLang="ko-KR" sz="1100" b="0" i="0">
                                    <a:latin typeface="Cambria Math" panose="02040503050406030204" pitchFamily="18" charset="0"/>
                                  </a:rPr>
                                  <m:t>cos</m:t>
                                </m:r>
                              </m:fName>
                              <m:e>
                                <m:r>
                                  <a:rPr lang="ko-KR" altLang="en-US" sz="1100" b="0" i="1">
                                    <a:latin typeface="Cambria Math" panose="02040503050406030204" pitchFamily="18" charset="0"/>
                                  </a:rPr>
                                  <m:t>𝜃</m:t>
                                </m:r>
                              </m:e>
                            </m:func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𝛾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</m:nary>
                      </m:num>
                      <m:den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𝜆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𝑃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b>
                            </m:sSub>
                          </m:e>
                        </m:d>
                        <m:d>
                          <m:dPr>
                            <m:begChr m:val="["/>
                            <m:endChr m:val="]"/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ko-KR" altLang="en-US" sz="1100" b="0" i="1">
                                        <a:latin typeface="Cambria Math" panose="02040503050406030204" pitchFamily="18" charset="0"/>
                                      </a:rPr>
                                      <m:t>𝛼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  <m:t>𝑝</m:t>
                                    </m:r>
                                  </m:sub>
                                </m:sSub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ko-KR" altLang="en-US" sz="1100" b="0" i="1">
                                        <a:latin typeface="Cambria Math" panose="02040503050406030204" pitchFamily="18" charset="0"/>
                                      </a:rPr>
                                      <m:t>𝛼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  <m:t>𝑐</m:t>
                                    </m:r>
                                  </m:sub>
                                </m:sSub>
                              </m:e>
                            </m:d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  <m:t>𝑇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  <m:t>𝑟</m:t>
                                    </m:r>
                                  </m:sub>
                                </m:sSub>
                              </m:e>
                            </m:d>
                          </m:e>
                        </m:d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sub>
                        </m:s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𝑔h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0" name="TextBox 179"/>
            <xdr:cNvSpPr txBox="1"/>
          </xdr:nvSpPr>
          <xdr:spPr>
            <a:xfrm>
              <a:off x="1071563" y="129278068"/>
              <a:ext cx="3544304" cy="5196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latin typeface="Cambria Math" panose="02040503050406030204" pitchFamily="18" charset="0"/>
                </a:rPr>
                <a:t>𝑃=(∑▒〖𝑚𝑔(1−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𝜌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_𝑎/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𝜌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_𝑚 )  cos⁡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𝜃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+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𝛾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𝐶〗)/(𝐴_0 (1+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𝜆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𝑃_𝑛 )[1+(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_𝑝+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_𝑐 )(𝑇−𝑇_𝑟 )] )+(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𝜌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_𝑓−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𝜌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_𝑎 )𝑔ℎ=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9528</xdr:colOff>
      <xdr:row>451</xdr:row>
      <xdr:rowOff>19056</xdr:rowOff>
    </xdr:from>
    <xdr:ext cx="86902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1" name="TextBox 180"/>
            <xdr:cNvSpPr txBox="1"/>
          </xdr:nvSpPr>
          <xdr:spPr>
            <a:xfrm>
              <a:off x="1076328" y="130302006"/>
              <a:ext cx="8690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𝑌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𝑎𝑋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1" name="TextBox 180"/>
            <xdr:cNvSpPr txBox="1"/>
          </xdr:nvSpPr>
          <xdr:spPr>
            <a:xfrm>
              <a:off x="1076328" y="130302006"/>
              <a:ext cx="8690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latin typeface="Cambria Math" panose="02040503050406030204" pitchFamily="18" charset="0"/>
                </a:rPr>
                <a:t>𝑌=𝑎𝑋+𝑏=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79775</xdr:colOff>
      <xdr:row>459</xdr:row>
      <xdr:rowOff>40488</xdr:rowOff>
    </xdr:from>
    <xdr:ext cx="853311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2" name="TextBox 181"/>
            <xdr:cNvSpPr txBox="1"/>
          </xdr:nvSpPr>
          <xdr:spPr>
            <a:xfrm>
              <a:off x="1146575" y="131923638"/>
              <a:ext cx="853311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𝑈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𝑘</m:t>
                        </m:r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2" name="TextBox 181"/>
            <xdr:cNvSpPr txBox="1"/>
          </xdr:nvSpPr>
          <xdr:spPr>
            <a:xfrm>
              <a:off x="1146575" y="131923638"/>
              <a:ext cx="853311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latin typeface="Cambria Math" panose="02040503050406030204" pitchFamily="18" charset="0"/>
                </a:rPr>
                <a:t>𝑢_𝑠=𝑃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×𝑈/𝑘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4764</xdr:colOff>
      <xdr:row>467</xdr:row>
      <xdr:rowOff>42869</xdr:rowOff>
    </xdr:from>
    <xdr:ext cx="985837" cy="4095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3" name="TextBox 182"/>
            <xdr:cNvSpPr txBox="1"/>
          </xdr:nvSpPr>
          <xdr:spPr>
            <a:xfrm>
              <a:off x="1071564" y="132611819"/>
              <a:ext cx="985837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num>
                      <m:den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3" name="TextBox 182"/>
            <xdr:cNvSpPr txBox="1"/>
          </xdr:nvSpPr>
          <xdr:spPr>
            <a:xfrm>
              <a:off x="1071564" y="132611819"/>
              <a:ext cx="985837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𝑐_(𝑝_𝑠 )=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𝑐/(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𝑝_𝑠 )=1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4760</xdr:colOff>
      <xdr:row>479</xdr:row>
      <xdr:rowOff>45244</xdr:rowOff>
    </xdr:from>
    <xdr:ext cx="985837" cy="4095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4" name="TextBox 183"/>
            <xdr:cNvSpPr txBox="1"/>
          </xdr:nvSpPr>
          <xdr:spPr>
            <a:xfrm>
              <a:off x="1071560" y="135357394"/>
              <a:ext cx="985837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4" name="TextBox 183"/>
            <xdr:cNvSpPr txBox="1"/>
          </xdr:nvSpPr>
          <xdr:spPr>
            <a:xfrm>
              <a:off x="1071560" y="135357394"/>
              <a:ext cx="985837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𝑐_(𝑝_𝑖 )=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𝑐/(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𝑝_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141682</xdr:colOff>
      <xdr:row>475</xdr:row>
      <xdr:rowOff>42867</xdr:rowOff>
    </xdr:from>
    <xdr:ext cx="2142061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5" name="TextBox 184"/>
            <xdr:cNvSpPr txBox="1"/>
          </xdr:nvSpPr>
          <xdr:spPr>
            <a:xfrm>
              <a:off x="1208482" y="134440617"/>
              <a:ext cx="2142061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𝐷𝑀𝑀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Sup>
                          <m:sSub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𝑧𝑒𝑟𝑜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Sup>
                          <m:sSub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𝑟𝑒𝑝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Sup>
                          <m:sSub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h𝑦𝑠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5" name="TextBox 184"/>
            <xdr:cNvSpPr txBox="1"/>
          </xdr:nvSpPr>
          <xdr:spPr>
            <a:xfrm>
              <a:off x="1208482" y="134440617"/>
              <a:ext cx="2142061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latin typeface="Cambria Math" panose="02040503050406030204" pitchFamily="18" charset="0"/>
                </a:rPr>
                <a:t>𝑢_𝑖=√(𝑢_𝐷𝑀𝑀^2+𝑢_𝑧𝑒𝑟𝑜^2+𝑢_𝑟𝑒𝑝^2+𝑢_ℎ𝑦𝑠^2 )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136918</xdr:colOff>
      <xdr:row>476</xdr:row>
      <xdr:rowOff>204792</xdr:rowOff>
    </xdr:from>
    <xdr:ext cx="3428439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6" name="TextBox 185"/>
            <xdr:cNvSpPr txBox="1"/>
          </xdr:nvSpPr>
          <xdr:spPr>
            <a:xfrm>
              <a:off x="1356118" y="134831142"/>
              <a:ext cx="3428439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6" name="TextBox 185"/>
            <xdr:cNvSpPr txBox="1"/>
          </xdr:nvSpPr>
          <xdr:spPr>
            <a:xfrm>
              <a:off x="1356118" y="134831142"/>
              <a:ext cx="3428439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latin typeface="Cambria Math" panose="02040503050406030204" pitchFamily="18" charset="0"/>
                </a:rPr>
                <a:t>=√(〖 (              )〗^2  + (             )^2+(              )^2+(              )^2 )=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23813</xdr:colOff>
      <xdr:row>482</xdr:row>
      <xdr:rowOff>26193</xdr:rowOff>
    </xdr:from>
    <xdr:ext cx="1333500" cy="6096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7" name="TextBox 186"/>
            <xdr:cNvSpPr txBox="1"/>
          </xdr:nvSpPr>
          <xdr:spPr>
            <a:xfrm>
              <a:off x="1090613" y="136024143"/>
              <a:ext cx="1333500" cy="609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altLang="ko-KR" sz="1100" i="1">
                            <a:latin typeface="Cambria Math" panose="02040503050406030204" pitchFamily="18" charset="0"/>
                          </a:rPr>
                          <m:t>ν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altLang="ko-K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bSup>
                      </m:num>
                      <m:den>
                        <m:nary>
                          <m:naryPr>
                            <m:chr m:val="∑"/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</m:sup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begChr m:val="["/>
                                        <m:endChr m:val="]"/>
                                        <m:ctrlP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𝑐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𝑢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)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</m:sup>
                                </m:sSup>
                              </m:num>
                              <m:den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ν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nary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7" name="TextBox 186"/>
            <xdr:cNvSpPr txBox="1"/>
          </xdr:nvSpPr>
          <xdr:spPr>
            <a:xfrm>
              <a:off x="1090613" y="136024143"/>
              <a:ext cx="1333500" cy="609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ν_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𝑖</a:t>
              </a:r>
              <a:r>
                <a:rPr lang="en-US" altLang="ko-KR" sz="1100" i="0">
                  <a:latin typeface="Cambria Math" panose="02040503050406030204" pitchFamily="18" charset="0"/>
                </a:rPr>
                <a:t>=(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𝑢_𝑖^4)/(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∑_(𝑖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1)^𝑁▒[𝑐_𝑖 〖𝑢(𝑥〗_𝑖)]^4/ν_𝑖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16</xdr:col>
      <xdr:colOff>3555</xdr:colOff>
      <xdr:row>483</xdr:row>
      <xdr:rowOff>28580</xdr:rowOff>
    </xdr:from>
    <xdr:ext cx="835037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8" name="TextBox 187"/>
            <xdr:cNvSpPr txBox="1"/>
          </xdr:nvSpPr>
          <xdr:spPr>
            <a:xfrm>
              <a:off x="2441955" y="136255130"/>
              <a:ext cx="835037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8" name="TextBox 187"/>
            <xdr:cNvSpPr txBox="1"/>
          </xdr:nvSpPr>
          <xdr:spPr>
            <a:xfrm>
              <a:off x="2441955" y="136255130"/>
              <a:ext cx="835037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latin typeface="Cambria Math" panose="02040503050406030204" pitchFamily="18" charset="0"/>
                </a:rPr>
                <a:t>(      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22</xdr:col>
      <xdr:colOff>3555</xdr:colOff>
      <xdr:row>483</xdr:row>
      <xdr:rowOff>28580</xdr:rowOff>
    </xdr:from>
    <xdr:ext cx="835037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9" name="TextBox 188"/>
            <xdr:cNvSpPr txBox="1"/>
          </xdr:nvSpPr>
          <xdr:spPr>
            <a:xfrm>
              <a:off x="3356355" y="136255130"/>
              <a:ext cx="835037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9" name="TextBox 188"/>
            <xdr:cNvSpPr txBox="1"/>
          </xdr:nvSpPr>
          <xdr:spPr>
            <a:xfrm>
              <a:off x="3356355" y="136255130"/>
              <a:ext cx="835037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latin typeface="Cambria Math" panose="02040503050406030204" pitchFamily="18" charset="0"/>
                </a:rPr>
                <a:t>(      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28</xdr:col>
      <xdr:colOff>3555</xdr:colOff>
      <xdr:row>483</xdr:row>
      <xdr:rowOff>28580</xdr:rowOff>
    </xdr:from>
    <xdr:ext cx="835037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0" name="TextBox 189"/>
            <xdr:cNvSpPr txBox="1"/>
          </xdr:nvSpPr>
          <xdr:spPr>
            <a:xfrm>
              <a:off x="4270755" y="136255130"/>
              <a:ext cx="835037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90" name="TextBox 189"/>
            <xdr:cNvSpPr txBox="1"/>
          </xdr:nvSpPr>
          <xdr:spPr>
            <a:xfrm>
              <a:off x="4270755" y="136255130"/>
              <a:ext cx="835037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latin typeface="Cambria Math" panose="02040503050406030204" pitchFamily="18" charset="0"/>
                </a:rPr>
                <a:t>(      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34</xdr:col>
      <xdr:colOff>3555</xdr:colOff>
      <xdr:row>483</xdr:row>
      <xdr:rowOff>28580</xdr:rowOff>
    </xdr:from>
    <xdr:ext cx="835037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1" name="TextBox 190"/>
            <xdr:cNvSpPr txBox="1"/>
          </xdr:nvSpPr>
          <xdr:spPr>
            <a:xfrm>
              <a:off x="5185155" y="136255130"/>
              <a:ext cx="835037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91" name="TextBox 190"/>
            <xdr:cNvSpPr txBox="1"/>
          </xdr:nvSpPr>
          <xdr:spPr>
            <a:xfrm>
              <a:off x="5185155" y="136255130"/>
              <a:ext cx="835037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latin typeface="Cambria Math" panose="02040503050406030204" pitchFamily="18" charset="0"/>
                </a:rPr>
                <a:t>(      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25</xdr:col>
      <xdr:colOff>3555</xdr:colOff>
      <xdr:row>482</xdr:row>
      <xdr:rowOff>28580</xdr:rowOff>
    </xdr:from>
    <xdr:ext cx="835037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2" name="TextBox 191"/>
            <xdr:cNvSpPr txBox="1"/>
          </xdr:nvSpPr>
          <xdr:spPr>
            <a:xfrm>
              <a:off x="3813555" y="136026530"/>
              <a:ext cx="835037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92" name="TextBox 191"/>
            <xdr:cNvSpPr txBox="1"/>
          </xdr:nvSpPr>
          <xdr:spPr>
            <a:xfrm>
              <a:off x="3813555" y="136026530"/>
              <a:ext cx="835037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latin typeface="Cambria Math" panose="02040503050406030204" pitchFamily="18" charset="0"/>
                </a:rPr>
                <a:t>(      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4759</xdr:colOff>
      <xdr:row>493</xdr:row>
      <xdr:rowOff>50004</xdr:rowOff>
    </xdr:from>
    <xdr:ext cx="1243012" cy="4095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3" name="TextBox 192"/>
            <xdr:cNvSpPr txBox="1"/>
          </xdr:nvSpPr>
          <xdr:spPr>
            <a:xfrm>
              <a:off x="1071559" y="138562554"/>
              <a:ext cx="1243012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𝐷𝑀𝑀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𝐷𝑀𝑀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93" name="TextBox 192"/>
            <xdr:cNvSpPr txBox="1"/>
          </xdr:nvSpPr>
          <xdr:spPr>
            <a:xfrm>
              <a:off x="1071559" y="138562554"/>
              <a:ext cx="1243012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𝑐_(𝑝_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𝐷𝑀𝑀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)=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𝑐/(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𝑝_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𝐷𝑀𝑀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)=1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46433</xdr:colOff>
      <xdr:row>490</xdr:row>
      <xdr:rowOff>52387</xdr:rowOff>
    </xdr:from>
    <xdr:ext cx="1037656" cy="3181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4" name="TextBox 193"/>
            <xdr:cNvSpPr txBox="1"/>
          </xdr:nvSpPr>
          <xdr:spPr>
            <a:xfrm>
              <a:off x="1113233" y="137879137"/>
              <a:ext cx="1037656" cy="3181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𝐷𝑀𝑀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𝑈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94" name="TextBox 193"/>
            <xdr:cNvSpPr txBox="1"/>
          </xdr:nvSpPr>
          <xdr:spPr>
            <a:xfrm>
              <a:off x="1113233" y="137879137"/>
              <a:ext cx="1037656" cy="3181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𝑢_𝐷𝑀𝑀=1/𝑆×𝑈/𝑘=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4762</xdr:colOff>
      <xdr:row>505</xdr:row>
      <xdr:rowOff>40481</xdr:rowOff>
    </xdr:from>
    <xdr:ext cx="1214437" cy="4095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5" name="TextBox 194"/>
            <xdr:cNvSpPr txBox="1"/>
          </xdr:nvSpPr>
          <xdr:spPr>
            <a:xfrm>
              <a:off x="1071562" y="141296231"/>
              <a:ext cx="1214437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𝑧𝑒𝑟𝑜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𝑧𝑒𝑟𝑜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95" name="TextBox 194"/>
            <xdr:cNvSpPr txBox="1"/>
          </xdr:nvSpPr>
          <xdr:spPr>
            <a:xfrm>
              <a:off x="1071562" y="141296231"/>
              <a:ext cx="1214437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𝑐_(𝑝_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𝑧𝑒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𝑟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𝑜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)=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𝑐/(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𝑝_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𝑧𝑒𝑟𝑜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)=1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9</xdr:col>
      <xdr:colOff>79771</xdr:colOff>
      <xdr:row>502</xdr:row>
      <xdr:rowOff>42863</xdr:rowOff>
    </xdr:from>
    <xdr:ext cx="1165191" cy="3534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6" name="TextBox 195"/>
            <xdr:cNvSpPr txBox="1"/>
          </xdr:nvSpPr>
          <xdr:spPr>
            <a:xfrm>
              <a:off x="1146571" y="140841413"/>
              <a:ext cx="1165191" cy="3534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𝑧𝑒𝑟𝑜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ad>
                          <m:radPr>
                            <m:degHide m:val="on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e>
                        </m:rad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96" name="TextBox 195"/>
            <xdr:cNvSpPr txBox="1"/>
          </xdr:nvSpPr>
          <xdr:spPr>
            <a:xfrm>
              <a:off x="1146571" y="140841413"/>
              <a:ext cx="1165191" cy="3534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𝑢_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𝑧𝑒𝑟𝑜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=1/𝑆×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2√3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9</xdr:col>
      <xdr:colOff>51196</xdr:colOff>
      <xdr:row>501</xdr:row>
      <xdr:rowOff>19051</xdr:rowOff>
    </xdr:from>
    <xdr:ext cx="3142783" cy="1910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7" name="TextBox 196"/>
            <xdr:cNvSpPr txBox="1"/>
          </xdr:nvSpPr>
          <xdr:spPr>
            <a:xfrm>
              <a:off x="1117996" y="140360401"/>
              <a:ext cx="3142783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sty m:val="p"/>
                      </m:rPr>
                      <a:rPr lang="en-US" altLang="ko-KR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max</m:t>
                    </m:r>
                    <m:d>
                      <m:dPr>
                        <m:begChr m:val="{"/>
                        <m:endChr m:val="}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2,0</m:t>
                                </m:r>
                              </m:sub>
                            </m:s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1,0</m:t>
                                </m:r>
                              </m:sub>
                            </m:sSub>
                          </m:e>
                        </m:d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d>
                          <m:dPr>
                            <m:begChr m:val="|"/>
                            <m:endChr m:val="|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4,0</m:t>
                                </m:r>
                              </m:sub>
                            </m:s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3,0</m:t>
                                </m:r>
                              </m:sub>
                            </m:sSub>
                          </m:e>
                        </m:d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d>
                          <m:dPr>
                            <m:begChr m:val="|"/>
                            <m:endChr m:val="|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6,0</m:t>
                                </m:r>
                              </m:sub>
                            </m:s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5,0</m:t>
                                </m:r>
                              </m:sub>
                            </m:sSub>
                          </m:e>
                        </m:d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97" name="TextBox 196"/>
            <xdr:cNvSpPr txBox="1"/>
          </xdr:nvSpPr>
          <xdr:spPr>
            <a:xfrm>
              <a:off x="1117996" y="140360401"/>
              <a:ext cx="3142783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max{|𝑥_2,0−𝑥_1,0 |,|𝑥_4,0−𝑥_3,0 |,|𝑥_6,0−𝑥_5,0 |}=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30</xdr:col>
      <xdr:colOff>22621</xdr:colOff>
      <xdr:row>503</xdr:row>
      <xdr:rowOff>9525</xdr:rowOff>
    </xdr:from>
    <xdr:ext cx="280718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8" name="TextBox 197"/>
            <xdr:cNvSpPr txBox="1"/>
          </xdr:nvSpPr>
          <xdr:spPr>
            <a:xfrm>
              <a:off x="4289821" y="141036675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98" name="TextBox 197"/>
            <xdr:cNvSpPr txBox="1"/>
          </xdr:nvSpPr>
          <xdr:spPr>
            <a:xfrm>
              <a:off x="4289821" y="141036675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17859</xdr:colOff>
      <xdr:row>507</xdr:row>
      <xdr:rowOff>223838</xdr:rowOff>
    </xdr:from>
    <xdr:ext cx="1222964" cy="4138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9" name="TextBox 198"/>
            <xdr:cNvSpPr txBox="1"/>
          </xdr:nvSpPr>
          <xdr:spPr>
            <a:xfrm>
              <a:off x="1084659" y="141936788"/>
              <a:ext cx="1222964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𝜈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𝑧𝑒𝑟𝑜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99" name="TextBox 198"/>
            <xdr:cNvSpPr txBox="1"/>
          </xdr:nvSpPr>
          <xdr:spPr>
            <a:xfrm>
              <a:off x="1084659" y="141936788"/>
              <a:ext cx="1222964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𝜈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_𝑧𝑒𝑟𝑜=1/2 (100/𝑅)^2=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4759</xdr:colOff>
      <xdr:row>526</xdr:row>
      <xdr:rowOff>45246</xdr:rowOff>
    </xdr:from>
    <xdr:ext cx="1062037" cy="4143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0" name="TextBox 199"/>
            <xdr:cNvSpPr txBox="1"/>
          </xdr:nvSpPr>
          <xdr:spPr>
            <a:xfrm>
              <a:off x="1071559" y="146101596"/>
              <a:ext cx="1062037" cy="4143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𝑟𝑒𝑝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𝑟𝑒𝑝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00" name="TextBox 199"/>
            <xdr:cNvSpPr txBox="1"/>
          </xdr:nvSpPr>
          <xdr:spPr>
            <a:xfrm>
              <a:off x="1071559" y="146101596"/>
              <a:ext cx="1062037" cy="4143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𝑐_(𝑝_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𝑟𝑒𝑝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)=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𝑐/(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𝑝_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𝑟𝑒𝑝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)=1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132148</xdr:colOff>
      <xdr:row>516</xdr:row>
      <xdr:rowOff>19052</xdr:rowOff>
    </xdr:from>
    <xdr:ext cx="6023380" cy="1974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1" name="TextBox 200"/>
            <xdr:cNvSpPr txBox="1"/>
          </xdr:nvSpPr>
          <xdr:spPr>
            <a:xfrm>
              <a:off x="1351348" y="143789402"/>
              <a:ext cx="6023380" cy="1974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′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𝑢𝑝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sty m:val="p"/>
                      </m:rPr>
                      <a:rPr lang="en-US" altLang="ko-KR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max</m:t>
                    </m:r>
                    <m:d>
                      <m:dPr>
                        <m:begChr m:val="{"/>
                        <m:endChr m:val="}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3,</m:t>
                                    </m:r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3,0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1,</m:t>
                                    </m:r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1,0</m:t>
                                    </m:r>
                                  </m:sub>
                                </m:sSub>
                              </m:e>
                            </m:d>
                          </m:e>
                        </m:d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d>
                          <m:dPr>
                            <m:begChr m:val="|"/>
                            <m:endChr m:val="|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5,</m:t>
                                    </m:r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5,0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1,</m:t>
                                    </m:r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1,0</m:t>
                                    </m:r>
                                  </m:sub>
                                </m:sSub>
                              </m:e>
                            </m:d>
                          </m:e>
                        </m:d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d>
                          <m:dPr>
                            <m:begChr m:val="|"/>
                            <m:endChr m:val="|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5,</m:t>
                                    </m:r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5,0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3,</m:t>
                                    </m:r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3,0</m:t>
                                    </m:r>
                                  </m:sub>
                                </m:sSub>
                              </m:e>
                            </m:d>
                          </m:e>
                        </m:d>
                      </m:e>
                    </m: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01" name="TextBox 200"/>
            <xdr:cNvSpPr txBox="1"/>
          </xdr:nvSpPr>
          <xdr:spPr>
            <a:xfrm>
              <a:off x="1351348" y="143789402"/>
              <a:ext cx="6023380" cy="1974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𝑏′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𝑢𝑝,𝑗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max{|(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𝑥_(3,𝑗)−𝑥_3,0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(𝑥_(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,𝑗)−𝑥_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,0 )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|,|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(𝑥_(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,𝑗)−𝑥_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,0 )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(𝑥_(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,𝑗)−𝑥_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,0 )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|,|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(𝑥_(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,𝑗)−𝑥_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,0 )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(𝑥_(3,𝑗)−𝑥_3,0 )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|}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127385</xdr:colOff>
      <xdr:row>519</xdr:row>
      <xdr:rowOff>19054</xdr:rowOff>
    </xdr:from>
    <xdr:ext cx="6156044" cy="1974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2" name="TextBox 201"/>
            <xdr:cNvSpPr txBox="1"/>
          </xdr:nvSpPr>
          <xdr:spPr>
            <a:xfrm>
              <a:off x="1346585" y="144475204"/>
              <a:ext cx="6156044" cy="1974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′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𝑑𝑛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sty m:val="p"/>
                      </m:rPr>
                      <a:rPr lang="en-US" altLang="ko-KR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max</m:t>
                    </m:r>
                    <m:d>
                      <m:dPr>
                        <m:begChr m:val="{"/>
                        <m:endChr m:val="}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4,</m:t>
                                    </m:r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4,0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2,</m:t>
                                    </m:r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2,0</m:t>
                                    </m:r>
                                  </m:sub>
                                </m:sSub>
                              </m:e>
                            </m:d>
                          </m:e>
                        </m:d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d>
                          <m:dPr>
                            <m:begChr m:val="|"/>
                            <m:endChr m:val="|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6,</m:t>
                                    </m:r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6,0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2,</m:t>
                                    </m:r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2,0</m:t>
                                    </m:r>
                                  </m:sub>
                                </m:sSub>
                              </m:e>
                            </m:d>
                          </m:e>
                        </m:d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d>
                          <m:dPr>
                            <m:begChr m:val="|"/>
                            <m:endChr m:val="|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6,</m:t>
                                    </m:r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6,0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4,</m:t>
                                    </m:r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4,0</m:t>
                                    </m:r>
                                  </m:sub>
                                </m:sSub>
                              </m:e>
                            </m:d>
                          </m:e>
                        </m:d>
                      </m:e>
                    </m: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02" name="TextBox 201"/>
            <xdr:cNvSpPr txBox="1"/>
          </xdr:nvSpPr>
          <xdr:spPr>
            <a:xfrm>
              <a:off x="1346585" y="144475204"/>
              <a:ext cx="6156044" cy="1974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𝑏′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𝑑𝑛,𝑗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max{|(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,𝑗)−𝑥_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(𝑥_(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,𝑗)−𝑥_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,0 )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|,|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(𝑥_(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,𝑗)−𝑥_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,0 )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(𝑥_(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,𝑗)−𝑥_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,0 )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|,|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(𝑥_(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,𝑗)−𝑥_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,0 )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(𝑥_(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,𝑗)−𝑥_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,0 )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|}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9</xdr:col>
      <xdr:colOff>3557</xdr:colOff>
      <xdr:row>522</xdr:row>
      <xdr:rowOff>14292</xdr:rowOff>
    </xdr:from>
    <xdr:ext cx="1560171" cy="2000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3" name="TextBox 202"/>
            <xdr:cNvSpPr txBox="1"/>
          </xdr:nvSpPr>
          <xdr:spPr>
            <a:xfrm>
              <a:off x="1375157" y="145156242"/>
              <a:ext cx="1560171" cy="2000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′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sty m:val="p"/>
                      </m:rPr>
                      <a:rPr lang="en-US" altLang="ko-KR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max</m:t>
                    </m:r>
                    <m:d>
                      <m:dPr>
                        <m:begChr m:val="{"/>
                        <m:endChr m:val="}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sSup>
                              <m:sSup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𝑏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′</m:t>
                                </m:r>
                              </m:sup>
                            </m:sSup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𝑢𝑝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sSup>
                              <m:sSup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𝑏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′</m:t>
                                </m:r>
                              </m:sup>
                            </m:sSup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𝑑𝑛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03" name="TextBox 202"/>
            <xdr:cNvSpPr txBox="1"/>
          </xdr:nvSpPr>
          <xdr:spPr>
            <a:xfrm>
              <a:off x="1375157" y="145156242"/>
              <a:ext cx="1560171" cy="2000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𝑏^′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max{〖𝑏^′〗_(𝑢𝑝,𝑗),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〖𝑏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′〗_(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𝑑𝑛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,𝑗)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}=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128583</xdr:colOff>
      <xdr:row>523</xdr:row>
      <xdr:rowOff>35719</xdr:rowOff>
    </xdr:from>
    <xdr:ext cx="1113895" cy="3642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4" name="TextBox 203"/>
            <xdr:cNvSpPr txBox="1"/>
          </xdr:nvSpPr>
          <xdr:spPr>
            <a:xfrm>
              <a:off x="1347783" y="145406269"/>
              <a:ext cx="1113895" cy="3642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𝑟𝑒𝑝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′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ad>
                          <m:radPr>
                            <m:degHide m:val="on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e>
                        </m:rad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04" name="TextBox 203"/>
            <xdr:cNvSpPr txBox="1"/>
          </xdr:nvSpPr>
          <xdr:spPr>
            <a:xfrm>
              <a:off x="1347783" y="145406269"/>
              <a:ext cx="1113895" cy="3642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𝑢_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𝑟𝑒𝑝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=1/𝑆×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𝑏′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2√3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29</xdr:col>
      <xdr:colOff>13092</xdr:colOff>
      <xdr:row>524</xdr:row>
      <xdr:rowOff>23812</xdr:rowOff>
    </xdr:from>
    <xdr:ext cx="280718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5" name="TextBox 204"/>
            <xdr:cNvSpPr txBox="1"/>
          </xdr:nvSpPr>
          <xdr:spPr>
            <a:xfrm>
              <a:off x="4432692" y="145622962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05" name="TextBox 204"/>
            <xdr:cNvSpPr txBox="1"/>
          </xdr:nvSpPr>
          <xdr:spPr>
            <a:xfrm>
              <a:off x="4432692" y="145622962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70243</xdr:colOff>
      <xdr:row>528</xdr:row>
      <xdr:rowOff>228599</xdr:rowOff>
    </xdr:from>
    <xdr:ext cx="1144191" cy="4138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6" name="TextBox 205"/>
            <xdr:cNvSpPr txBox="1"/>
          </xdr:nvSpPr>
          <xdr:spPr>
            <a:xfrm>
              <a:off x="1137043" y="146742149"/>
              <a:ext cx="1144191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𝜈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𝑟𝑒𝑝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06" name="TextBox 205"/>
            <xdr:cNvSpPr txBox="1"/>
          </xdr:nvSpPr>
          <xdr:spPr>
            <a:xfrm>
              <a:off x="1137043" y="146742149"/>
              <a:ext cx="1144191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l"/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𝜈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_𝑟𝑒𝑝=1/2 (100/𝑅)^2=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4755</xdr:colOff>
      <xdr:row>540</xdr:row>
      <xdr:rowOff>40483</xdr:rowOff>
    </xdr:from>
    <xdr:ext cx="1214439" cy="4048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7" name="TextBox 206"/>
            <xdr:cNvSpPr txBox="1"/>
          </xdr:nvSpPr>
          <xdr:spPr>
            <a:xfrm>
              <a:off x="1071555" y="149297233"/>
              <a:ext cx="1214439" cy="4048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h𝑦𝑠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h𝑦𝑠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</m:t>
                    </m:r>
                  </m:oMath>
                </m:oMathPara>
              </a14:m>
              <a:endParaRPr lang="ko-KR" altLang="ko-KR">
                <a:effectLst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ko-KR" altLang="ko-KR">
                <a:effectLst/>
              </a:endParaRPr>
            </a:p>
            <a:p>
              <a:pPr algn="l"/>
              <a:endParaRPr lang="ko-KR" altLang="en-US" sz="1100"/>
            </a:p>
          </xdr:txBody>
        </xdr:sp>
      </mc:Choice>
      <mc:Fallback xmlns="">
        <xdr:sp macro="" textlink="">
          <xdr:nvSpPr>
            <xdr:cNvPr id="207" name="TextBox 206"/>
            <xdr:cNvSpPr txBox="1"/>
          </xdr:nvSpPr>
          <xdr:spPr>
            <a:xfrm>
              <a:off x="1071555" y="149297233"/>
              <a:ext cx="1214439" cy="4048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𝑐_(𝑝_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ℎ𝑦𝑠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)=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𝑐/(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𝑝_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ℎ𝑦𝑠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)=1</a:t>
              </a:r>
              <a:endParaRPr lang="ko-KR" altLang="ko-KR">
                <a:effectLst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ko-KR" altLang="ko-KR">
                <a:effectLst/>
              </a:endParaRPr>
            </a:p>
            <a:p>
              <a:pPr algn="l"/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98800</xdr:colOff>
      <xdr:row>535</xdr:row>
      <xdr:rowOff>47630</xdr:rowOff>
    </xdr:from>
    <xdr:ext cx="3096832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8" name="TextBox 207"/>
            <xdr:cNvSpPr txBox="1"/>
          </xdr:nvSpPr>
          <xdr:spPr>
            <a:xfrm>
              <a:off x="1318000" y="148161380"/>
              <a:ext cx="3096832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h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den>
                    </m:f>
                    <m:d>
                      <m:dPr>
                        <m:begChr m:val="{"/>
                        <m:endChr m:val="}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2,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1,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</m:e>
                        </m:d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4,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3,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</m:e>
                        </m:d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6,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5,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</m:e>
                        </m:d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08" name="TextBox 207"/>
            <xdr:cNvSpPr txBox="1"/>
          </xdr:nvSpPr>
          <xdr:spPr>
            <a:xfrm>
              <a:off x="1318000" y="148161380"/>
              <a:ext cx="3096832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1/3 {(𝑥_(2,𝑗)−𝑥_(1,𝑗)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4,𝑗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3,𝑗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6,𝑗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5,𝑗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}=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119057</xdr:colOff>
      <xdr:row>537</xdr:row>
      <xdr:rowOff>40483</xdr:rowOff>
    </xdr:from>
    <xdr:ext cx="1118576" cy="3625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9" name="TextBox 208"/>
            <xdr:cNvSpPr txBox="1"/>
          </xdr:nvSpPr>
          <xdr:spPr>
            <a:xfrm>
              <a:off x="1338257" y="148611433"/>
              <a:ext cx="1118576" cy="3625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h𝑦𝑠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ad>
                          <m:radPr>
                            <m:degHide m:val="on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e>
                        </m:rad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09" name="TextBox 208"/>
            <xdr:cNvSpPr txBox="1"/>
          </xdr:nvSpPr>
          <xdr:spPr>
            <a:xfrm>
              <a:off x="1338257" y="148611433"/>
              <a:ext cx="1118576" cy="3625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𝑢_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ℎ𝑦𝑠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=1/𝑆×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2√3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29</xdr:col>
      <xdr:colOff>14283</xdr:colOff>
      <xdr:row>538</xdr:row>
      <xdr:rowOff>16672</xdr:rowOff>
    </xdr:from>
    <xdr:ext cx="280718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0" name="TextBox 209"/>
            <xdr:cNvSpPr txBox="1"/>
          </xdr:nvSpPr>
          <xdr:spPr>
            <a:xfrm>
              <a:off x="4433883" y="148816222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10" name="TextBox 209"/>
            <xdr:cNvSpPr txBox="1"/>
          </xdr:nvSpPr>
          <xdr:spPr>
            <a:xfrm>
              <a:off x="4433883" y="148816222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57144</xdr:colOff>
      <xdr:row>542</xdr:row>
      <xdr:rowOff>226220</xdr:rowOff>
    </xdr:from>
    <xdr:ext cx="1157288" cy="4138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1" name="TextBox 210"/>
            <xdr:cNvSpPr txBox="1"/>
          </xdr:nvSpPr>
          <xdr:spPr>
            <a:xfrm>
              <a:off x="1123944" y="149940170"/>
              <a:ext cx="1157288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𝜈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h𝑦𝑠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11" name="TextBox 210"/>
            <xdr:cNvSpPr txBox="1"/>
          </xdr:nvSpPr>
          <xdr:spPr>
            <a:xfrm>
              <a:off x="1123944" y="149940170"/>
              <a:ext cx="1157288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l"/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𝜈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_ℎ𝑦𝑠=1/2 (100/𝑅)^2=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547</xdr:row>
      <xdr:rowOff>23815</xdr:rowOff>
    </xdr:from>
    <xdr:ext cx="842964" cy="1952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2" name="TextBox 211"/>
            <xdr:cNvSpPr txBox="1"/>
          </xdr:nvSpPr>
          <xdr:spPr>
            <a:xfrm>
              <a:off x="152400" y="150880765"/>
              <a:ext cx="842964" cy="1952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ko-KR" altLang="ko-KR">
                <a:effectLst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ko-KR" altLang="ko-KR">
                <a:effectLst/>
              </a:endParaRPr>
            </a:p>
            <a:p>
              <a:pPr algn="l"/>
              <a:endParaRPr lang="ko-KR" altLang="en-US" sz="1100"/>
            </a:p>
          </xdr:txBody>
        </xdr:sp>
      </mc:Choice>
      <mc:Fallback xmlns="">
        <xdr:sp macro="" textlink="">
          <xdr:nvSpPr>
            <xdr:cNvPr id="212" name="TextBox 211"/>
            <xdr:cNvSpPr txBox="1"/>
          </xdr:nvSpPr>
          <xdr:spPr>
            <a:xfrm>
              <a:off x="152400" y="150880765"/>
              <a:ext cx="842964" cy="1952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𝑢_𝑐^2=𝑢_𝑠^2+𝑢_𝑖^2</a:t>
              </a:r>
              <a:endParaRPr lang="ko-KR" altLang="ko-KR">
                <a:effectLst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ko-KR" altLang="ko-KR">
                <a:effectLst/>
              </a:endParaRPr>
            </a:p>
            <a:p>
              <a:pPr algn="l"/>
              <a:endParaRPr lang="ko-KR" altLang="en-US" sz="1100"/>
            </a:p>
          </xdr:txBody>
        </xdr:sp>
      </mc:Fallback>
    </mc:AlternateContent>
    <xdr:clientData/>
  </xdr:oneCellAnchor>
  <xdr:oneCellAnchor>
    <xdr:from>
      <xdr:col>3</xdr:col>
      <xdr:colOff>95249</xdr:colOff>
      <xdr:row>548</xdr:row>
      <xdr:rowOff>33339</xdr:rowOff>
    </xdr:from>
    <xdr:ext cx="1021242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3" name="TextBox 212"/>
            <xdr:cNvSpPr txBox="1"/>
          </xdr:nvSpPr>
          <xdr:spPr>
            <a:xfrm>
              <a:off x="704849" y="151118889"/>
              <a:ext cx="102124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13" name="TextBox 212"/>
            <xdr:cNvSpPr txBox="1"/>
          </xdr:nvSpPr>
          <xdr:spPr>
            <a:xfrm>
              <a:off x="704849" y="151118889"/>
              <a:ext cx="102124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100011</xdr:colOff>
      <xdr:row>548</xdr:row>
      <xdr:rowOff>33339</xdr:rowOff>
    </xdr:from>
    <xdr:ext cx="1021242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4" name="TextBox 213"/>
            <xdr:cNvSpPr txBox="1"/>
          </xdr:nvSpPr>
          <xdr:spPr>
            <a:xfrm>
              <a:off x="1928811" y="151118889"/>
              <a:ext cx="102124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14" name="TextBox 213"/>
            <xdr:cNvSpPr txBox="1"/>
          </xdr:nvSpPr>
          <xdr:spPr>
            <a:xfrm>
              <a:off x="1928811" y="151118889"/>
              <a:ext cx="102124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</xdr:col>
      <xdr:colOff>95250</xdr:colOff>
      <xdr:row>549</xdr:row>
      <xdr:rowOff>33339</xdr:rowOff>
    </xdr:from>
    <xdr:ext cx="1021242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5" name="TextBox 214"/>
            <xdr:cNvSpPr txBox="1"/>
          </xdr:nvSpPr>
          <xdr:spPr>
            <a:xfrm>
              <a:off x="704850" y="151347489"/>
              <a:ext cx="102124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15" name="TextBox 214"/>
            <xdr:cNvSpPr txBox="1"/>
          </xdr:nvSpPr>
          <xdr:spPr>
            <a:xfrm>
              <a:off x="704850" y="151347489"/>
              <a:ext cx="102124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33339</xdr:colOff>
      <xdr:row>576</xdr:row>
      <xdr:rowOff>23815</xdr:rowOff>
    </xdr:from>
    <xdr:ext cx="835037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6" name="TextBox 215"/>
            <xdr:cNvSpPr txBox="1"/>
          </xdr:nvSpPr>
          <xdr:spPr>
            <a:xfrm>
              <a:off x="2166939" y="157510165"/>
              <a:ext cx="835037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16" name="TextBox 215"/>
            <xdr:cNvSpPr txBox="1"/>
          </xdr:nvSpPr>
          <xdr:spPr>
            <a:xfrm>
              <a:off x="2166939" y="157510165"/>
              <a:ext cx="835037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latin typeface="Cambria Math" panose="02040503050406030204" pitchFamily="18" charset="0"/>
                </a:rPr>
                <a:t>(      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9524</xdr:colOff>
      <xdr:row>577</xdr:row>
      <xdr:rowOff>23814</xdr:rowOff>
    </xdr:from>
    <xdr:ext cx="835037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7" name="TextBox 216"/>
            <xdr:cNvSpPr txBox="1"/>
          </xdr:nvSpPr>
          <xdr:spPr>
            <a:xfrm>
              <a:off x="1685924" y="157738764"/>
              <a:ext cx="835037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17" name="TextBox 216"/>
            <xdr:cNvSpPr txBox="1"/>
          </xdr:nvSpPr>
          <xdr:spPr>
            <a:xfrm>
              <a:off x="1685924" y="157738764"/>
              <a:ext cx="835037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latin typeface="Cambria Math" panose="02040503050406030204" pitchFamily="18" charset="0"/>
                </a:rPr>
                <a:t>(      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17</xdr:col>
      <xdr:colOff>9524</xdr:colOff>
      <xdr:row>577</xdr:row>
      <xdr:rowOff>23814</xdr:rowOff>
    </xdr:from>
    <xdr:ext cx="835037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8" name="TextBox 217"/>
            <xdr:cNvSpPr txBox="1"/>
          </xdr:nvSpPr>
          <xdr:spPr>
            <a:xfrm>
              <a:off x="2600324" y="157738764"/>
              <a:ext cx="835037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18" name="TextBox 217"/>
            <xdr:cNvSpPr txBox="1"/>
          </xdr:nvSpPr>
          <xdr:spPr>
            <a:xfrm>
              <a:off x="2600324" y="157738764"/>
              <a:ext cx="835037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latin typeface="Cambria Math" panose="02040503050406030204" pitchFamily="18" charset="0"/>
                </a:rPr>
                <a:t>(      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42867</xdr:colOff>
      <xdr:row>576</xdr:row>
      <xdr:rowOff>23815</xdr:rowOff>
    </xdr:from>
    <xdr:ext cx="1476375" cy="6096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9" name="TextBox 218"/>
            <xdr:cNvSpPr txBox="1"/>
          </xdr:nvSpPr>
          <xdr:spPr>
            <a:xfrm>
              <a:off x="195267" y="157510165"/>
              <a:ext cx="1476375" cy="609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altLang="ko-KR" sz="1100" i="1">
                            <a:latin typeface="Cambria Math" panose="02040503050406030204" pitchFamily="18" charset="0"/>
                          </a:rPr>
                          <m:t>ν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𝑒𝑓𝑓</m:t>
                        </m:r>
                      </m:sub>
                    </m:sSub>
                    <m:r>
                      <a:rPr lang="en-US" altLang="ko-K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nary>
                          <m:naryPr>
                            <m:chr m:val="∑"/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</m:sup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begChr m:val="["/>
                                        <m:endChr m:val="]"/>
                                        <m:ctrlP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𝑐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𝑢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)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</m:sup>
                                </m:sSup>
                              </m:num>
                              <m:den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ν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nary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19" name="TextBox 218"/>
            <xdr:cNvSpPr txBox="1"/>
          </xdr:nvSpPr>
          <xdr:spPr>
            <a:xfrm>
              <a:off x="195267" y="157510165"/>
              <a:ext cx="1476375" cy="609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ν_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𝑒𝑓𝑓</a:t>
              </a:r>
              <a:r>
                <a:rPr lang="en-US" altLang="ko-KR" sz="1100" i="0">
                  <a:latin typeface="Cambria Math" panose="02040503050406030204" pitchFamily="18" charset="0"/>
                </a:rPr>
                <a:t>=(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𝑢_𝑐^4 (𝑦))/(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∑_(𝑖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1)^𝑁▒[𝑐_𝑖 〖𝑢(𝑥〗_𝑖)]^4/ν_𝑖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119069</xdr:colOff>
      <xdr:row>587</xdr:row>
      <xdr:rowOff>166681</xdr:rowOff>
    </xdr:from>
    <xdr:ext cx="614362" cy="33337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0" name="TextBox 219"/>
            <xdr:cNvSpPr txBox="1"/>
          </xdr:nvSpPr>
          <xdr:spPr>
            <a:xfrm>
              <a:off x="2252669" y="160167631"/>
              <a:ext cx="614362" cy="3333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altLang="ko-K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𝑖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20" name="TextBox 219"/>
            <xdr:cNvSpPr txBox="1"/>
          </xdr:nvSpPr>
          <xdr:spPr>
            <a:xfrm>
              <a:off x="2252669" y="160167631"/>
              <a:ext cx="614362" cy="3333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𝑝_𝑖</a:t>
              </a:r>
              <a:r>
                <a:rPr lang="en-US" altLang="ko-KR" sz="1100" i="0">
                  <a:latin typeface="Cambria Math" panose="02040503050406030204" pitchFamily="18" charset="0"/>
                </a:rPr>
                <a:t>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1/𝑆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∙(𝑉_𝑖 ) ̅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52393</xdr:colOff>
      <xdr:row>589</xdr:row>
      <xdr:rowOff>52381</xdr:rowOff>
    </xdr:from>
    <xdr:ext cx="228602" cy="33337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1" name="TextBox 220"/>
            <xdr:cNvSpPr txBox="1"/>
          </xdr:nvSpPr>
          <xdr:spPr>
            <a:xfrm>
              <a:off x="1728793" y="160510531"/>
              <a:ext cx="228602" cy="3333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21" name="TextBox 220"/>
            <xdr:cNvSpPr txBox="1"/>
          </xdr:nvSpPr>
          <xdr:spPr>
            <a:xfrm>
              <a:off x="1728793" y="160510531"/>
              <a:ext cx="228602" cy="3333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1/𝑆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114300</xdr:colOff>
      <xdr:row>591</xdr:row>
      <xdr:rowOff>28575</xdr:rowOff>
    </xdr:from>
    <xdr:ext cx="146835" cy="1751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2" name="TextBox 221"/>
            <xdr:cNvSpPr txBox="1"/>
          </xdr:nvSpPr>
          <xdr:spPr>
            <a:xfrm>
              <a:off x="2095500" y="160943925"/>
              <a:ext cx="146835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ko-KR" alt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22" name="TextBox 221"/>
            <xdr:cNvSpPr txBox="1"/>
          </xdr:nvSpPr>
          <xdr:spPr>
            <a:xfrm>
              <a:off x="2095500" y="160943925"/>
              <a:ext cx="146835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110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𝑉_𝑖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 ) ̅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95250</xdr:colOff>
      <xdr:row>221</xdr:row>
      <xdr:rowOff>47625</xdr:rowOff>
    </xdr:from>
    <xdr:ext cx="146835" cy="1751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3" name="TextBox 222"/>
            <xdr:cNvSpPr txBox="1"/>
          </xdr:nvSpPr>
          <xdr:spPr>
            <a:xfrm>
              <a:off x="2076450" y="77990700"/>
              <a:ext cx="146835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ko-KR" alt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23" name="TextBox 222"/>
            <xdr:cNvSpPr txBox="1"/>
          </xdr:nvSpPr>
          <xdr:spPr>
            <a:xfrm>
              <a:off x="2076450" y="77990700"/>
              <a:ext cx="146835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110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𝑉_𝑖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 ) ̅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22621</xdr:colOff>
      <xdr:row>464</xdr:row>
      <xdr:rowOff>52387</xdr:rowOff>
    </xdr:from>
    <xdr:ext cx="597279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5" name="TextBox 104"/>
            <xdr:cNvSpPr txBox="1"/>
          </xdr:nvSpPr>
          <xdr:spPr>
            <a:xfrm>
              <a:off x="1241821" y="24960262"/>
              <a:ext cx="597279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ko-KR" sz="1100" b="0" i="0">
                            <a:latin typeface="Cambria Math" panose="02040503050406030204" pitchFamily="18" charset="0"/>
                          </a:rPr>
                          <m:t>s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𝑈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𝑘</m:t>
                        </m:r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5" name="TextBox 104"/>
            <xdr:cNvSpPr txBox="1"/>
          </xdr:nvSpPr>
          <xdr:spPr>
            <a:xfrm>
              <a:off x="1241821" y="24960262"/>
              <a:ext cx="597279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latin typeface="Cambria Math" panose="02040503050406030204" pitchFamily="18" charset="0"/>
                </a:rPr>
                <a:t>𝑢_s=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𝑈/𝑘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52"/>
  <sheetViews>
    <sheetView showGridLines="0" tabSelected="1" zoomScaleNormal="100" zoomScaleSheetLayoutView="115" workbookViewId="0">
      <selection sqref="A1:J1"/>
    </sheetView>
  </sheetViews>
  <sheetFormatPr defaultColWidth="8.109375" defaultRowHeight="12.95" customHeight="1"/>
  <cols>
    <col min="1" max="11" width="8.109375" style="3" customWidth="1"/>
    <col min="12" max="16384" width="8.109375" style="3"/>
  </cols>
  <sheetData>
    <row r="1" spans="1:13" ht="51.95" customHeight="1">
      <c r="A1" s="559" t="s">
        <v>1</v>
      </c>
      <c r="B1" s="560"/>
      <c r="C1" s="560"/>
      <c r="D1" s="560"/>
      <c r="E1" s="560"/>
      <c r="F1" s="560"/>
      <c r="G1" s="560"/>
      <c r="H1" s="561"/>
      <c r="I1" s="562"/>
      <c r="J1" s="563"/>
    </row>
    <row r="2" spans="1:13" ht="12.95" customHeight="1">
      <c r="A2" s="538" t="s">
        <v>2</v>
      </c>
      <c r="B2" s="538"/>
      <c r="C2" s="538"/>
      <c r="D2" s="538"/>
      <c r="E2" s="538"/>
      <c r="F2" s="538"/>
      <c r="G2" s="538"/>
      <c r="H2" s="538"/>
      <c r="I2" s="538"/>
      <c r="J2" s="538"/>
    </row>
    <row r="3" spans="1:13" ht="12.95" customHeight="1">
      <c r="A3" s="550" t="s">
        <v>3</v>
      </c>
      <c r="B3" s="551"/>
      <c r="C3" s="564"/>
      <c r="D3" s="564"/>
      <c r="E3" s="564"/>
      <c r="F3" s="551" t="s">
        <v>4</v>
      </c>
      <c r="G3" s="551"/>
      <c r="H3" s="554"/>
      <c r="I3" s="556"/>
      <c r="J3" s="556"/>
    </row>
    <row r="4" spans="1:13" ht="12.95" customHeight="1">
      <c r="A4" s="551" t="s">
        <v>5</v>
      </c>
      <c r="B4" s="551"/>
      <c r="C4" s="565"/>
      <c r="D4" s="551"/>
      <c r="E4" s="551"/>
      <c r="F4" s="551" t="s">
        <v>6</v>
      </c>
      <c r="G4" s="551"/>
      <c r="H4" s="551"/>
      <c r="I4" s="556"/>
      <c r="J4" s="556"/>
    </row>
    <row r="5" spans="1:13" ht="12.95" customHeight="1">
      <c r="A5" s="551" t="s">
        <v>7</v>
      </c>
      <c r="B5" s="551"/>
      <c r="C5" s="551"/>
      <c r="D5" s="556"/>
      <c r="E5" s="556"/>
      <c r="F5" s="550" t="s">
        <v>8</v>
      </c>
      <c r="G5" s="551"/>
      <c r="H5" s="552"/>
      <c r="I5" s="553"/>
      <c r="J5" s="553"/>
    </row>
    <row r="6" spans="1:13" ht="12.95" customHeight="1">
      <c r="A6" s="551" t="s">
        <v>9</v>
      </c>
      <c r="B6" s="551"/>
      <c r="C6" s="551"/>
      <c r="D6" s="556"/>
      <c r="E6" s="556"/>
      <c r="F6" s="550" t="s">
        <v>10</v>
      </c>
      <c r="G6" s="551"/>
      <c r="H6" s="552"/>
      <c r="I6" s="553"/>
      <c r="J6" s="553"/>
    </row>
    <row r="7" spans="1:13" ht="12.95" customHeight="1">
      <c r="A7" s="551" t="s">
        <v>11</v>
      </c>
      <c r="B7" s="551"/>
      <c r="C7" s="557"/>
      <c r="D7" s="556"/>
      <c r="E7" s="556"/>
      <c r="F7" s="550" t="s">
        <v>12</v>
      </c>
      <c r="G7" s="551"/>
      <c r="H7" s="551"/>
      <c r="I7" s="556"/>
      <c r="J7" s="556"/>
    </row>
    <row r="8" spans="1:13" ht="12.95" customHeight="1">
      <c r="A8" s="551" t="s">
        <v>13</v>
      </c>
      <c r="B8" s="551"/>
      <c r="C8" s="554"/>
      <c r="D8" s="555"/>
      <c r="E8" s="555"/>
      <c r="F8" s="550" t="s">
        <v>14</v>
      </c>
      <c r="G8" s="551"/>
      <c r="H8" s="551"/>
      <c r="I8" s="556"/>
      <c r="J8" s="556"/>
    </row>
    <row r="9" spans="1:13" ht="12.95" customHeight="1">
      <c r="A9" s="550" t="s">
        <v>36</v>
      </c>
      <c r="B9" s="551"/>
      <c r="C9" s="552"/>
      <c r="D9" s="553"/>
      <c r="E9" s="553"/>
      <c r="F9" s="558" t="s">
        <v>15</v>
      </c>
      <c r="G9" s="558"/>
      <c r="H9" s="552"/>
      <c r="I9" s="553"/>
      <c r="J9" s="553"/>
    </row>
    <row r="10" spans="1:13" ht="23.25" customHeight="1">
      <c r="A10" s="551" t="s">
        <v>16</v>
      </c>
      <c r="B10" s="551"/>
      <c r="C10" s="552"/>
      <c r="D10" s="553"/>
      <c r="E10" s="553"/>
      <c r="F10" s="551" t="s">
        <v>17</v>
      </c>
      <c r="G10" s="551"/>
      <c r="H10" s="50"/>
      <c r="I10" s="539" t="s">
        <v>18</v>
      </c>
      <c r="J10" s="540"/>
      <c r="K10" s="6"/>
    </row>
    <row r="11" spans="1:13" ht="12.95" customHeight="1">
      <c r="A11" s="538" t="s">
        <v>19</v>
      </c>
      <c r="B11" s="538"/>
      <c r="C11" s="538"/>
      <c r="D11" s="538"/>
      <c r="E11" s="538"/>
      <c r="F11" s="538"/>
      <c r="G11" s="538"/>
      <c r="H11" s="538"/>
      <c r="I11" s="538"/>
      <c r="J11" s="538"/>
      <c r="K11" s="7"/>
    </row>
    <row r="12" spans="1:13" ht="17.25" customHeight="1">
      <c r="A12" s="5" t="s">
        <v>20</v>
      </c>
      <c r="B12" s="8"/>
      <c r="C12" s="9" t="s">
        <v>21</v>
      </c>
      <c r="D12" s="10"/>
      <c r="E12" s="9" t="s">
        <v>22</v>
      </c>
      <c r="F12" s="11"/>
      <c r="G12" s="541" t="s">
        <v>23</v>
      </c>
      <c r="H12" s="536"/>
      <c r="I12" s="543" t="s">
        <v>24</v>
      </c>
      <c r="J12" s="544"/>
      <c r="K12" s="6"/>
      <c r="L12" s="12"/>
      <c r="M12" s="12"/>
    </row>
    <row r="13" spans="1:13" ht="17.25" customHeight="1">
      <c r="A13" s="13" t="s">
        <v>25</v>
      </c>
      <c r="B13" s="8"/>
      <c r="C13" s="13" t="s">
        <v>26</v>
      </c>
      <c r="D13" s="10"/>
      <c r="E13" s="9" t="s">
        <v>27</v>
      </c>
      <c r="F13" s="11"/>
      <c r="G13" s="542"/>
      <c r="H13" s="537"/>
      <c r="I13" s="545"/>
      <c r="J13" s="546"/>
      <c r="K13" s="7"/>
    </row>
    <row r="14" spans="1:13" ht="12.95" customHeight="1">
      <c r="A14" s="538" t="s">
        <v>28</v>
      </c>
      <c r="B14" s="538"/>
      <c r="C14" s="538"/>
      <c r="D14" s="538"/>
      <c r="E14" s="538"/>
      <c r="F14" s="538"/>
      <c r="G14" s="538"/>
      <c r="H14" s="538"/>
      <c r="I14" s="538"/>
      <c r="J14" s="538"/>
      <c r="K14" s="7"/>
    </row>
    <row r="15" spans="1:13" ht="39" customHeight="1">
      <c r="A15" s="547"/>
      <c r="B15" s="548"/>
      <c r="C15" s="548"/>
      <c r="D15" s="548"/>
      <c r="E15" s="548"/>
      <c r="F15" s="548"/>
      <c r="G15" s="548"/>
      <c r="H15" s="548"/>
      <c r="I15" s="548"/>
      <c r="J15" s="549"/>
    </row>
    <row r="16" spans="1:13" ht="12.95" customHeight="1">
      <c r="A16" s="538" t="s">
        <v>29</v>
      </c>
      <c r="B16" s="538"/>
      <c r="C16" s="538"/>
      <c r="D16" s="538"/>
      <c r="E16" s="538"/>
      <c r="F16" s="538"/>
      <c r="G16" s="538"/>
      <c r="H16" s="538"/>
      <c r="I16" s="538"/>
      <c r="J16" s="538"/>
    </row>
    <row r="17" spans="1:12" ht="12.95" customHeight="1">
      <c r="A17" s="5" t="s">
        <v>30</v>
      </c>
      <c r="B17" s="550" t="s">
        <v>31</v>
      </c>
      <c r="C17" s="551"/>
      <c r="D17" s="551"/>
      <c r="E17" s="551"/>
      <c r="F17" s="550" t="s">
        <v>32</v>
      </c>
      <c r="G17" s="551"/>
      <c r="H17" s="5" t="s">
        <v>11</v>
      </c>
      <c r="I17" s="4" t="s">
        <v>33</v>
      </c>
      <c r="J17" s="4" t="s">
        <v>34</v>
      </c>
      <c r="L17" s="7"/>
    </row>
    <row r="18" spans="1:12" ht="12.95" customHeight="1">
      <c r="A18" s="51"/>
      <c r="B18" s="534"/>
      <c r="C18" s="535"/>
      <c r="D18" s="535"/>
      <c r="E18" s="535"/>
      <c r="F18" s="534"/>
      <c r="G18" s="535"/>
      <c r="H18" s="58"/>
      <c r="I18" s="29"/>
      <c r="J18" s="175"/>
      <c r="L18" s="7"/>
    </row>
    <row r="19" spans="1:12" ht="12.95" customHeight="1">
      <c r="A19" s="51"/>
      <c r="B19" s="534"/>
      <c r="C19" s="535"/>
      <c r="D19" s="535"/>
      <c r="E19" s="535"/>
      <c r="F19" s="534"/>
      <c r="G19" s="535"/>
      <c r="H19" s="32"/>
      <c r="I19" s="32"/>
      <c r="J19" s="175"/>
      <c r="L19" s="7"/>
    </row>
    <row r="20" spans="1:12" ht="12.95" customHeight="1">
      <c r="A20" s="51"/>
      <c r="B20" s="534"/>
      <c r="C20" s="535"/>
      <c r="D20" s="535"/>
      <c r="E20" s="535"/>
      <c r="F20" s="534"/>
      <c r="G20" s="535"/>
      <c r="H20" s="46"/>
      <c r="I20" s="46"/>
      <c r="J20" s="175"/>
      <c r="L20" s="7"/>
    </row>
    <row r="21" spans="1:12" ht="12.95" customHeight="1">
      <c r="A21" s="51"/>
      <c r="B21" s="534"/>
      <c r="C21" s="535"/>
      <c r="D21" s="535"/>
      <c r="E21" s="535"/>
      <c r="F21" s="534"/>
      <c r="G21" s="535"/>
      <c r="H21" s="46"/>
      <c r="I21" s="14"/>
      <c r="J21" s="175"/>
      <c r="L21" s="7"/>
    </row>
    <row r="22" spans="1:12" ht="12.95" customHeight="1">
      <c r="A22" s="51"/>
      <c r="B22" s="534"/>
      <c r="C22" s="535"/>
      <c r="D22" s="535"/>
      <c r="E22" s="535"/>
      <c r="F22" s="534"/>
      <c r="G22" s="535"/>
      <c r="H22" s="31"/>
      <c r="I22" s="21"/>
      <c r="J22" s="175"/>
      <c r="L22" s="7"/>
    </row>
    <row r="23" spans="1:12" ht="12.95" customHeight="1">
      <c r="A23" s="51"/>
      <c r="B23" s="534"/>
      <c r="C23" s="535"/>
      <c r="D23" s="535"/>
      <c r="E23" s="535"/>
      <c r="F23" s="534"/>
      <c r="G23" s="535"/>
      <c r="H23" s="21"/>
      <c r="I23" s="14"/>
      <c r="J23" s="175"/>
      <c r="L23" s="7"/>
    </row>
    <row r="24" spans="1:12" ht="12.95" customHeight="1">
      <c r="A24" s="51"/>
      <c r="B24" s="534"/>
      <c r="C24" s="535"/>
      <c r="D24" s="535"/>
      <c r="E24" s="535"/>
      <c r="F24" s="534"/>
      <c r="G24" s="535"/>
      <c r="H24" s="27"/>
      <c r="I24" s="14"/>
      <c r="J24" s="175"/>
      <c r="L24" s="7"/>
    </row>
    <row r="25" spans="1:12" ht="12.95" customHeight="1">
      <c r="A25" s="51"/>
      <c r="B25" s="534"/>
      <c r="C25" s="535"/>
      <c r="D25" s="535"/>
      <c r="E25" s="535"/>
      <c r="F25" s="534"/>
      <c r="G25" s="535"/>
      <c r="H25" s="27"/>
      <c r="I25" s="14"/>
      <c r="J25" s="175"/>
      <c r="L25" s="7"/>
    </row>
    <row r="26" spans="1:12" ht="12.95" customHeight="1">
      <c r="A26" s="51"/>
      <c r="B26" s="534"/>
      <c r="C26" s="535"/>
      <c r="D26" s="535"/>
      <c r="E26" s="535"/>
      <c r="F26" s="534"/>
      <c r="G26" s="535"/>
      <c r="H26" s="27"/>
      <c r="I26" s="14"/>
      <c r="J26" s="175"/>
      <c r="L26" s="7"/>
    </row>
    <row r="27" spans="1:12" ht="12.95" customHeight="1">
      <c r="A27" s="51"/>
      <c r="B27" s="534"/>
      <c r="C27" s="535"/>
      <c r="D27" s="535"/>
      <c r="E27" s="535"/>
      <c r="F27" s="534"/>
      <c r="G27" s="535"/>
      <c r="H27" s="14"/>
      <c r="I27" s="14"/>
      <c r="J27" s="175"/>
    </row>
    <row r="28" spans="1:12" ht="12.95" customHeight="1">
      <c r="A28" s="51"/>
      <c r="B28" s="534"/>
      <c r="C28" s="535"/>
      <c r="D28" s="535"/>
      <c r="E28" s="535"/>
      <c r="F28" s="534"/>
      <c r="G28" s="535"/>
      <c r="H28" s="14"/>
      <c r="I28" s="14"/>
      <c r="J28" s="175"/>
    </row>
    <row r="29" spans="1:12" ht="12.95" customHeight="1">
      <c r="A29" s="51"/>
      <c r="B29" s="534"/>
      <c r="C29" s="535"/>
      <c r="D29" s="535"/>
      <c r="E29" s="535"/>
      <c r="F29" s="534"/>
      <c r="G29" s="535"/>
      <c r="H29" s="14"/>
      <c r="I29" s="14"/>
      <c r="J29" s="175"/>
    </row>
    <row r="30" spans="1:12" ht="12.95" customHeight="1">
      <c r="A30" s="51"/>
      <c r="B30" s="534"/>
      <c r="C30" s="535"/>
      <c r="D30" s="535"/>
      <c r="E30" s="535"/>
      <c r="F30" s="534"/>
      <c r="G30" s="535"/>
      <c r="H30" s="14"/>
      <c r="I30" s="14"/>
      <c r="J30" s="175"/>
    </row>
    <row r="31" spans="1:12" ht="12.95" customHeight="1">
      <c r="A31" s="51"/>
      <c r="B31" s="534"/>
      <c r="C31" s="535"/>
      <c r="D31" s="535"/>
      <c r="E31" s="535"/>
      <c r="F31" s="534"/>
      <c r="G31" s="535"/>
      <c r="H31" s="14"/>
      <c r="I31" s="14"/>
      <c r="J31" s="175"/>
    </row>
    <row r="32" spans="1:12" ht="12.95" customHeight="1">
      <c r="A32" s="51"/>
      <c r="B32" s="534"/>
      <c r="C32" s="535"/>
      <c r="D32" s="535"/>
      <c r="E32" s="535"/>
      <c r="F32" s="534"/>
      <c r="G32" s="535"/>
      <c r="H32" s="14"/>
      <c r="I32" s="14"/>
      <c r="J32" s="175"/>
    </row>
    <row r="33" spans="1:10" ht="12.95" customHeight="1">
      <c r="A33" s="51"/>
      <c r="B33" s="534"/>
      <c r="C33" s="535"/>
      <c r="D33" s="535"/>
      <c r="E33" s="535"/>
      <c r="F33" s="534"/>
      <c r="G33" s="535"/>
      <c r="H33" s="14"/>
      <c r="I33" s="14"/>
      <c r="J33" s="175"/>
    </row>
    <row r="34" spans="1:10" ht="12.95" customHeight="1">
      <c r="A34" s="51"/>
      <c r="B34" s="534"/>
      <c r="C34" s="535"/>
      <c r="D34" s="535"/>
      <c r="E34" s="535"/>
      <c r="F34" s="534"/>
      <c r="G34" s="535"/>
      <c r="H34" s="14"/>
      <c r="I34" s="14"/>
      <c r="J34" s="175"/>
    </row>
    <row r="35" spans="1:10" ht="12.95" customHeight="1">
      <c r="A35" s="51"/>
      <c r="B35" s="534"/>
      <c r="C35" s="535"/>
      <c r="D35" s="535"/>
      <c r="E35" s="535"/>
      <c r="F35" s="534"/>
      <c r="G35" s="535"/>
      <c r="H35" s="14"/>
      <c r="I35" s="14"/>
      <c r="J35" s="175"/>
    </row>
    <row r="36" spans="1:10" ht="12.95" customHeight="1">
      <c r="A36" s="51"/>
      <c r="B36" s="534"/>
      <c r="C36" s="535"/>
      <c r="D36" s="535"/>
      <c r="E36" s="535"/>
      <c r="F36" s="534"/>
      <c r="G36" s="535"/>
      <c r="H36" s="14"/>
      <c r="I36" s="14"/>
      <c r="J36" s="175"/>
    </row>
    <row r="37" spans="1:10" ht="12.95" customHeight="1">
      <c r="A37" s="51"/>
      <c r="B37" s="534"/>
      <c r="C37" s="535"/>
      <c r="D37" s="535"/>
      <c r="E37" s="535"/>
      <c r="F37" s="534"/>
      <c r="G37" s="535"/>
      <c r="H37" s="14"/>
      <c r="I37" s="14"/>
      <c r="J37" s="175"/>
    </row>
    <row r="38" spans="1:10" ht="12.95" customHeight="1">
      <c r="A38" s="57" t="s">
        <v>38</v>
      </c>
      <c r="B38" s="7"/>
      <c r="C38" s="7"/>
      <c r="D38" s="7"/>
      <c r="E38" s="7"/>
      <c r="J38" s="15"/>
    </row>
    <row r="39" spans="1:10" ht="12.95" customHeight="1">
      <c r="A39" s="520" t="s">
        <v>39</v>
      </c>
      <c r="B39" s="520"/>
      <c r="C39" s="520"/>
      <c r="D39" s="520"/>
      <c r="E39" s="520"/>
      <c r="F39" s="521" t="s">
        <v>40</v>
      </c>
      <c r="G39" s="524"/>
      <c r="H39" s="525"/>
      <c r="I39" s="525"/>
      <c r="J39" s="526"/>
    </row>
    <row r="40" spans="1:10" ht="12.95" customHeight="1">
      <c r="A40" s="520" t="s">
        <v>41</v>
      </c>
      <c r="B40" s="520"/>
      <c r="C40" s="520"/>
      <c r="D40" s="520"/>
      <c r="E40" s="520"/>
      <c r="F40" s="522"/>
      <c r="G40" s="527"/>
      <c r="H40" s="528"/>
      <c r="I40" s="528"/>
      <c r="J40" s="529"/>
    </row>
    <row r="41" spans="1:10" ht="12.95" customHeight="1">
      <c r="A41" s="520" t="s">
        <v>42</v>
      </c>
      <c r="B41" s="520"/>
      <c r="C41" s="520"/>
      <c r="D41" s="520"/>
      <c r="E41" s="520"/>
      <c r="F41" s="522"/>
      <c r="G41" s="527"/>
      <c r="H41" s="528"/>
      <c r="I41" s="528"/>
      <c r="J41" s="529"/>
    </row>
    <row r="42" spans="1:10" ht="12.95" customHeight="1">
      <c r="A42" s="520" t="s">
        <v>43</v>
      </c>
      <c r="B42" s="520"/>
      <c r="C42" s="533" t="s">
        <v>44</v>
      </c>
      <c r="D42" s="533"/>
      <c r="E42" s="533"/>
      <c r="F42" s="523"/>
      <c r="G42" s="530"/>
      <c r="H42" s="531"/>
      <c r="I42" s="531"/>
      <c r="J42" s="532"/>
    </row>
    <row r="43" spans="1:10" ht="12.95" customHeight="1">
      <c r="A43" s="520" t="s">
        <v>56</v>
      </c>
      <c r="B43" s="520"/>
      <c r="C43" s="520" t="str">
        <f>IF(Calcu_ADJ!S9=FALSE,Calcu!B3,Calcu_ADJ!B3)</f>
        <v/>
      </c>
      <c r="D43" s="520"/>
      <c r="E43" s="520"/>
    </row>
    <row r="46" spans="1:10" ht="12.95" customHeight="1">
      <c r="B46" s="3" t="s">
        <v>649</v>
      </c>
    </row>
    <row r="47" spans="1:10" ht="12.95" customHeight="1">
      <c r="B47" s="3" t="s">
        <v>650</v>
      </c>
    </row>
    <row r="48" spans="1:10" ht="12.95" customHeight="1">
      <c r="A48" s="227">
        <f>Calcu!S112</f>
        <v>0</v>
      </c>
      <c r="B48" s="3" t="s">
        <v>671</v>
      </c>
    </row>
    <row r="49" spans="1:2" ht="12.95" customHeight="1">
      <c r="A49" s="332"/>
    </row>
    <row r="50" spans="1:2" ht="12.95" customHeight="1">
      <c r="A50" s="3" t="str">
        <f>IF(Calcu_ADJ!S9=FALSE,Calcu!L64,Calcu_ADJ!L64)</f>
        <v>PASS</v>
      </c>
      <c r="B50" s="3" t="s">
        <v>672</v>
      </c>
    </row>
    <row r="52" spans="1:2" ht="12.95" customHeight="1">
      <c r="B52" s="3" t="s">
        <v>694</v>
      </c>
    </row>
  </sheetData>
  <sheetProtection selectLockedCells="1"/>
  <mergeCells count="95">
    <mergeCell ref="A43:B43"/>
    <mergeCell ref="C43:E43"/>
    <mergeCell ref="A4:B4"/>
    <mergeCell ref="C4:E4"/>
    <mergeCell ref="F4:G4"/>
    <mergeCell ref="A6:B6"/>
    <mergeCell ref="C6:E6"/>
    <mergeCell ref="F6:G6"/>
    <mergeCell ref="B22:E22"/>
    <mergeCell ref="F22:G22"/>
    <mergeCell ref="B20:E20"/>
    <mergeCell ref="F18:G18"/>
    <mergeCell ref="F19:G19"/>
    <mergeCell ref="B18:E18"/>
    <mergeCell ref="B19:E19"/>
    <mergeCell ref="F20:G20"/>
    <mergeCell ref="H4:J4"/>
    <mergeCell ref="A5:B5"/>
    <mergeCell ref="C5:E5"/>
    <mergeCell ref="F5:G5"/>
    <mergeCell ref="H5:J5"/>
    <mergeCell ref="A1:J1"/>
    <mergeCell ref="A2:J2"/>
    <mergeCell ref="A3:B3"/>
    <mergeCell ref="C3:E3"/>
    <mergeCell ref="F3:G3"/>
    <mergeCell ref="H3:J3"/>
    <mergeCell ref="H6:J6"/>
    <mergeCell ref="F10:G10"/>
    <mergeCell ref="A8:B8"/>
    <mergeCell ref="C8:E8"/>
    <mergeCell ref="F8:G8"/>
    <mergeCell ref="H8:J8"/>
    <mergeCell ref="A9:B9"/>
    <mergeCell ref="A7:B7"/>
    <mergeCell ref="C7:E7"/>
    <mergeCell ref="F7:G7"/>
    <mergeCell ref="H7:J7"/>
    <mergeCell ref="C9:E9"/>
    <mergeCell ref="F9:G9"/>
    <mergeCell ref="H9:J9"/>
    <mergeCell ref="C10:E10"/>
    <mergeCell ref="A10:B10"/>
    <mergeCell ref="B21:E21"/>
    <mergeCell ref="F21:G21"/>
    <mergeCell ref="A15:J15"/>
    <mergeCell ref="A16:J16"/>
    <mergeCell ref="B17:E17"/>
    <mergeCell ref="F17:G17"/>
    <mergeCell ref="H12:H13"/>
    <mergeCell ref="A14:J14"/>
    <mergeCell ref="I10:J10"/>
    <mergeCell ref="A11:J11"/>
    <mergeCell ref="G12:G13"/>
    <mergeCell ref="I12:J13"/>
    <mergeCell ref="B32:E32"/>
    <mergeCell ref="F32:G32"/>
    <mergeCell ref="B31:E31"/>
    <mergeCell ref="F24:G24"/>
    <mergeCell ref="B25:E25"/>
    <mergeCell ref="F25:G25"/>
    <mergeCell ref="B26:E26"/>
    <mergeCell ref="B27:E27"/>
    <mergeCell ref="F27:G27"/>
    <mergeCell ref="B29:E29"/>
    <mergeCell ref="F29:G29"/>
    <mergeCell ref="B30:E30"/>
    <mergeCell ref="B24:E24"/>
    <mergeCell ref="F30:G30"/>
    <mergeCell ref="B23:E23"/>
    <mergeCell ref="F23:G23"/>
    <mergeCell ref="F26:G26"/>
    <mergeCell ref="B37:E37"/>
    <mergeCell ref="F37:G37"/>
    <mergeCell ref="B34:E34"/>
    <mergeCell ref="F34:G34"/>
    <mergeCell ref="B35:E35"/>
    <mergeCell ref="B36:E36"/>
    <mergeCell ref="F35:G35"/>
    <mergeCell ref="F36:G36"/>
    <mergeCell ref="B33:E33"/>
    <mergeCell ref="F33:G33"/>
    <mergeCell ref="B28:E28"/>
    <mergeCell ref="F28:G28"/>
    <mergeCell ref="F31:G31"/>
    <mergeCell ref="A39:B39"/>
    <mergeCell ref="C39:E39"/>
    <mergeCell ref="F39:F42"/>
    <mergeCell ref="G39:J42"/>
    <mergeCell ref="A40:B40"/>
    <mergeCell ref="C40:E40"/>
    <mergeCell ref="A41:B41"/>
    <mergeCell ref="C41:E41"/>
    <mergeCell ref="A42:B42"/>
    <mergeCell ref="C42:E42"/>
  </mergeCells>
  <phoneticPr fontId="5" type="noConversion"/>
  <dataValidations count="1">
    <dataValidation type="list" allowBlank="1" showInputMessage="1" showErrorMessage="1" sqref="C42:E42">
      <formula1>"확인전,확인완료,수정"</formula1>
    </dataValidation>
  </dataValidations>
  <pageMargins left="0.39370078740157483" right="0.35433070866141736" top="0.39370078740157483" bottom="0.59055118110236227" header="0" footer="0.31496062992125984"/>
  <pageSetup paperSize="9" orientation="portrait" r:id="rId1"/>
  <headerFooter alignWithMargins="0">
    <oddFooter>&amp;R&amp;"휴먼엑스포,보통"&amp;9(주)에이치시티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9"/>
  <sheetViews>
    <sheetView showGridLines="0" zoomScale="75" zoomScaleNormal="75" workbookViewId="0"/>
  </sheetViews>
  <sheetFormatPr defaultColWidth="9.77734375" defaultRowHeight="16.5" customHeight="1"/>
  <cols>
    <col min="1" max="1" width="2.77734375" style="62" customWidth="1"/>
    <col min="2" max="16384" width="9.77734375" style="62"/>
  </cols>
  <sheetData>
    <row r="1" spans="1:13" ht="16.5" customHeight="1">
      <c r="B1" s="225" t="s">
        <v>720</v>
      </c>
    </row>
    <row r="2" spans="1:13" ht="16.5" customHeight="1">
      <c r="B2" s="338" t="s">
        <v>71</v>
      </c>
      <c r="C2" s="337" t="s">
        <v>306</v>
      </c>
      <c r="D2" s="337" t="s">
        <v>308</v>
      </c>
      <c r="E2" s="337" t="s">
        <v>133</v>
      </c>
      <c r="F2" s="337" t="s">
        <v>134</v>
      </c>
      <c r="G2" s="337" t="s">
        <v>311</v>
      </c>
      <c r="H2" s="337" t="s">
        <v>312</v>
      </c>
      <c r="I2" s="337" t="s">
        <v>313</v>
      </c>
      <c r="J2" s="337" t="s">
        <v>314</v>
      </c>
      <c r="L2" s="196" t="s">
        <v>292</v>
      </c>
      <c r="M2" s="196" t="s">
        <v>291</v>
      </c>
    </row>
    <row r="3" spans="1:13" ht="16.5" customHeight="1">
      <c r="B3" s="337" t="s">
        <v>306</v>
      </c>
      <c r="C3" s="339">
        <f t="shared" ref="C3:C10" si="0">E3*1000</f>
        <v>1</v>
      </c>
      <c r="D3" s="339">
        <f>E3*10</f>
        <v>0.01</v>
      </c>
      <c r="E3" s="339">
        <f t="shared" ref="E3:E5" si="1">F3*1000</f>
        <v>1E-3</v>
      </c>
      <c r="F3" s="339">
        <v>9.9999999999999995E-7</v>
      </c>
      <c r="G3" s="339">
        <f t="shared" ref="G3:G10" si="2">I3*1000</f>
        <v>1</v>
      </c>
      <c r="H3" s="339">
        <f>I3*10</f>
        <v>0.01</v>
      </c>
      <c r="I3" s="339">
        <f t="shared" ref="I3:I5" si="3">J3*1000</f>
        <v>1E-3</v>
      </c>
      <c r="J3" s="339">
        <v>9.9999999999999995E-7</v>
      </c>
      <c r="L3" s="198"/>
      <c r="M3" s="196" t="s">
        <v>135</v>
      </c>
    </row>
    <row r="4" spans="1:13" ht="16.5" customHeight="1">
      <c r="B4" s="337" t="s">
        <v>308</v>
      </c>
      <c r="C4" s="339">
        <f t="shared" si="0"/>
        <v>100</v>
      </c>
      <c r="D4" s="339">
        <f t="shared" ref="D4:D10" si="4">E4*10</f>
        <v>1</v>
      </c>
      <c r="E4" s="339">
        <f t="shared" si="1"/>
        <v>0.1</v>
      </c>
      <c r="F4" s="339">
        <v>1E-4</v>
      </c>
      <c r="G4" s="339">
        <f t="shared" si="2"/>
        <v>100</v>
      </c>
      <c r="H4" s="339">
        <f t="shared" ref="H4:H10" si="5">I4*10</f>
        <v>1</v>
      </c>
      <c r="I4" s="339">
        <f t="shared" si="3"/>
        <v>0.1</v>
      </c>
      <c r="J4" s="339">
        <v>1E-4</v>
      </c>
      <c r="L4" s="436">
        <v>9.9999999999999995E-8</v>
      </c>
      <c r="M4" s="436">
        <v>7</v>
      </c>
    </row>
    <row r="5" spans="1:13" ht="16.5" customHeight="1">
      <c r="B5" s="337" t="s">
        <v>133</v>
      </c>
      <c r="C5" s="339">
        <f t="shared" si="0"/>
        <v>1000</v>
      </c>
      <c r="D5" s="339">
        <f t="shared" si="4"/>
        <v>10</v>
      </c>
      <c r="E5" s="339">
        <f t="shared" si="1"/>
        <v>1</v>
      </c>
      <c r="F5" s="339">
        <v>1E-3</v>
      </c>
      <c r="G5" s="339">
        <f t="shared" si="2"/>
        <v>1000</v>
      </c>
      <c r="H5" s="339">
        <f t="shared" si="5"/>
        <v>10</v>
      </c>
      <c r="I5" s="339">
        <f t="shared" si="3"/>
        <v>1</v>
      </c>
      <c r="J5" s="339">
        <v>1E-3</v>
      </c>
      <c r="L5" s="436">
        <v>9.9999999999999995E-7</v>
      </c>
      <c r="M5" s="436">
        <v>6</v>
      </c>
    </row>
    <row r="6" spans="1:13" ht="16.5" customHeight="1">
      <c r="B6" s="337" t="s">
        <v>134</v>
      </c>
      <c r="C6" s="339">
        <f t="shared" si="0"/>
        <v>1000000</v>
      </c>
      <c r="D6" s="339">
        <f t="shared" si="4"/>
        <v>10000</v>
      </c>
      <c r="E6" s="339">
        <f>F6*1000</f>
        <v>1000</v>
      </c>
      <c r="F6" s="339">
        <v>1</v>
      </c>
      <c r="G6" s="339">
        <f t="shared" si="2"/>
        <v>1000000</v>
      </c>
      <c r="H6" s="339">
        <f t="shared" si="5"/>
        <v>10000</v>
      </c>
      <c r="I6" s="339">
        <f>J6*1000</f>
        <v>1000</v>
      </c>
      <c r="J6" s="339">
        <v>1</v>
      </c>
      <c r="L6" s="436">
        <v>1.0000000000000001E-5</v>
      </c>
      <c r="M6" s="436">
        <v>5</v>
      </c>
    </row>
    <row r="7" spans="1:13" ht="16.5" customHeight="1">
      <c r="B7" s="337" t="s">
        <v>311</v>
      </c>
      <c r="C7" s="339">
        <f t="shared" si="0"/>
        <v>1</v>
      </c>
      <c r="D7" s="339">
        <f t="shared" si="4"/>
        <v>0.01</v>
      </c>
      <c r="E7" s="339">
        <f t="shared" ref="E7:E9" si="6">F7*1000</f>
        <v>1E-3</v>
      </c>
      <c r="F7" s="339">
        <v>9.9999999999999995E-7</v>
      </c>
      <c r="G7" s="339">
        <f t="shared" si="2"/>
        <v>1</v>
      </c>
      <c r="H7" s="339">
        <f t="shared" si="5"/>
        <v>0.01</v>
      </c>
      <c r="I7" s="339">
        <f t="shared" ref="I7:I9" si="7">J7*1000</f>
        <v>1E-3</v>
      </c>
      <c r="J7" s="339">
        <v>9.9999999999999995E-7</v>
      </c>
      <c r="L7" s="436">
        <v>1E-4</v>
      </c>
      <c r="M7" s="436">
        <v>4</v>
      </c>
    </row>
    <row r="8" spans="1:13" ht="16.5" customHeight="1">
      <c r="B8" s="337" t="s">
        <v>312</v>
      </c>
      <c r="C8" s="339">
        <f t="shared" si="0"/>
        <v>100</v>
      </c>
      <c r="D8" s="339">
        <f t="shared" si="4"/>
        <v>1</v>
      </c>
      <c r="E8" s="339">
        <f t="shared" si="6"/>
        <v>0.1</v>
      </c>
      <c r="F8" s="339">
        <v>1E-4</v>
      </c>
      <c r="G8" s="339">
        <f t="shared" si="2"/>
        <v>100</v>
      </c>
      <c r="H8" s="339">
        <f t="shared" si="5"/>
        <v>1</v>
      </c>
      <c r="I8" s="339">
        <f t="shared" si="7"/>
        <v>0.1</v>
      </c>
      <c r="J8" s="339">
        <v>1E-4</v>
      </c>
      <c r="L8" s="436">
        <v>1E-3</v>
      </c>
      <c r="M8" s="436">
        <v>3</v>
      </c>
    </row>
    <row r="9" spans="1:13" ht="16.5" customHeight="1">
      <c r="B9" s="337" t="s">
        <v>313</v>
      </c>
      <c r="C9" s="339">
        <f t="shared" si="0"/>
        <v>1000</v>
      </c>
      <c r="D9" s="339">
        <f t="shared" si="4"/>
        <v>10</v>
      </c>
      <c r="E9" s="339">
        <f t="shared" si="6"/>
        <v>1</v>
      </c>
      <c r="F9" s="339">
        <v>1E-3</v>
      </c>
      <c r="G9" s="339">
        <f t="shared" si="2"/>
        <v>1000</v>
      </c>
      <c r="H9" s="339">
        <f t="shared" si="5"/>
        <v>10</v>
      </c>
      <c r="I9" s="339">
        <f t="shared" si="7"/>
        <v>1</v>
      </c>
      <c r="J9" s="339">
        <v>1E-3</v>
      </c>
      <c r="L9" s="436">
        <v>0.01</v>
      </c>
      <c r="M9" s="436">
        <v>2</v>
      </c>
    </row>
    <row r="10" spans="1:13" ht="16.5" customHeight="1">
      <c r="B10" s="337" t="s">
        <v>314</v>
      </c>
      <c r="C10" s="339">
        <f t="shared" si="0"/>
        <v>1000000</v>
      </c>
      <c r="D10" s="339">
        <f t="shared" si="4"/>
        <v>10000</v>
      </c>
      <c r="E10" s="339">
        <f>F10*1000</f>
        <v>1000</v>
      </c>
      <c r="F10" s="339">
        <v>1</v>
      </c>
      <c r="G10" s="339">
        <f t="shared" si="2"/>
        <v>1000000</v>
      </c>
      <c r="H10" s="339">
        <f t="shared" si="5"/>
        <v>10000</v>
      </c>
      <c r="I10" s="339">
        <f>J10*1000</f>
        <v>1000</v>
      </c>
      <c r="J10" s="339">
        <v>1</v>
      </c>
      <c r="L10" s="436">
        <v>0.1</v>
      </c>
      <c r="M10" s="436">
        <v>1</v>
      </c>
    </row>
    <row r="12" spans="1:13" ht="16.5" customHeight="1">
      <c r="A12" s="222" t="s">
        <v>136</v>
      </c>
    </row>
    <row r="13" spans="1:13" ht="15" customHeight="1">
      <c r="B13" s="225" t="s">
        <v>301</v>
      </c>
    </row>
    <row r="14" spans="1:13" ht="15" customHeight="1">
      <c r="B14" s="901" t="s">
        <v>302</v>
      </c>
      <c r="C14" s="902"/>
      <c r="D14" s="437" t="s">
        <v>3</v>
      </c>
      <c r="E14" s="437" t="s">
        <v>146</v>
      </c>
      <c r="F14" s="437" t="s">
        <v>147</v>
      </c>
      <c r="G14" s="437" t="s">
        <v>71</v>
      </c>
      <c r="H14" s="903" t="s">
        <v>104</v>
      </c>
      <c r="I14" s="903"/>
      <c r="J14" s="903" t="s">
        <v>733</v>
      </c>
      <c r="K14" s="903"/>
      <c r="L14" s="903" t="s">
        <v>734</v>
      </c>
      <c r="M14" s="903"/>
    </row>
    <row r="15" spans="1:13" ht="15" customHeight="1">
      <c r="B15" s="904" t="e">
        <f>Calcu!M$103</f>
        <v>#N/A</v>
      </c>
      <c r="C15" s="905"/>
      <c r="D15" s="438" t="str">
        <f ca="1">IFERROR(OFFSET(Pressure_2_R1!B$36,MATCH($B15,Pressure_2_R1!$C$37:$C$66,0),0),"")</f>
        <v/>
      </c>
      <c r="E15" s="438" t="str">
        <f ca="1">IFERROR(OFFSET(Pressure_2_R1!AA$36,MATCH($B15,Pressure_2_R1!$C$37:$C$66,0),0),"")</f>
        <v/>
      </c>
      <c r="F15" s="438" t="str">
        <f ca="1">IFERROR(OFFSET(Pressure_2_R1!AB$36,MATCH($B15,Pressure_2_R1!$C$37:$C$66,0),0),"")</f>
        <v/>
      </c>
      <c r="G15" s="438" t="str">
        <f ca="1">IFERROR(OFFSET(Pressure_2_R1!Z$36,MATCH($B15,Pressure_2_R1!$C$37:$C$66,0),0),"")</f>
        <v/>
      </c>
      <c r="H15" s="438" t="str">
        <f ca="1">IFERROR(OFFSET(Pressure_2_R1!T$36,MATCH($B15,Pressure_2_R1!$C$37:$C$66,0),0),"")</f>
        <v/>
      </c>
      <c r="I15" s="438" t="str">
        <f ca="1">IFERROR(OFFSET(Pressure_2_R1!V$36,MATCH($B15,Pressure_2_R1!$C$37:$C$66,0),0),"")</f>
        <v/>
      </c>
      <c r="J15" s="438" t="str">
        <f ca="1">IFERROR(OFFSET(Pressure_2_R1!AC$36,MATCH($B15,Pressure_2_R1!$C$37:$C$66,0),0),"")</f>
        <v/>
      </c>
      <c r="K15" s="438" t="str">
        <f ca="1">IFERROR(OFFSET(Pressure_2_R1!AD$36,MATCH($B15,Pressure_2_R1!$C$37:$C$66,0),0),"")</f>
        <v/>
      </c>
      <c r="L15" s="438" t="str">
        <f ca="1">IFERROR(OFFSET(Pressure_2_R1!AE$36,MATCH($B15,Pressure_2_R1!$C$37:$C$66,0),0),"")</f>
        <v/>
      </c>
      <c r="M15" s="438" t="str">
        <f ca="1">IFERROR(OFFSET(Pressure_2_R1!AF$36,MATCH($B15,Pressure_2_R1!$C$37:$C$66,0),0),"")</f>
        <v/>
      </c>
    </row>
    <row r="16" spans="1:13" ht="15" customHeight="1">
      <c r="B16" s="904" t="e">
        <f>Calcu!N$103</f>
        <v>#N/A</v>
      </c>
      <c r="C16" s="905"/>
      <c r="D16" s="438" t="str">
        <f ca="1">IFERROR(OFFSET(Pressure_2_R1!B$36,MATCH($B16,Pressure_2_R1!$C$37:$C$66,0),0),"")</f>
        <v/>
      </c>
      <c r="E16" s="438" t="str">
        <f ca="1">IFERROR(OFFSET(Pressure_2_R1!AA$36,MATCH($B16,Pressure_2_R1!$C$37:$C$66,0),0),"")</f>
        <v/>
      </c>
      <c r="F16" s="438" t="str">
        <f ca="1">IFERROR(OFFSET(Pressure_2_R1!AB$36,MATCH($B16,Pressure_2_R1!$C$37:$C$66,0),0),"")</f>
        <v/>
      </c>
      <c r="G16" s="438" t="str">
        <f ca="1">IFERROR(OFFSET(Pressure_2_R1!Z$36,MATCH($B16,Pressure_2_R1!$C$37:$C$66,0),0),"")</f>
        <v/>
      </c>
      <c r="H16" s="438" t="str">
        <f ca="1">IFERROR(OFFSET(Pressure_2_R1!T$36,MATCH($B16,Pressure_2_R1!$C$37:$C$66,0),0),"")</f>
        <v/>
      </c>
      <c r="I16" s="438" t="str">
        <f ca="1">IFERROR(OFFSET(Pressure_2_R1!V$36,MATCH($B16,Pressure_2_R1!$C$37:$C$66,0),0),"")</f>
        <v/>
      </c>
      <c r="J16" s="438" t="str">
        <f ca="1">IFERROR(OFFSET(Pressure_2_R1!AC$36,MATCH($B16,Pressure_2_R1!$C$37:$C$66,0),0),"")</f>
        <v/>
      </c>
      <c r="K16" s="438" t="str">
        <f ca="1">IFERROR(OFFSET(Pressure_2_R1!AD$36,MATCH($B16,Pressure_2_R1!$C$37:$C$66,0),0),"")</f>
        <v/>
      </c>
      <c r="L16" s="438" t="str">
        <f ca="1">IFERROR(OFFSET(Pressure_2_R1!AE$36,MATCH($B16,Pressure_2_R1!$C$37:$C$66,0),0),"")</f>
        <v/>
      </c>
      <c r="M16" s="438" t="str">
        <f ca="1">IFERROR(OFFSET(Pressure_2_R1!AF$36,MATCH($B16,Pressure_2_R1!$C$37:$C$66,0),0),"")</f>
        <v/>
      </c>
    </row>
    <row r="17" spans="2:47" ht="15" customHeight="1">
      <c r="H17" s="178"/>
      <c r="I17" s="178"/>
      <c r="J17" s="178"/>
    </row>
    <row r="18" spans="2:47" ht="15" customHeight="1">
      <c r="B18" s="225" t="s">
        <v>735</v>
      </c>
      <c r="D18" s="63"/>
      <c r="E18" s="63"/>
      <c r="F18" s="225" t="s">
        <v>290</v>
      </c>
      <c r="K18" s="64"/>
      <c r="L18" s="64"/>
      <c r="M18" s="64"/>
      <c r="N18" s="63"/>
      <c r="O18" s="63"/>
      <c r="P18" s="63"/>
      <c r="Q18" s="225" t="s">
        <v>732</v>
      </c>
      <c r="U18" s="63"/>
      <c r="V18" s="63"/>
      <c r="W18" s="63"/>
      <c r="AA18" s="225" t="s">
        <v>736</v>
      </c>
    </row>
    <row r="19" spans="2:47" ht="15" customHeight="1">
      <c r="B19" s="412" t="s">
        <v>310</v>
      </c>
      <c r="C19" s="897" t="s">
        <v>721</v>
      </c>
      <c r="D19" s="898"/>
      <c r="E19" s="413" t="s">
        <v>96</v>
      </c>
      <c r="F19" s="897" t="s">
        <v>737</v>
      </c>
      <c r="G19" s="898"/>
      <c r="H19" s="897" t="s">
        <v>738</v>
      </c>
      <c r="I19" s="899"/>
      <c r="J19" s="412" t="s">
        <v>146</v>
      </c>
      <c r="K19" s="412" t="s">
        <v>147</v>
      </c>
      <c r="L19" s="516" t="s">
        <v>748</v>
      </c>
      <c r="M19" s="515" t="s">
        <v>741</v>
      </c>
      <c r="N19" s="906" t="s">
        <v>208</v>
      </c>
      <c r="O19" s="907"/>
      <c r="P19" s="63"/>
      <c r="Q19" s="897" t="s">
        <v>737</v>
      </c>
      <c r="R19" s="898"/>
      <c r="S19" s="897" t="s">
        <v>738</v>
      </c>
      <c r="T19" s="898"/>
      <c r="U19" s="900" t="s">
        <v>104</v>
      </c>
      <c r="V19" s="900"/>
      <c r="W19" s="412" t="s">
        <v>307</v>
      </c>
      <c r="X19" s="414" t="s">
        <v>535</v>
      </c>
      <c r="Y19" s="413" t="s">
        <v>71</v>
      </c>
      <c r="AA19" s="518" t="s">
        <v>754</v>
      </c>
      <c r="AB19" s="897" t="s">
        <v>737</v>
      </c>
      <c r="AC19" s="898"/>
      <c r="AD19" s="897" t="s">
        <v>755</v>
      </c>
      <c r="AE19" s="898"/>
      <c r="AF19" s="897" t="s">
        <v>739</v>
      </c>
      <c r="AG19" s="898"/>
      <c r="AH19" s="899" t="s">
        <v>740</v>
      </c>
      <c r="AI19" s="899"/>
      <c r="AJ19" s="517" t="s">
        <v>741</v>
      </c>
      <c r="AK19" s="897" t="s">
        <v>737</v>
      </c>
      <c r="AL19" s="898"/>
      <c r="AM19" s="897" t="s">
        <v>755</v>
      </c>
      <c r="AN19" s="898"/>
      <c r="AO19" s="897" t="s">
        <v>742</v>
      </c>
      <c r="AP19" s="898"/>
      <c r="AQ19" s="897" t="s">
        <v>740</v>
      </c>
      <c r="AR19" s="899"/>
      <c r="AS19" s="517" t="s">
        <v>741</v>
      </c>
      <c r="AT19" s="897" t="s">
        <v>743</v>
      </c>
      <c r="AU19" s="898"/>
    </row>
    <row r="20" spans="2:47" ht="15" customHeight="1">
      <c r="B20" s="439">
        <f>Calcu!I103</f>
        <v>0</v>
      </c>
      <c r="C20" s="416">
        <f>표준압력!C4</f>
        <v>0</v>
      </c>
      <c r="D20" s="440">
        <f>표준압력!D4</f>
        <v>0</v>
      </c>
      <c r="E20" s="441">
        <f>MAX(C20:C49)</f>
        <v>0</v>
      </c>
      <c r="F20" s="442" t="str">
        <f ca="1">E15</f>
        <v/>
      </c>
      <c r="G20" s="443" t="str">
        <f ca="1">F15</f>
        <v/>
      </c>
      <c r="H20" s="442" t="str">
        <f ca="1">E16</f>
        <v/>
      </c>
      <c r="I20" s="444" t="str">
        <f ca="1">F16</f>
        <v/>
      </c>
      <c r="J20" s="445" t="str">
        <f ca="1">IF($B20="20409-0",F20,IF($E20&lt;=0,H20,IF($C20&lt;0,H20,F20)))</f>
        <v/>
      </c>
      <c r="K20" s="445" t="str">
        <f ca="1">IF($B20="20409-0",G20,IF($E20&lt;=0,I20,IF($C20&lt;0,I20,G20)))</f>
        <v/>
      </c>
      <c r="L20" s="391">
        <f>IF(C20=0,0,IF(AND(J20=F20,K20=G20,C20&lt;0),(ABS(C20)*J20+K20)*SIGN(C20),C20*J20+K20))</f>
        <v>0</v>
      </c>
      <c r="M20" s="449" t="e">
        <f>INDEX($C$3:$J$10,MATCH(D20,$C$2:$J$2,0),MATCH(O20,$B$3:$B$10,0))</f>
        <v>#N/A</v>
      </c>
      <c r="N20" s="519" t="e">
        <f>L20*M20</f>
        <v>#N/A</v>
      </c>
      <c r="O20" s="447">
        <f>표준압력!G4</f>
        <v>0</v>
      </c>
      <c r="P20" s="63"/>
      <c r="Q20" s="446" t="str">
        <f ca="1">H15</f>
        <v/>
      </c>
      <c r="R20" s="447" t="str">
        <f ca="1">I15</f>
        <v/>
      </c>
      <c r="S20" s="446" t="str">
        <f ca="1">H16</f>
        <v/>
      </c>
      <c r="T20" s="447" t="str">
        <f ca="1">I16</f>
        <v/>
      </c>
      <c r="U20" s="429" t="str">
        <f ca="1">IF($B20="20409-0",Q20,IF($E20&lt;=0,S20,IF($C20&lt;0,S20,Q20)))</f>
        <v/>
      </c>
      <c r="V20" s="430" t="str">
        <f t="shared" ref="V20:V49" ca="1" si="8">IF($B20="20409-0",R20,IF($E20&lt;=0,T20,IF($C20&lt;0,T20,R20)))</f>
        <v/>
      </c>
      <c r="W20" s="391" t="e">
        <f t="shared" ref="W20:W49" ca="1" si="9">IF(OR(V20="% of Reading",V20="% of F.S"),1,INDEX(C$3:J$10,MATCH(V20,B$3:B$10,0),MATCH(Y20,C$2:J$2,0)))</f>
        <v>#N/A</v>
      </c>
      <c r="X20" s="448" t="e">
        <f t="shared" ref="X20:X49" ca="1" si="10">IF(V20="% of Reading",N20*U20%,IF(V20="% of F.S",E20*U20%,U20*W20))</f>
        <v>#VALUE!</v>
      </c>
      <c r="Y20" s="447">
        <f>O20</f>
        <v>0</v>
      </c>
      <c r="AA20" s="391">
        <f>IF(B20="20408-0",MAX(E$20,E$102,E$184,E$266),E20)</f>
        <v>0</v>
      </c>
      <c r="AB20" s="442" t="str">
        <f ca="1">J15</f>
        <v/>
      </c>
      <c r="AC20" s="443" t="str">
        <f ca="1">K15</f>
        <v/>
      </c>
      <c r="AD20" s="444" t="str">
        <f ca="1">J16</f>
        <v/>
      </c>
      <c r="AE20" s="444" t="str">
        <f ca="1">K16</f>
        <v/>
      </c>
      <c r="AF20" s="429" t="str">
        <f ca="1">IF($B20="20409-0",AB20,IF($E20&lt;=0,AD20,IF($C20&lt;0,AD20,AB20)))</f>
        <v/>
      </c>
      <c r="AG20" s="430" t="str">
        <f t="shared" ref="AG20:AG49" ca="1" si="11">IF($B20="20409-0",AC20,IF($E20&lt;=0,AE20,IF($C20&lt;0,AE20,AC20)))</f>
        <v/>
      </c>
      <c r="AH20" s="444" t="str">
        <f ca="1">IF(AG20="% of Reading",AF20%*$C20,IF(AG20="% of F.S",AF20%*$AA20,AF20))</f>
        <v/>
      </c>
      <c r="AI20" s="444" t="str">
        <f t="shared" ref="AI20:AI49" ca="1" si="12">IF(OR(AG20="% of Reading",AG20="% of F.S"),$D20,AG20)</f>
        <v/>
      </c>
      <c r="AJ20" s="449" t="e">
        <f ca="1">INDEX($C$3:$J$10,MATCH(AI20,$C$2:$J$2,0),MATCH($AU20,$B$3:$B$10,0))</f>
        <v>#N/A</v>
      </c>
      <c r="AK20" s="442" t="str">
        <f ca="1">L15</f>
        <v/>
      </c>
      <c r="AL20" s="443" t="str">
        <f ca="1">M15</f>
        <v/>
      </c>
      <c r="AM20" s="444" t="str">
        <f ca="1">L16</f>
        <v/>
      </c>
      <c r="AN20" s="444" t="str">
        <f ca="1">M16</f>
        <v/>
      </c>
      <c r="AO20" s="429" t="str">
        <f ca="1">IF($B20="20409-0",AK20,IF($E20&lt;=0,AM20,IF($C20&lt;0,AM20,AK20)))</f>
        <v/>
      </c>
      <c r="AP20" s="430" t="str">
        <f t="shared" ref="AP20:AP49" ca="1" si="13">IF($B20="20409-0",AL20,IF($E20&lt;=0,AN20,IF($C20&lt;0,AN20,AL20)))</f>
        <v/>
      </c>
      <c r="AQ20" s="444" t="str">
        <f ca="1">IF(AP20="% of Reading",AO20%*$C20,IF(AP20="% of F.S",AO20%*$AA20,AO20))</f>
        <v/>
      </c>
      <c r="AR20" s="444" t="str">
        <f t="shared" ref="AR20:AR49" ca="1" si="14">IF(OR(AP20="% of Reading",AP20="% of F.S"),$D20,AP20)</f>
        <v/>
      </c>
      <c r="AS20" s="449" t="e">
        <f ca="1">INDEX($C$3:$J$10,MATCH(AR20,$C$2:$J$2,0),MATCH($AU20,$B$3:$B$10,0))</f>
        <v>#N/A</v>
      </c>
      <c r="AT20" s="450" t="e">
        <f ca="1">AH20*AJ20+IF(AR20=0,0,AQ20*AS20)</f>
        <v>#VALUE!</v>
      </c>
      <c r="AU20" s="451">
        <f>O20</f>
        <v>0</v>
      </c>
    </row>
    <row r="21" spans="2:47" ht="15" customHeight="1">
      <c r="B21" s="433">
        <f t="shared" ref="B21:B49" si="15">B20</f>
        <v>0</v>
      </c>
      <c r="C21" s="416">
        <f>표준압력!C5</f>
        <v>0</v>
      </c>
      <c r="D21" s="440">
        <f>표준압력!D5</f>
        <v>0</v>
      </c>
      <c r="E21" s="452">
        <f>E20</f>
        <v>0</v>
      </c>
      <c r="F21" s="453" t="str">
        <f ca="1">F20</f>
        <v/>
      </c>
      <c r="G21" s="454" t="str">
        <f ca="1">G20</f>
        <v/>
      </c>
      <c r="H21" s="453" t="str">
        <f t="shared" ref="H21:I36" ca="1" si="16">H20</f>
        <v/>
      </c>
      <c r="I21" s="452" t="str">
        <f t="shared" ca="1" si="16"/>
        <v/>
      </c>
      <c r="J21" s="445" t="str">
        <f t="shared" ref="J21:J49" ca="1" si="17">IF($B21="20409-0",F21,IF($E21&lt;=0,H21,IF($C21&lt;0,H21,F21)))</f>
        <v/>
      </c>
      <c r="K21" s="445" t="str">
        <f t="shared" ref="K21:K49" ca="1" si="18">IF($B21="20409-0",G21,IF($E21&lt;=0,I21,IF($C21&lt;0,I21,G21)))</f>
        <v/>
      </c>
      <c r="L21" s="391">
        <f t="shared" ref="L21:L49" si="19">IF(C21=0,0,IF(AND(J21=F21,K21=G21,C21&lt;0),(ABS(C21)*J21+K21)*SIGN(C21),C21*J21+K21))</f>
        <v>0</v>
      </c>
      <c r="M21" s="449" t="e">
        <f t="shared" ref="M21:M49" si="20">INDEX($C$3:$J$10,MATCH(D21,$C$2:$J$2,0),MATCH(O21,$B$3:$B$10,0))</f>
        <v>#N/A</v>
      </c>
      <c r="N21" s="519" t="e">
        <f t="shared" ref="N21:N49" si="21">L21*M21</f>
        <v>#N/A</v>
      </c>
      <c r="O21" s="447">
        <f>표준압력!G5</f>
        <v>0</v>
      </c>
      <c r="P21" s="435"/>
      <c r="Q21" s="453" t="str">
        <f t="shared" ref="Q21:T36" ca="1" si="22">Q20</f>
        <v/>
      </c>
      <c r="R21" s="454" t="str">
        <f t="shared" ca="1" si="22"/>
        <v/>
      </c>
      <c r="S21" s="453" t="str">
        <f t="shared" ca="1" si="22"/>
        <v/>
      </c>
      <c r="T21" s="454" t="str">
        <f t="shared" ca="1" si="22"/>
        <v/>
      </c>
      <c r="U21" s="429" t="str">
        <f t="shared" ref="U21:U49" ca="1" si="23">IF($B21="20409-0",Q21,IF($E21&lt;=0,S21,IF($C21&lt;0,S21,Q21)))</f>
        <v/>
      </c>
      <c r="V21" s="430" t="str">
        <f t="shared" ca="1" si="8"/>
        <v/>
      </c>
      <c r="W21" s="391" t="e">
        <f t="shared" ca="1" si="9"/>
        <v>#N/A</v>
      </c>
      <c r="X21" s="448" t="e">
        <f t="shared" ca="1" si="10"/>
        <v>#VALUE!</v>
      </c>
      <c r="Y21" s="447">
        <f t="shared" ref="Y21:Y49" si="24">O21</f>
        <v>0</v>
      </c>
      <c r="AA21" s="453">
        <f t="shared" ref="AA21:AE36" si="25">AA20</f>
        <v>0</v>
      </c>
      <c r="AB21" s="453" t="str">
        <f t="shared" ca="1" si="25"/>
        <v/>
      </c>
      <c r="AC21" s="454" t="str">
        <f t="shared" ca="1" si="25"/>
        <v/>
      </c>
      <c r="AD21" s="453" t="str">
        <f t="shared" ca="1" si="25"/>
        <v/>
      </c>
      <c r="AE21" s="454" t="str">
        <f t="shared" ca="1" si="25"/>
        <v/>
      </c>
      <c r="AF21" s="429" t="str">
        <f t="shared" ref="AF21:AF49" ca="1" si="26">IF($B21="20409-0",AB21,IF($E21&lt;=0,AD21,IF($C21&lt;0,AD21,AB21)))</f>
        <v/>
      </c>
      <c r="AG21" s="430" t="str">
        <f t="shared" ca="1" si="11"/>
        <v/>
      </c>
      <c r="AH21" s="444" t="str">
        <f t="shared" ref="AH21:AH49" ca="1" si="27">IF(AG21="% of Reading",AF21%*$C21,IF(AG21="% of F.S",AF21%*$AA21,AF21))</f>
        <v/>
      </c>
      <c r="AI21" s="444" t="str">
        <f t="shared" ca="1" si="12"/>
        <v/>
      </c>
      <c r="AJ21" s="449" t="e">
        <f t="shared" ref="AJ21:AJ49" ca="1" si="28">INDEX($C$3:$J$10,MATCH(AI21,$C$2:$J$2,0),MATCH($AU21,$B$3:$B$10,0))</f>
        <v>#N/A</v>
      </c>
      <c r="AK21" s="453" t="str">
        <f t="shared" ref="AK21:AN36" ca="1" si="29">AK20</f>
        <v/>
      </c>
      <c r="AL21" s="454" t="str">
        <f t="shared" ca="1" si="29"/>
        <v/>
      </c>
      <c r="AM21" s="453" t="str">
        <f t="shared" ca="1" si="29"/>
        <v/>
      </c>
      <c r="AN21" s="454" t="str">
        <f t="shared" ca="1" si="29"/>
        <v/>
      </c>
      <c r="AO21" s="429" t="str">
        <f t="shared" ref="AO21:AO49" ca="1" si="30">IF($B21="20409-0",AK21,IF($E21&lt;=0,AM21,IF($C21&lt;0,AM21,AK21)))</f>
        <v/>
      </c>
      <c r="AP21" s="430" t="str">
        <f t="shared" ca="1" si="13"/>
        <v/>
      </c>
      <c r="AQ21" s="444" t="str">
        <f t="shared" ref="AQ21:AQ49" ca="1" si="31">IF(AP21="% of Reading",AO21%*$C21,IF(AP21="% of F.S",AO21%*$AA21,AO21))</f>
        <v/>
      </c>
      <c r="AR21" s="444" t="str">
        <f t="shared" ca="1" si="14"/>
        <v/>
      </c>
      <c r="AS21" s="449" t="e">
        <f t="shared" ref="AS21:AS49" ca="1" si="32">INDEX($C$3:$J$10,MATCH(AR21,$C$2:$J$2,0),MATCH($AU21,$B$3:$B$10,0))</f>
        <v>#N/A</v>
      </c>
      <c r="AT21" s="450" t="e">
        <f t="shared" ref="AT21:AT49" ca="1" si="33">AH21*AJ21+IF(AR21=0,0,AQ21*AS21)</f>
        <v>#VALUE!</v>
      </c>
      <c r="AU21" s="451">
        <f t="shared" ref="AU21:AU49" si="34">O21</f>
        <v>0</v>
      </c>
    </row>
    <row r="22" spans="2:47" ht="15" customHeight="1">
      <c r="B22" s="433">
        <f t="shared" si="15"/>
        <v>0</v>
      </c>
      <c r="C22" s="416">
        <f>표준압력!C6</f>
        <v>0</v>
      </c>
      <c r="D22" s="440">
        <f>표준압력!D6</f>
        <v>0</v>
      </c>
      <c r="E22" s="452">
        <f t="shared" ref="E22:I37" si="35">E21</f>
        <v>0</v>
      </c>
      <c r="F22" s="453" t="str">
        <f t="shared" ca="1" si="35"/>
        <v/>
      </c>
      <c r="G22" s="454" t="str">
        <f t="shared" ca="1" si="35"/>
        <v/>
      </c>
      <c r="H22" s="453" t="str">
        <f t="shared" ca="1" si="16"/>
        <v/>
      </c>
      <c r="I22" s="452" t="str">
        <f t="shared" ca="1" si="16"/>
        <v/>
      </c>
      <c r="J22" s="445" t="str">
        <f t="shared" ca="1" si="17"/>
        <v/>
      </c>
      <c r="K22" s="445" t="str">
        <f t="shared" ca="1" si="18"/>
        <v/>
      </c>
      <c r="L22" s="391">
        <f t="shared" si="19"/>
        <v>0</v>
      </c>
      <c r="M22" s="449" t="e">
        <f t="shared" si="20"/>
        <v>#N/A</v>
      </c>
      <c r="N22" s="519" t="e">
        <f t="shared" si="21"/>
        <v>#N/A</v>
      </c>
      <c r="O22" s="447">
        <f>표준압력!G6</f>
        <v>0</v>
      </c>
      <c r="P22" s="435"/>
      <c r="Q22" s="453" t="str">
        <f t="shared" ca="1" si="22"/>
        <v/>
      </c>
      <c r="R22" s="454" t="str">
        <f t="shared" ca="1" si="22"/>
        <v/>
      </c>
      <c r="S22" s="453" t="str">
        <f t="shared" ca="1" si="22"/>
        <v/>
      </c>
      <c r="T22" s="454" t="str">
        <f t="shared" ca="1" si="22"/>
        <v/>
      </c>
      <c r="U22" s="429" t="str">
        <f t="shared" ca="1" si="23"/>
        <v/>
      </c>
      <c r="V22" s="430" t="str">
        <f t="shared" ca="1" si="8"/>
        <v/>
      </c>
      <c r="W22" s="391" t="e">
        <f t="shared" ca="1" si="9"/>
        <v>#N/A</v>
      </c>
      <c r="X22" s="448" t="e">
        <f t="shared" ca="1" si="10"/>
        <v>#VALUE!</v>
      </c>
      <c r="Y22" s="447">
        <f t="shared" si="24"/>
        <v>0</v>
      </c>
      <c r="AA22" s="453">
        <f t="shared" si="25"/>
        <v>0</v>
      </c>
      <c r="AB22" s="453" t="str">
        <f t="shared" ca="1" si="25"/>
        <v/>
      </c>
      <c r="AC22" s="454" t="str">
        <f t="shared" ca="1" si="25"/>
        <v/>
      </c>
      <c r="AD22" s="453" t="str">
        <f t="shared" ca="1" si="25"/>
        <v/>
      </c>
      <c r="AE22" s="454" t="str">
        <f t="shared" ca="1" si="25"/>
        <v/>
      </c>
      <c r="AF22" s="429" t="str">
        <f t="shared" ca="1" si="26"/>
        <v/>
      </c>
      <c r="AG22" s="430" t="str">
        <f t="shared" ca="1" si="11"/>
        <v/>
      </c>
      <c r="AH22" s="444" t="str">
        <f t="shared" ca="1" si="27"/>
        <v/>
      </c>
      <c r="AI22" s="444" t="str">
        <f t="shared" ca="1" si="12"/>
        <v/>
      </c>
      <c r="AJ22" s="449" t="e">
        <f t="shared" ca="1" si="28"/>
        <v>#N/A</v>
      </c>
      <c r="AK22" s="453" t="str">
        <f t="shared" ca="1" si="29"/>
        <v/>
      </c>
      <c r="AL22" s="454" t="str">
        <f t="shared" ca="1" si="29"/>
        <v/>
      </c>
      <c r="AM22" s="453" t="str">
        <f t="shared" ca="1" si="29"/>
        <v/>
      </c>
      <c r="AN22" s="454" t="str">
        <f t="shared" ca="1" si="29"/>
        <v/>
      </c>
      <c r="AO22" s="429" t="str">
        <f t="shared" ca="1" si="30"/>
        <v/>
      </c>
      <c r="AP22" s="430" t="str">
        <f t="shared" ca="1" si="13"/>
        <v/>
      </c>
      <c r="AQ22" s="444" t="str">
        <f t="shared" ca="1" si="31"/>
        <v/>
      </c>
      <c r="AR22" s="444" t="str">
        <f t="shared" ca="1" si="14"/>
        <v/>
      </c>
      <c r="AS22" s="449" t="e">
        <f t="shared" ca="1" si="32"/>
        <v>#N/A</v>
      </c>
      <c r="AT22" s="450" t="e">
        <f t="shared" ca="1" si="33"/>
        <v>#VALUE!</v>
      </c>
      <c r="AU22" s="451">
        <f t="shared" si="34"/>
        <v>0</v>
      </c>
    </row>
    <row r="23" spans="2:47" ht="15" customHeight="1">
      <c r="B23" s="433">
        <f t="shared" si="15"/>
        <v>0</v>
      </c>
      <c r="C23" s="416">
        <f>표준압력!C7</f>
        <v>0</v>
      </c>
      <c r="D23" s="440">
        <f>표준압력!D7</f>
        <v>0</v>
      </c>
      <c r="E23" s="452">
        <f t="shared" si="35"/>
        <v>0</v>
      </c>
      <c r="F23" s="453" t="str">
        <f t="shared" ca="1" si="35"/>
        <v/>
      </c>
      <c r="G23" s="454" t="str">
        <f t="shared" ca="1" si="35"/>
        <v/>
      </c>
      <c r="H23" s="453" t="str">
        <f t="shared" ca="1" si="16"/>
        <v/>
      </c>
      <c r="I23" s="452" t="str">
        <f t="shared" ca="1" si="16"/>
        <v/>
      </c>
      <c r="J23" s="445" t="str">
        <f t="shared" ca="1" si="17"/>
        <v/>
      </c>
      <c r="K23" s="445" t="str">
        <f t="shared" ca="1" si="18"/>
        <v/>
      </c>
      <c r="L23" s="391">
        <f t="shared" si="19"/>
        <v>0</v>
      </c>
      <c r="M23" s="449" t="e">
        <f t="shared" si="20"/>
        <v>#N/A</v>
      </c>
      <c r="N23" s="519" t="e">
        <f t="shared" si="21"/>
        <v>#N/A</v>
      </c>
      <c r="O23" s="447">
        <f>표준압력!G7</f>
        <v>0</v>
      </c>
      <c r="P23" s="435"/>
      <c r="Q23" s="453" t="str">
        <f t="shared" ca="1" si="22"/>
        <v/>
      </c>
      <c r="R23" s="454" t="str">
        <f t="shared" ca="1" si="22"/>
        <v/>
      </c>
      <c r="S23" s="453" t="str">
        <f t="shared" ca="1" si="22"/>
        <v/>
      </c>
      <c r="T23" s="454" t="str">
        <f t="shared" ca="1" si="22"/>
        <v/>
      </c>
      <c r="U23" s="429" t="str">
        <f t="shared" ca="1" si="23"/>
        <v/>
      </c>
      <c r="V23" s="430" t="str">
        <f t="shared" ca="1" si="8"/>
        <v/>
      </c>
      <c r="W23" s="391" t="e">
        <f t="shared" ca="1" si="9"/>
        <v>#N/A</v>
      </c>
      <c r="X23" s="448" t="e">
        <f t="shared" ca="1" si="10"/>
        <v>#VALUE!</v>
      </c>
      <c r="Y23" s="447">
        <f t="shared" si="24"/>
        <v>0</v>
      </c>
      <c r="AA23" s="453">
        <f t="shared" si="25"/>
        <v>0</v>
      </c>
      <c r="AB23" s="453" t="str">
        <f t="shared" ca="1" si="25"/>
        <v/>
      </c>
      <c r="AC23" s="454" t="str">
        <f t="shared" ca="1" si="25"/>
        <v/>
      </c>
      <c r="AD23" s="453" t="str">
        <f t="shared" ca="1" si="25"/>
        <v/>
      </c>
      <c r="AE23" s="454" t="str">
        <f t="shared" ca="1" si="25"/>
        <v/>
      </c>
      <c r="AF23" s="429" t="str">
        <f t="shared" ca="1" si="26"/>
        <v/>
      </c>
      <c r="AG23" s="430" t="str">
        <f t="shared" ca="1" si="11"/>
        <v/>
      </c>
      <c r="AH23" s="444" t="str">
        <f t="shared" ca="1" si="27"/>
        <v/>
      </c>
      <c r="AI23" s="444" t="str">
        <f t="shared" ca="1" si="12"/>
        <v/>
      </c>
      <c r="AJ23" s="449" t="e">
        <f t="shared" ca="1" si="28"/>
        <v>#N/A</v>
      </c>
      <c r="AK23" s="453" t="str">
        <f t="shared" ca="1" si="29"/>
        <v/>
      </c>
      <c r="AL23" s="454" t="str">
        <f t="shared" ca="1" si="29"/>
        <v/>
      </c>
      <c r="AM23" s="453" t="str">
        <f t="shared" ca="1" si="29"/>
        <v/>
      </c>
      <c r="AN23" s="454" t="str">
        <f t="shared" ca="1" si="29"/>
        <v/>
      </c>
      <c r="AO23" s="429" t="str">
        <f t="shared" ca="1" si="30"/>
        <v/>
      </c>
      <c r="AP23" s="430" t="str">
        <f t="shared" ca="1" si="13"/>
        <v/>
      </c>
      <c r="AQ23" s="444" t="str">
        <f t="shared" ca="1" si="31"/>
        <v/>
      </c>
      <c r="AR23" s="444" t="str">
        <f t="shared" ca="1" si="14"/>
        <v/>
      </c>
      <c r="AS23" s="449" t="e">
        <f t="shared" ca="1" si="32"/>
        <v>#N/A</v>
      </c>
      <c r="AT23" s="450" t="e">
        <f t="shared" ca="1" si="33"/>
        <v>#VALUE!</v>
      </c>
      <c r="AU23" s="451">
        <f t="shared" si="34"/>
        <v>0</v>
      </c>
    </row>
    <row r="24" spans="2:47" ht="15" customHeight="1">
      <c r="B24" s="433">
        <f t="shared" si="15"/>
        <v>0</v>
      </c>
      <c r="C24" s="416">
        <f>표준압력!C8</f>
        <v>0</v>
      </c>
      <c r="D24" s="440">
        <f>표준압력!D8</f>
        <v>0</v>
      </c>
      <c r="E24" s="452">
        <f t="shared" si="35"/>
        <v>0</v>
      </c>
      <c r="F24" s="453" t="str">
        <f t="shared" ca="1" si="35"/>
        <v/>
      </c>
      <c r="G24" s="454" t="str">
        <f t="shared" ca="1" si="35"/>
        <v/>
      </c>
      <c r="H24" s="453" t="str">
        <f t="shared" ca="1" si="16"/>
        <v/>
      </c>
      <c r="I24" s="452" t="str">
        <f t="shared" ca="1" si="16"/>
        <v/>
      </c>
      <c r="J24" s="445" t="str">
        <f t="shared" ca="1" si="17"/>
        <v/>
      </c>
      <c r="K24" s="445" t="str">
        <f t="shared" ca="1" si="18"/>
        <v/>
      </c>
      <c r="L24" s="391">
        <f t="shared" si="19"/>
        <v>0</v>
      </c>
      <c r="M24" s="449" t="e">
        <f t="shared" si="20"/>
        <v>#N/A</v>
      </c>
      <c r="N24" s="519" t="e">
        <f t="shared" si="21"/>
        <v>#N/A</v>
      </c>
      <c r="O24" s="447">
        <f>표준압력!G8</f>
        <v>0</v>
      </c>
      <c r="P24" s="435"/>
      <c r="Q24" s="453" t="str">
        <f t="shared" ca="1" si="22"/>
        <v/>
      </c>
      <c r="R24" s="454" t="str">
        <f t="shared" ca="1" si="22"/>
        <v/>
      </c>
      <c r="S24" s="453" t="str">
        <f t="shared" ca="1" si="22"/>
        <v/>
      </c>
      <c r="T24" s="454" t="str">
        <f t="shared" ca="1" si="22"/>
        <v/>
      </c>
      <c r="U24" s="429" t="str">
        <f t="shared" ca="1" si="23"/>
        <v/>
      </c>
      <c r="V24" s="430" t="str">
        <f t="shared" ca="1" si="8"/>
        <v/>
      </c>
      <c r="W24" s="391" t="e">
        <f t="shared" ca="1" si="9"/>
        <v>#N/A</v>
      </c>
      <c r="X24" s="448" t="e">
        <f t="shared" ca="1" si="10"/>
        <v>#VALUE!</v>
      </c>
      <c r="Y24" s="447">
        <f t="shared" si="24"/>
        <v>0</v>
      </c>
      <c r="AA24" s="453">
        <f t="shared" si="25"/>
        <v>0</v>
      </c>
      <c r="AB24" s="453" t="str">
        <f t="shared" ca="1" si="25"/>
        <v/>
      </c>
      <c r="AC24" s="454" t="str">
        <f t="shared" ca="1" si="25"/>
        <v/>
      </c>
      <c r="AD24" s="453" t="str">
        <f t="shared" ca="1" si="25"/>
        <v/>
      </c>
      <c r="AE24" s="454" t="str">
        <f t="shared" ca="1" si="25"/>
        <v/>
      </c>
      <c r="AF24" s="429" t="str">
        <f t="shared" ca="1" si="26"/>
        <v/>
      </c>
      <c r="AG24" s="430" t="str">
        <f t="shared" ca="1" si="11"/>
        <v/>
      </c>
      <c r="AH24" s="444" t="str">
        <f t="shared" ca="1" si="27"/>
        <v/>
      </c>
      <c r="AI24" s="444" t="str">
        <f t="shared" ca="1" si="12"/>
        <v/>
      </c>
      <c r="AJ24" s="449" t="e">
        <f t="shared" ca="1" si="28"/>
        <v>#N/A</v>
      </c>
      <c r="AK24" s="453" t="str">
        <f t="shared" ca="1" si="29"/>
        <v/>
      </c>
      <c r="AL24" s="454" t="str">
        <f t="shared" ca="1" si="29"/>
        <v/>
      </c>
      <c r="AM24" s="453" t="str">
        <f t="shared" ca="1" si="29"/>
        <v/>
      </c>
      <c r="AN24" s="454" t="str">
        <f t="shared" ca="1" si="29"/>
        <v/>
      </c>
      <c r="AO24" s="429" t="str">
        <f t="shared" ca="1" si="30"/>
        <v/>
      </c>
      <c r="AP24" s="430" t="str">
        <f t="shared" ca="1" si="13"/>
        <v/>
      </c>
      <c r="AQ24" s="444" t="str">
        <f t="shared" ca="1" si="31"/>
        <v/>
      </c>
      <c r="AR24" s="444" t="str">
        <f t="shared" ca="1" si="14"/>
        <v/>
      </c>
      <c r="AS24" s="449" t="e">
        <f t="shared" ca="1" si="32"/>
        <v>#N/A</v>
      </c>
      <c r="AT24" s="450" t="e">
        <f t="shared" ca="1" si="33"/>
        <v>#VALUE!</v>
      </c>
      <c r="AU24" s="451">
        <f t="shared" si="34"/>
        <v>0</v>
      </c>
    </row>
    <row r="25" spans="2:47" ht="15" customHeight="1">
      <c r="B25" s="433">
        <f t="shared" si="15"/>
        <v>0</v>
      </c>
      <c r="C25" s="416">
        <f>표준압력!C9</f>
        <v>0</v>
      </c>
      <c r="D25" s="440">
        <f>표준압력!D9</f>
        <v>0</v>
      </c>
      <c r="E25" s="452">
        <f t="shared" si="35"/>
        <v>0</v>
      </c>
      <c r="F25" s="453" t="str">
        <f t="shared" ca="1" si="35"/>
        <v/>
      </c>
      <c r="G25" s="454" t="str">
        <f t="shared" ca="1" si="35"/>
        <v/>
      </c>
      <c r="H25" s="453" t="str">
        <f t="shared" ca="1" si="16"/>
        <v/>
      </c>
      <c r="I25" s="452" t="str">
        <f t="shared" ca="1" si="16"/>
        <v/>
      </c>
      <c r="J25" s="445" t="str">
        <f t="shared" ca="1" si="17"/>
        <v/>
      </c>
      <c r="K25" s="445" t="str">
        <f t="shared" ca="1" si="18"/>
        <v/>
      </c>
      <c r="L25" s="391">
        <f t="shared" si="19"/>
        <v>0</v>
      </c>
      <c r="M25" s="449" t="e">
        <f t="shared" si="20"/>
        <v>#N/A</v>
      </c>
      <c r="N25" s="519" t="e">
        <f t="shared" si="21"/>
        <v>#N/A</v>
      </c>
      <c r="O25" s="447">
        <f>표준압력!G9</f>
        <v>0</v>
      </c>
      <c r="P25" s="435"/>
      <c r="Q25" s="453" t="str">
        <f t="shared" ca="1" si="22"/>
        <v/>
      </c>
      <c r="R25" s="454" t="str">
        <f t="shared" ca="1" si="22"/>
        <v/>
      </c>
      <c r="S25" s="453" t="str">
        <f t="shared" ca="1" si="22"/>
        <v/>
      </c>
      <c r="T25" s="454" t="str">
        <f t="shared" ca="1" si="22"/>
        <v/>
      </c>
      <c r="U25" s="429" t="str">
        <f t="shared" ca="1" si="23"/>
        <v/>
      </c>
      <c r="V25" s="430" t="str">
        <f t="shared" ca="1" si="8"/>
        <v/>
      </c>
      <c r="W25" s="391" t="e">
        <f t="shared" ca="1" si="9"/>
        <v>#N/A</v>
      </c>
      <c r="X25" s="448" t="e">
        <f t="shared" ca="1" si="10"/>
        <v>#VALUE!</v>
      </c>
      <c r="Y25" s="447">
        <f t="shared" si="24"/>
        <v>0</v>
      </c>
      <c r="AA25" s="453">
        <f t="shared" si="25"/>
        <v>0</v>
      </c>
      <c r="AB25" s="453" t="str">
        <f t="shared" ca="1" si="25"/>
        <v/>
      </c>
      <c r="AC25" s="454" t="str">
        <f t="shared" ca="1" si="25"/>
        <v/>
      </c>
      <c r="AD25" s="453" t="str">
        <f t="shared" ca="1" si="25"/>
        <v/>
      </c>
      <c r="AE25" s="454" t="str">
        <f t="shared" ca="1" si="25"/>
        <v/>
      </c>
      <c r="AF25" s="429" t="str">
        <f t="shared" ca="1" si="26"/>
        <v/>
      </c>
      <c r="AG25" s="430" t="str">
        <f t="shared" ca="1" si="11"/>
        <v/>
      </c>
      <c r="AH25" s="444" t="str">
        <f t="shared" ca="1" si="27"/>
        <v/>
      </c>
      <c r="AI25" s="444" t="str">
        <f t="shared" ca="1" si="12"/>
        <v/>
      </c>
      <c r="AJ25" s="449" t="e">
        <f t="shared" ca="1" si="28"/>
        <v>#N/A</v>
      </c>
      <c r="AK25" s="453" t="str">
        <f t="shared" ca="1" si="29"/>
        <v/>
      </c>
      <c r="AL25" s="454" t="str">
        <f t="shared" ca="1" si="29"/>
        <v/>
      </c>
      <c r="AM25" s="453" t="str">
        <f t="shared" ca="1" si="29"/>
        <v/>
      </c>
      <c r="AN25" s="454" t="str">
        <f t="shared" ca="1" si="29"/>
        <v/>
      </c>
      <c r="AO25" s="429" t="str">
        <f t="shared" ca="1" si="30"/>
        <v/>
      </c>
      <c r="AP25" s="430" t="str">
        <f t="shared" ca="1" si="13"/>
        <v/>
      </c>
      <c r="AQ25" s="444" t="str">
        <f t="shared" ca="1" si="31"/>
        <v/>
      </c>
      <c r="AR25" s="444" t="str">
        <f t="shared" ca="1" si="14"/>
        <v/>
      </c>
      <c r="AS25" s="449" t="e">
        <f t="shared" ca="1" si="32"/>
        <v>#N/A</v>
      </c>
      <c r="AT25" s="450" t="e">
        <f t="shared" ca="1" si="33"/>
        <v>#VALUE!</v>
      </c>
      <c r="AU25" s="451">
        <f t="shared" si="34"/>
        <v>0</v>
      </c>
    </row>
    <row r="26" spans="2:47" ht="15" customHeight="1">
      <c r="B26" s="433">
        <f t="shared" si="15"/>
        <v>0</v>
      </c>
      <c r="C26" s="416">
        <f>표준압력!C10</f>
        <v>0</v>
      </c>
      <c r="D26" s="440">
        <f>표준압력!D10</f>
        <v>0</v>
      </c>
      <c r="E26" s="452">
        <f t="shared" si="35"/>
        <v>0</v>
      </c>
      <c r="F26" s="453" t="str">
        <f t="shared" ca="1" si="35"/>
        <v/>
      </c>
      <c r="G26" s="454" t="str">
        <f t="shared" ca="1" si="35"/>
        <v/>
      </c>
      <c r="H26" s="453" t="str">
        <f t="shared" ca="1" si="16"/>
        <v/>
      </c>
      <c r="I26" s="452" t="str">
        <f t="shared" ca="1" si="16"/>
        <v/>
      </c>
      <c r="J26" s="445" t="str">
        <f t="shared" ca="1" si="17"/>
        <v/>
      </c>
      <c r="K26" s="445" t="str">
        <f t="shared" ca="1" si="18"/>
        <v/>
      </c>
      <c r="L26" s="391">
        <f t="shared" si="19"/>
        <v>0</v>
      </c>
      <c r="M26" s="449" t="e">
        <f t="shared" si="20"/>
        <v>#N/A</v>
      </c>
      <c r="N26" s="519" t="e">
        <f t="shared" si="21"/>
        <v>#N/A</v>
      </c>
      <c r="O26" s="447">
        <f>표준압력!G10</f>
        <v>0</v>
      </c>
      <c r="P26" s="435"/>
      <c r="Q26" s="453" t="str">
        <f t="shared" ca="1" si="22"/>
        <v/>
      </c>
      <c r="R26" s="454" t="str">
        <f t="shared" ca="1" si="22"/>
        <v/>
      </c>
      <c r="S26" s="453" t="str">
        <f t="shared" ca="1" si="22"/>
        <v/>
      </c>
      <c r="T26" s="454" t="str">
        <f t="shared" ca="1" si="22"/>
        <v/>
      </c>
      <c r="U26" s="429" t="str">
        <f t="shared" ca="1" si="23"/>
        <v/>
      </c>
      <c r="V26" s="430" t="str">
        <f t="shared" ca="1" si="8"/>
        <v/>
      </c>
      <c r="W26" s="391" t="e">
        <f t="shared" ca="1" si="9"/>
        <v>#N/A</v>
      </c>
      <c r="X26" s="448" t="e">
        <f t="shared" ca="1" si="10"/>
        <v>#VALUE!</v>
      </c>
      <c r="Y26" s="447">
        <f t="shared" si="24"/>
        <v>0</v>
      </c>
      <c r="AA26" s="453">
        <f t="shared" si="25"/>
        <v>0</v>
      </c>
      <c r="AB26" s="453" t="str">
        <f t="shared" ca="1" si="25"/>
        <v/>
      </c>
      <c r="AC26" s="454" t="str">
        <f t="shared" ca="1" si="25"/>
        <v/>
      </c>
      <c r="AD26" s="453" t="str">
        <f t="shared" ca="1" si="25"/>
        <v/>
      </c>
      <c r="AE26" s="454" t="str">
        <f t="shared" ca="1" si="25"/>
        <v/>
      </c>
      <c r="AF26" s="429" t="str">
        <f t="shared" ca="1" si="26"/>
        <v/>
      </c>
      <c r="AG26" s="430" t="str">
        <f t="shared" ca="1" si="11"/>
        <v/>
      </c>
      <c r="AH26" s="444" t="str">
        <f t="shared" ca="1" si="27"/>
        <v/>
      </c>
      <c r="AI26" s="444" t="str">
        <f t="shared" ca="1" si="12"/>
        <v/>
      </c>
      <c r="AJ26" s="449" t="e">
        <f t="shared" ca="1" si="28"/>
        <v>#N/A</v>
      </c>
      <c r="AK26" s="453" t="str">
        <f t="shared" ca="1" si="29"/>
        <v/>
      </c>
      <c r="AL26" s="454" t="str">
        <f t="shared" ca="1" si="29"/>
        <v/>
      </c>
      <c r="AM26" s="453" t="str">
        <f t="shared" ca="1" si="29"/>
        <v/>
      </c>
      <c r="AN26" s="454" t="str">
        <f t="shared" ca="1" si="29"/>
        <v/>
      </c>
      <c r="AO26" s="429" t="str">
        <f t="shared" ca="1" si="30"/>
        <v/>
      </c>
      <c r="AP26" s="430" t="str">
        <f t="shared" ca="1" si="13"/>
        <v/>
      </c>
      <c r="AQ26" s="444" t="str">
        <f t="shared" ca="1" si="31"/>
        <v/>
      </c>
      <c r="AR26" s="444" t="str">
        <f t="shared" ca="1" si="14"/>
        <v/>
      </c>
      <c r="AS26" s="449" t="e">
        <f t="shared" ca="1" si="32"/>
        <v>#N/A</v>
      </c>
      <c r="AT26" s="450" t="e">
        <f t="shared" ca="1" si="33"/>
        <v>#VALUE!</v>
      </c>
      <c r="AU26" s="451">
        <f t="shared" si="34"/>
        <v>0</v>
      </c>
    </row>
    <row r="27" spans="2:47" ht="15" customHeight="1">
      <c r="B27" s="433">
        <f t="shared" si="15"/>
        <v>0</v>
      </c>
      <c r="C27" s="416">
        <f>표준압력!C11</f>
        <v>0</v>
      </c>
      <c r="D27" s="440">
        <f>표준압력!D11</f>
        <v>0</v>
      </c>
      <c r="E27" s="452">
        <f t="shared" si="35"/>
        <v>0</v>
      </c>
      <c r="F27" s="453" t="str">
        <f t="shared" ca="1" si="35"/>
        <v/>
      </c>
      <c r="G27" s="454" t="str">
        <f t="shared" ca="1" si="35"/>
        <v/>
      </c>
      <c r="H27" s="453" t="str">
        <f t="shared" ca="1" si="16"/>
        <v/>
      </c>
      <c r="I27" s="452" t="str">
        <f t="shared" ca="1" si="16"/>
        <v/>
      </c>
      <c r="J27" s="445" t="str">
        <f t="shared" ca="1" si="17"/>
        <v/>
      </c>
      <c r="K27" s="445" t="str">
        <f t="shared" ca="1" si="18"/>
        <v/>
      </c>
      <c r="L27" s="391">
        <f t="shared" si="19"/>
        <v>0</v>
      </c>
      <c r="M27" s="449" t="e">
        <f t="shared" si="20"/>
        <v>#N/A</v>
      </c>
      <c r="N27" s="519" t="e">
        <f t="shared" si="21"/>
        <v>#N/A</v>
      </c>
      <c r="O27" s="447">
        <f>표준압력!G11</f>
        <v>0</v>
      </c>
      <c r="P27" s="435"/>
      <c r="Q27" s="453" t="str">
        <f t="shared" ca="1" si="22"/>
        <v/>
      </c>
      <c r="R27" s="454" t="str">
        <f t="shared" ca="1" si="22"/>
        <v/>
      </c>
      <c r="S27" s="453" t="str">
        <f t="shared" ca="1" si="22"/>
        <v/>
      </c>
      <c r="T27" s="454" t="str">
        <f t="shared" ca="1" si="22"/>
        <v/>
      </c>
      <c r="U27" s="429" t="str">
        <f t="shared" ca="1" si="23"/>
        <v/>
      </c>
      <c r="V27" s="430" t="str">
        <f t="shared" ca="1" si="8"/>
        <v/>
      </c>
      <c r="W27" s="391" t="e">
        <f t="shared" ca="1" si="9"/>
        <v>#N/A</v>
      </c>
      <c r="X27" s="448" t="e">
        <f t="shared" ca="1" si="10"/>
        <v>#VALUE!</v>
      </c>
      <c r="Y27" s="447">
        <f t="shared" si="24"/>
        <v>0</v>
      </c>
      <c r="AA27" s="453">
        <f t="shared" si="25"/>
        <v>0</v>
      </c>
      <c r="AB27" s="453" t="str">
        <f t="shared" ca="1" si="25"/>
        <v/>
      </c>
      <c r="AC27" s="454" t="str">
        <f t="shared" ca="1" si="25"/>
        <v/>
      </c>
      <c r="AD27" s="453" t="str">
        <f t="shared" ca="1" si="25"/>
        <v/>
      </c>
      <c r="AE27" s="454" t="str">
        <f t="shared" ca="1" si="25"/>
        <v/>
      </c>
      <c r="AF27" s="429" t="str">
        <f t="shared" ca="1" si="26"/>
        <v/>
      </c>
      <c r="AG27" s="430" t="str">
        <f t="shared" ca="1" si="11"/>
        <v/>
      </c>
      <c r="AH27" s="444" t="str">
        <f t="shared" ca="1" si="27"/>
        <v/>
      </c>
      <c r="AI27" s="444" t="str">
        <f t="shared" ca="1" si="12"/>
        <v/>
      </c>
      <c r="AJ27" s="449" t="e">
        <f t="shared" ca="1" si="28"/>
        <v>#N/A</v>
      </c>
      <c r="AK27" s="453" t="str">
        <f t="shared" ca="1" si="29"/>
        <v/>
      </c>
      <c r="AL27" s="454" t="str">
        <f t="shared" ca="1" si="29"/>
        <v/>
      </c>
      <c r="AM27" s="453" t="str">
        <f t="shared" ca="1" si="29"/>
        <v/>
      </c>
      <c r="AN27" s="454" t="str">
        <f t="shared" ca="1" si="29"/>
        <v/>
      </c>
      <c r="AO27" s="429" t="str">
        <f t="shared" ca="1" si="30"/>
        <v/>
      </c>
      <c r="AP27" s="430" t="str">
        <f t="shared" ca="1" si="13"/>
        <v/>
      </c>
      <c r="AQ27" s="444" t="str">
        <f t="shared" ca="1" si="31"/>
        <v/>
      </c>
      <c r="AR27" s="444" t="str">
        <f t="shared" ca="1" si="14"/>
        <v/>
      </c>
      <c r="AS27" s="449" t="e">
        <f t="shared" ca="1" si="32"/>
        <v>#N/A</v>
      </c>
      <c r="AT27" s="450" t="e">
        <f t="shared" ca="1" si="33"/>
        <v>#VALUE!</v>
      </c>
      <c r="AU27" s="451">
        <f t="shared" si="34"/>
        <v>0</v>
      </c>
    </row>
    <row r="28" spans="2:47" ht="15" customHeight="1">
      <c r="B28" s="433">
        <f t="shared" si="15"/>
        <v>0</v>
      </c>
      <c r="C28" s="416">
        <f>표준압력!C12</f>
        <v>0</v>
      </c>
      <c r="D28" s="440">
        <f>표준압력!D12</f>
        <v>0</v>
      </c>
      <c r="E28" s="452">
        <f t="shared" si="35"/>
        <v>0</v>
      </c>
      <c r="F28" s="453" t="str">
        <f t="shared" ca="1" si="35"/>
        <v/>
      </c>
      <c r="G28" s="454" t="str">
        <f t="shared" ca="1" si="35"/>
        <v/>
      </c>
      <c r="H28" s="453" t="str">
        <f t="shared" ca="1" si="16"/>
        <v/>
      </c>
      <c r="I28" s="452" t="str">
        <f t="shared" ca="1" si="16"/>
        <v/>
      </c>
      <c r="J28" s="445" t="str">
        <f t="shared" ca="1" si="17"/>
        <v/>
      </c>
      <c r="K28" s="445" t="str">
        <f t="shared" ca="1" si="18"/>
        <v/>
      </c>
      <c r="L28" s="391">
        <f t="shared" si="19"/>
        <v>0</v>
      </c>
      <c r="M28" s="449" t="e">
        <f t="shared" si="20"/>
        <v>#N/A</v>
      </c>
      <c r="N28" s="519" t="e">
        <f t="shared" si="21"/>
        <v>#N/A</v>
      </c>
      <c r="O28" s="447">
        <f>표준압력!G12</f>
        <v>0</v>
      </c>
      <c r="P28" s="435"/>
      <c r="Q28" s="453" t="str">
        <f t="shared" ca="1" si="22"/>
        <v/>
      </c>
      <c r="R28" s="454" t="str">
        <f t="shared" ca="1" si="22"/>
        <v/>
      </c>
      <c r="S28" s="453" t="str">
        <f t="shared" ca="1" si="22"/>
        <v/>
      </c>
      <c r="T28" s="454" t="str">
        <f t="shared" ca="1" si="22"/>
        <v/>
      </c>
      <c r="U28" s="429" t="str">
        <f t="shared" ca="1" si="23"/>
        <v/>
      </c>
      <c r="V28" s="430" t="str">
        <f t="shared" ca="1" si="8"/>
        <v/>
      </c>
      <c r="W28" s="391" t="e">
        <f t="shared" ca="1" si="9"/>
        <v>#N/A</v>
      </c>
      <c r="X28" s="448" t="e">
        <f t="shared" ca="1" si="10"/>
        <v>#VALUE!</v>
      </c>
      <c r="Y28" s="447">
        <f t="shared" si="24"/>
        <v>0</v>
      </c>
      <c r="AA28" s="453">
        <f t="shared" si="25"/>
        <v>0</v>
      </c>
      <c r="AB28" s="453" t="str">
        <f t="shared" ca="1" si="25"/>
        <v/>
      </c>
      <c r="AC28" s="454" t="str">
        <f t="shared" ca="1" si="25"/>
        <v/>
      </c>
      <c r="AD28" s="453" t="str">
        <f t="shared" ca="1" si="25"/>
        <v/>
      </c>
      <c r="AE28" s="454" t="str">
        <f t="shared" ca="1" si="25"/>
        <v/>
      </c>
      <c r="AF28" s="429" t="str">
        <f t="shared" ca="1" si="26"/>
        <v/>
      </c>
      <c r="AG28" s="430" t="str">
        <f t="shared" ca="1" si="11"/>
        <v/>
      </c>
      <c r="AH28" s="444" t="str">
        <f t="shared" ca="1" si="27"/>
        <v/>
      </c>
      <c r="AI28" s="444" t="str">
        <f t="shared" ca="1" si="12"/>
        <v/>
      </c>
      <c r="AJ28" s="449" t="e">
        <f t="shared" ca="1" si="28"/>
        <v>#N/A</v>
      </c>
      <c r="AK28" s="453" t="str">
        <f t="shared" ca="1" si="29"/>
        <v/>
      </c>
      <c r="AL28" s="454" t="str">
        <f t="shared" ca="1" si="29"/>
        <v/>
      </c>
      <c r="AM28" s="453" t="str">
        <f t="shared" ca="1" si="29"/>
        <v/>
      </c>
      <c r="AN28" s="454" t="str">
        <f t="shared" ca="1" si="29"/>
        <v/>
      </c>
      <c r="AO28" s="429" t="str">
        <f t="shared" ca="1" si="30"/>
        <v/>
      </c>
      <c r="AP28" s="430" t="str">
        <f t="shared" ca="1" si="13"/>
        <v/>
      </c>
      <c r="AQ28" s="444" t="str">
        <f t="shared" ca="1" si="31"/>
        <v/>
      </c>
      <c r="AR28" s="444" t="str">
        <f t="shared" ca="1" si="14"/>
        <v/>
      </c>
      <c r="AS28" s="449" t="e">
        <f t="shared" ca="1" si="32"/>
        <v>#N/A</v>
      </c>
      <c r="AT28" s="450" t="e">
        <f t="shared" ca="1" si="33"/>
        <v>#VALUE!</v>
      </c>
      <c r="AU28" s="451">
        <f t="shared" si="34"/>
        <v>0</v>
      </c>
    </row>
    <row r="29" spans="2:47" ht="15" customHeight="1">
      <c r="B29" s="433">
        <f t="shared" si="15"/>
        <v>0</v>
      </c>
      <c r="C29" s="416">
        <f>표준압력!C13</f>
        <v>0</v>
      </c>
      <c r="D29" s="440">
        <f>표준압력!D13</f>
        <v>0</v>
      </c>
      <c r="E29" s="452">
        <f t="shared" si="35"/>
        <v>0</v>
      </c>
      <c r="F29" s="453" t="str">
        <f t="shared" ca="1" si="35"/>
        <v/>
      </c>
      <c r="G29" s="454" t="str">
        <f t="shared" ca="1" si="35"/>
        <v/>
      </c>
      <c r="H29" s="453" t="str">
        <f t="shared" ca="1" si="16"/>
        <v/>
      </c>
      <c r="I29" s="452" t="str">
        <f t="shared" ca="1" si="16"/>
        <v/>
      </c>
      <c r="J29" s="445" t="str">
        <f t="shared" ca="1" si="17"/>
        <v/>
      </c>
      <c r="K29" s="445" t="str">
        <f t="shared" ca="1" si="18"/>
        <v/>
      </c>
      <c r="L29" s="391">
        <f t="shared" si="19"/>
        <v>0</v>
      </c>
      <c r="M29" s="449" t="e">
        <f t="shared" si="20"/>
        <v>#N/A</v>
      </c>
      <c r="N29" s="519" t="e">
        <f t="shared" si="21"/>
        <v>#N/A</v>
      </c>
      <c r="O29" s="447">
        <f>표준압력!G13</f>
        <v>0</v>
      </c>
      <c r="P29" s="435"/>
      <c r="Q29" s="453" t="str">
        <f t="shared" ca="1" si="22"/>
        <v/>
      </c>
      <c r="R29" s="454" t="str">
        <f t="shared" ca="1" si="22"/>
        <v/>
      </c>
      <c r="S29" s="453" t="str">
        <f t="shared" ca="1" si="22"/>
        <v/>
      </c>
      <c r="T29" s="454" t="str">
        <f t="shared" ca="1" si="22"/>
        <v/>
      </c>
      <c r="U29" s="429" t="str">
        <f t="shared" ca="1" si="23"/>
        <v/>
      </c>
      <c r="V29" s="430" t="str">
        <f t="shared" ca="1" si="8"/>
        <v/>
      </c>
      <c r="W29" s="391" t="e">
        <f t="shared" ca="1" si="9"/>
        <v>#N/A</v>
      </c>
      <c r="X29" s="448" t="e">
        <f t="shared" ca="1" si="10"/>
        <v>#VALUE!</v>
      </c>
      <c r="Y29" s="447">
        <f t="shared" si="24"/>
        <v>0</v>
      </c>
      <c r="AA29" s="453">
        <f t="shared" si="25"/>
        <v>0</v>
      </c>
      <c r="AB29" s="453" t="str">
        <f t="shared" ca="1" si="25"/>
        <v/>
      </c>
      <c r="AC29" s="454" t="str">
        <f t="shared" ca="1" si="25"/>
        <v/>
      </c>
      <c r="AD29" s="453" t="str">
        <f t="shared" ca="1" si="25"/>
        <v/>
      </c>
      <c r="AE29" s="454" t="str">
        <f t="shared" ca="1" si="25"/>
        <v/>
      </c>
      <c r="AF29" s="429" t="str">
        <f t="shared" ca="1" si="26"/>
        <v/>
      </c>
      <c r="AG29" s="430" t="str">
        <f t="shared" ca="1" si="11"/>
        <v/>
      </c>
      <c r="AH29" s="444" t="str">
        <f t="shared" ca="1" si="27"/>
        <v/>
      </c>
      <c r="AI29" s="444" t="str">
        <f t="shared" ca="1" si="12"/>
        <v/>
      </c>
      <c r="AJ29" s="449" t="e">
        <f t="shared" ca="1" si="28"/>
        <v>#N/A</v>
      </c>
      <c r="AK29" s="453" t="str">
        <f t="shared" ca="1" si="29"/>
        <v/>
      </c>
      <c r="AL29" s="454" t="str">
        <f t="shared" ca="1" si="29"/>
        <v/>
      </c>
      <c r="AM29" s="453" t="str">
        <f t="shared" ca="1" si="29"/>
        <v/>
      </c>
      <c r="AN29" s="454" t="str">
        <f t="shared" ca="1" si="29"/>
        <v/>
      </c>
      <c r="AO29" s="429" t="str">
        <f t="shared" ca="1" si="30"/>
        <v/>
      </c>
      <c r="AP29" s="430" t="str">
        <f t="shared" ca="1" si="13"/>
        <v/>
      </c>
      <c r="AQ29" s="444" t="str">
        <f t="shared" ca="1" si="31"/>
        <v/>
      </c>
      <c r="AR29" s="444" t="str">
        <f t="shared" ca="1" si="14"/>
        <v/>
      </c>
      <c r="AS29" s="449" t="e">
        <f t="shared" ca="1" si="32"/>
        <v>#N/A</v>
      </c>
      <c r="AT29" s="450" t="e">
        <f t="shared" ca="1" si="33"/>
        <v>#VALUE!</v>
      </c>
      <c r="AU29" s="451">
        <f t="shared" si="34"/>
        <v>0</v>
      </c>
    </row>
    <row r="30" spans="2:47" ht="15" customHeight="1">
      <c r="B30" s="433">
        <f t="shared" si="15"/>
        <v>0</v>
      </c>
      <c r="C30" s="416">
        <f>표준압력!C14</f>
        <v>0</v>
      </c>
      <c r="D30" s="440">
        <f>표준압력!D14</f>
        <v>0</v>
      </c>
      <c r="E30" s="452">
        <f t="shared" si="35"/>
        <v>0</v>
      </c>
      <c r="F30" s="453" t="str">
        <f t="shared" ca="1" si="35"/>
        <v/>
      </c>
      <c r="G30" s="454" t="str">
        <f t="shared" ca="1" si="35"/>
        <v/>
      </c>
      <c r="H30" s="453" t="str">
        <f t="shared" ca="1" si="16"/>
        <v/>
      </c>
      <c r="I30" s="452" t="str">
        <f t="shared" ca="1" si="16"/>
        <v/>
      </c>
      <c r="J30" s="445" t="str">
        <f t="shared" ca="1" si="17"/>
        <v/>
      </c>
      <c r="K30" s="445" t="str">
        <f t="shared" ca="1" si="18"/>
        <v/>
      </c>
      <c r="L30" s="391">
        <f t="shared" si="19"/>
        <v>0</v>
      </c>
      <c r="M30" s="449" t="e">
        <f t="shared" si="20"/>
        <v>#N/A</v>
      </c>
      <c r="N30" s="519" t="e">
        <f t="shared" si="21"/>
        <v>#N/A</v>
      </c>
      <c r="O30" s="447">
        <f>표준압력!G14</f>
        <v>0</v>
      </c>
      <c r="P30" s="435"/>
      <c r="Q30" s="453" t="str">
        <f t="shared" ca="1" si="22"/>
        <v/>
      </c>
      <c r="R30" s="454" t="str">
        <f t="shared" ca="1" si="22"/>
        <v/>
      </c>
      <c r="S30" s="453" t="str">
        <f t="shared" ca="1" si="22"/>
        <v/>
      </c>
      <c r="T30" s="454" t="str">
        <f t="shared" ca="1" si="22"/>
        <v/>
      </c>
      <c r="U30" s="429" t="str">
        <f t="shared" ca="1" si="23"/>
        <v/>
      </c>
      <c r="V30" s="430" t="str">
        <f t="shared" ca="1" si="8"/>
        <v/>
      </c>
      <c r="W30" s="391" t="e">
        <f t="shared" ca="1" si="9"/>
        <v>#N/A</v>
      </c>
      <c r="X30" s="448" t="e">
        <f t="shared" ca="1" si="10"/>
        <v>#VALUE!</v>
      </c>
      <c r="Y30" s="447">
        <f t="shared" si="24"/>
        <v>0</v>
      </c>
      <c r="AA30" s="453">
        <f t="shared" si="25"/>
        <v>0</v>
      </c>
      <c r="AB30" s="453" t="str">
        <f t="shared" ca="1" si="25"/>
        <v/>
      </c>
      <c r="AC30" s="454" t="str">
        <f t="shared" ca="1" si="25"/>
        <v/>
      </c>
      <c r="AD30" s="453" t="str">
        <f t="shared" ca="1" si="25"/>
        <v/>
      </c>
      <c r="AE30" s="454" t="str">
        <f t="shared" ca="1" si="25"/>
        <v/>
      </c>
      <c r="AF30" s="429" t="str">
        <f t="shared" ca="1" si="26"/>
        <v/>
      </c>
      <c r="AG30" s="430" t="str">
        <f t="shared" ca="1" si="11"/>
        <v/>
      </c>
      <c r="AH30" s="444" t="str">
        <f t="shared" ca="1" si="27"/>
        <v/>
      </c>
      <c r="AI30" s="444" t="str">
        <f t="shared" ca="1" si="12"/>
        <v/>
      </c>
      <c r="AJ30" s="449" t="e">
        <f t="shared" ca="1" si="28"/>
        <v>#N/A</v>
      </c>
      <c r="AK30" s="453" t="str">
        <f t="shared" ca="1" si="29"/>
        <v/>
      </c>
      <c r="AL30" s="454" t="str">
        <f t="shared" ca="1" si="29"/>
        <v/>
      </c>
      <c r="AM30" s="453" t="str">
        <f t="shared" ca="1" si="29"/>
        <v/>
      </c>
      <c r="AN30" s="454" t="str">
        <f t="shared" ca="1" si="29"/>
        <v/>
      </c>
      <c r="AO30" s="429" t="str">
        <f t="shared" ca="1" si="30"/>
        <v/>
      </c>
      <c r="AP30" s="430" t="str">
        <f t="shared" ca="1" si="13"/>
        <v/>
      </c>
      <c r="AQ30" s="444" t="str">
        <f t="shared" ca="1" si="31"/>
        <v/>
      </c>
      <c r="AR30" s="444" t="str">
        <f t="shared" ca="1" si="14"/>
        <v/>
      </c>
      <c r="AS30" s="449" t="e">
        <f t="shared" ca="1" si="32"/>
        <v>#N/A</v>
      </c>
      <c r="AT30" s="450" t="e">
        <f t="shared" ca="1" si="33"/>
        <v>#VALUE!</v>
      </c>
      <c r="AU30" s="451">
        <f t="shared" si="34"/>
        <v>0</v>
      </c>
    </row>
    <row r="31" spans="2:47" ht="15" customHeight="1">
      <c r="B31" s="433">
        <f t="shared" si="15"/>
        <v>0</v>
      </c>
      <c r="C31" s="416">
        <f>표준압력!C15</f>
        <v>0</v>
      </c>
      <c r="D31" s="440">
        <f>표준압력!D15</f>
        <v>0</v>
      </c>
      <c r="E31" s="452">
        <f t="shared" si="35"/>
        <v>0</v>
      </c>
      <c r="F31" s="453" t="str">
        <f t="shared" ca="1" si="35"/>
        <v/>
      </c>
      <c r="G31" s="454" t="str">
        <f t="shared" ca="1" si="35"/>
        <v/>
      </c>
      <c r="H31" s="453" t="str">
        <f t="shared" ca="1" si="16"/>
        <v/>
      </c>
      <c r="I31" s="452" t="str">
        <f t="shared" ca="1" si="16"/>
        <v/>
      </c>
      <c r="J31" s="445" t="str">
        <f t="shared" ca="1" si="17"/>
        <v/>
      </c>
      <c r="K31" s="445" t="str">
        <f t="shared" ca="1" si="18"/>
        <v/>
      </c>
      <c r="L31" s="391">
        <f t="shared" si="19"/>
        <v>0</v>
      </c>
      <c r="M31" s="449" t="e">
        <f t="shared" si="20"/>
        <v>#N/A</v>
      </c>
      <c r="N31" s="519" t="e">
        <f t="shared" si="21"/>
        <v>#N/A</v>
      </c>
      <c r="O31" s="447">
        <f>표준압력!G15</f>
        <v>0</v>
      </c>
      <c r="P31" s="435"/>
      <c r="Q31" s="453" t="str">
        <f t="shared" ca="1" si="22"/>
        <v/>
      </c>
      <c r="R31" s="454" t="str">
        <f t="shared" ca="1" si="22"/>
        <v/>
      </c>
      <c r="S31" s="453" t="str">
        <f t="shared" ca="1" si="22"/>
        <v/>
      </c>
      <c r="T31" s="454" t="str">
        <f t="shared" ca="1" si="22"/>
        <v/>
      </c>
      <c r="U31" s="429" t="str">
        <f t="shared" ca="1" si="23"/>
        <v/>
      </c>
      <c r="V31" s="430" t="str">
        <f t="shared" ca="1" si="8"/>
        <v/>
      </c>
      <c r="W31" s="391" t="e">
        <f t="shared" ca="1" si="9"/>
        <v>#N/A</v>
      </c>
      <c r="X31" s="448" t="e">
        <f t="shared" ca="1" si="10"/>
        <v>#VALUE!</v>
      </c>
      <c r="Y31" s="447">
        <f t="shared" si="24"/>
        <v>0</v>
      </c>
      <c r="AA31" s="453">
        <f t="shared" si="25"/>
        <v>0</v>
      </c>
      <c r="AB31" s="453" t="str">
        <f t="shared" ca="1" si="25"/>
        <v/>
      </c>
      <c r="AC31" s="454" t="str">
        <f t="shared" ca="1" si="25"/>
        <v/>
      </c>
      <c r="AD31" s="453" t="str">
        <f t="shared" ca="1" si="25"/>
        <v/>
      </c>
      <c r="AE31" s="454" t="str">
        <f t="shared" ca="1" si="25"/>
        <v/>
      </c>
      <c r="AF31" s="429" t="str">
        <f t="shared" ca="1" si="26"/>
        <v/>
      </c>
      <c r="AG31" s="430" t="str">
        <f t="shared" ca="1" si="11"/>
        <v/>
      </c>
      <c r="AH31" s="444" t="str">
        <f t="shared" ca="1" si="27"/>
        <v/>
      </c>
      <c r="AI31" s="444" t="str">
        <f t="shared" ca="1" si="12"/>
        <v/>
      </c>
      <c r="AJ31" s="449" t="e">
        <f t="shared" ca="1" si="28"/>
        <v>#N/A</v>
      </c>
      <c r="AK31" s="453" t="str">
        <f t="shared" ca="1" si="29"/>
        <v/>
      </c>
      <c r="AL31" s="454" t="str">
        <f t="shared" ca="1" si="29"/>
        <v/>
      </c>
      <c r="AM31" s="453" t="str">
        <f t="shared" ca="1" si="29"/>
        <v/>
      </c>
      <c r="AN31" s="454" t="str">
        <f t="shared" ca="1" si="29"/>
        <v/>
      </c>
      <c r="AO31" s="429" t="str">
        <f t="shared" ca="1" si="30"/>
        <v/>
      </c>
      <c r="AP31" s="430" t="str">
        <f t="shared" ca="1" si="13"/>
        <v/>
      </c>
      <c r="AQ31" s="444" t="str">
        <f t="shared" ca="1" si="31"/>
        <v/>
      </c>
      <c r="AR31" s="444" t="str">
        <f t="shared" ca="1" si="14"/>
        <v/>
      </c>
      <c r="AS31" s="449" t="e">
        <f t="shared" ca="1" si="32"/>
        <v>#N/A</v>
      </c>
      <c r="AT31" s="450" t="e">
        <f t="shared" ca="1" si="33"/>
        <v>#VALUE!</v>
      </c>
      <c r="AU31" s="451">
        <f t="shared" si="34"/>
        <v>0</v>
      </c>
    </row>
    <row r="32" spans="2:47" ht="15" customHeight="1">
      <c r="B32" s="433">
        <f t="shared" si="15"/>
        <v>0</v>
      </c>
      <c r="C32" s="416">
        <f>표준압력!C16</f>
        <v>0</v>
      </c>
      <c r="D32" s="440">
        <f>표준압력!D16</f>
        <v>0</v>
      </c>
      <c r="E32" s="452">
        <f t="shared" si="35"/>
        <v>0</v>
      </c>
      <c r="F32" s="453" t="str">
        <f t="shared" ca="1" si="35"/>
        <v/>
      </c>
      <c r="G32" s="454" t="str">
        <f t="shared" ca="1" si="35"/>
        <v/>
      </c>
      <c r="H32" s="453" t="str">
        <f t="shared" ca="1" si="16"/>
        <v/>
      </c>
      <c r="I32" s="452" t="str">
        <f t="shared" ca="1" si="16"/>
        <v/>
      </c>
      <c r="J32" s="445" t="str">
        <f t="shared" ca="1" si="17"/>
        <v/>
      </c>
      <c r="K32" s="445" t="str">
        <f t="shared" ca="1" si="18"/>
        <v/>
      </c>
      <c r="L32" s="391">
        <f t="shared" si="19"/>
        <v>0</v>
      </c>
      <c r="M32" s="449" t="e">
        <f t="shared" si="20"/>
        <v>#N/A</v>
      </c>
      <c r="N32" s="519" t="e">
        <f t="shared" si="21"/>
        <v>#N/A</v>
      </c>
      <c r="O32" s="447">
        <f>표준압력!G16</f>
        <v>0</v>
      </c>
      <c r="P32" s="435"/>
      <c r="Q32" s="453" t="str">
        <f t="shared" ca="1" si="22"/>
        <v/>
      </c>
      <c r="R32" s="454" t="str">
        <f t="shared" ca="1" si="22"/>
        <v/>
      </c>
      <c r="S32" s="453" t="str">
        <f t="shared" ca="1" si="22"/>
        <v/>
      </c>
      <c r="T32" s="454" t="str">
        <f t="shared" ca="1" si="22"/>
        <v/>
      </c>
      <c r="U32" s="429" t="str">
        <f t="shared" ca="1" si="23"/>
        <v/>
      </c>
      <c r="V32" s="430" t="str">
        <f t="shared" ca="1" si="8"/>
        <v/>
      </c>
      <c r="W32" s="391" t="e">
        <f t="shared" ca="1" si="9"/>
        <v>#N/A</v>
      </c>
      <c r="X32" s="448" t="e">
        <f t="shared" ca="1" si="10"/>
        <v>#VALUE!</v>
      </c>
      <c r="Y32" s="447">
        <f t="shared" si="24"/>
        <v>0</v>
      </c>
      <c r="AA32" s="453">
        <f t="shared" si="25"/>
        <v>0</v>
      </c>
      <c r="AB32" s="453" t="str">
        <f t="shared" ca="1" si="25"/>
        <v/>
      </c>
      <c r="AC32" s="454" t="str">
        <f t="shared" ca="1" si="25"/>
        <v/>
      </c>
      <c r="AD32" s="453" t="str">
        <f t="shared" ca="1" si="25"/>
        <v/>
      </c>
      <c r="AE32" s="454" t="str">
        <f t="shared" ca="1" si="25"/>
        <v/>
      </c>
      <c r="AF32" s="429" t="str">
        <f t="shared" ca="1" si="26"/>
        <v/>
      </c>
      <c r="AG32" s="430" t="str">
        <f t="shared" ca="1" si="11"/>
        <v/>
      </c>
      <c r="AH32" s="444" t="str">
        <f t="shared" ca="1" si="27"/>
        <v/>
      </c>
      <c r="AI32" s="444" t="str">
        <f t="shared" ca="1" si="12"/>
        <v/>
      </c>
      <c r="AJ32" s="449" t="e">
        <f t="shared" ca="1" si="28"/>
        <v>#N/A</v>
      </c>
      <c r="AK32" s="453" t="str">
        <f t="shared" ca="1" si="29"/>
        <v/>
      </c>
      <c r="AL32" s="454" t="str">
        <f t="shared" ca="1" si="29"/>
        <v/>
      </c>
      <c r="AM32" s="453" t="str">
        <f t="shared" ca="1" si="29"/>
        <v/>
      </c>
      <c r="AN32" s="454" t="str">
        <f t="shared" ca="1" si="29"/>
        <v/>
      </c>
      <c r="AO32" s="429" t="str">
        <f t="shared" ca="1" si="30"/>
        <v/>
      </c>
      <c r="AP32" s="430" t="str">
        <f t="shared" ca="1" si="13"/>
        <v/>
      </c>
      <c r="AQ32" s="444" t="str">
        <f t="shared" ca="1" si="31"/>
        <v/>
      </c>
      <c r="AR32" s="444" t="str">
        <f t="shared" ca="1" si="14"/>
        <v/>
      </c>
      <c r="AS32" s="449" t="e">
        <f t="shared" ca="1" si="32"/>
        <v>#N/A</v>
      </c>
      <c r="AT32" s="450" t="e">
        <f t="shared" ca="1" si="33"/>
        <v>#VALUE!</v>
      </c>
      <c r="AU32" s="451">
        <f t="shared" si="34"/>
        <v>0</v>
      </c>
    </row>
    <row r="33" spans="2:47" ht="15" customHeight="1">
      <c r="B33" s="433">
        <f t="shared" si="15"/>
        <v>0</v>
      </c>
      <c r="C33" s="416">
        <f>표준압력!C17</f>
        <v>0</v>
      </c>
      <c r="D33" s="440">
        <f>표준압력!D17</f>
        <v>0</v>
      </c>
      <c r="E33" s="452">
        <f t="shared" si="35"/>
        <v>0</v>
      </c>
      <c r="F33" s="453" t="str">
        <f t="shared" ca="1" si="35"/>
        <v/>
      </c>
      <c r="G33" s="454" t="str">
        <f t="shared" ca="1" si="35"/>
        <v/>
      </c>
      <c r="H33" s="453" t="str">
        <f t="shared" ca="1" si="16"/>
        <v/>
      </c>
      <c r="I33" s="452" t="str">
        <f t="shared" ca="1" si="16"/>
        <v/>
      </c>
      <c r="J33" s="445" t="str">
        <f t="shared" ca="1" si="17"/>
        <v/>
      </c>
      <c r="K33" s="445" t="str">
        <f t="shared" ca="1" si="18"/>
        <v/>
      </c>
      <c r="L33" s="391">
        <f t="shared" si="19"/>
        <v>0</v>
      </c>
      <c r="M33" s="449" t="e">
        <f t="shared" si="20"/>
        <v>#N/A</v>
      </c>
      <c r="N33" s="519" t="e">
        <f t="shared" si="21"/>
        <v>#N/A</v>
      </c>
      <c r="O33" s="447">
        <f>표준압력!G17</f>
        <v>0</v>
      </c>
      <c r="P33" s="435"/>
      <c r="Q33" s="453" t="str">
        <f t="shared" ca="1" si="22"/>
        <v/>
      </c>
      <c r="R33" s="454" t="str">
        <f t="shared" ca="1" si="22"/>
        <v/>
      </c>
      <c r="S33" s="453" t="str">
        <f t="shared" ca="1" si="22"/>
        <v/>
      </c>
      <c r="T33" s="454" t="str">
        <f t="shared" ca="1" si="22"/>
        <v/>
      </c>
      <c r="U33" s="429" t="str">
        <f t="shared" ca="1" si="23"/>
        <v/>
      </c>
      <c r="V33" s="430" t="str">
        <f t="shared" ca="1" si="8"/>
        <v/>
      </c>
      <c r="W33" s="391" t="e">
        <f t="shared" ca="1" si="9"/>
        <v>#N/A</v>
      </c>
      <c r="X33" s="448" t="e">
        <f t="shared" ca="1" si="10"/>
        <v>#VALUE!</v>
      </c>
      <c r="Y33" s="447">
        <f t="shared" si="24"/>
        <v>0</v>
      </c>
      <c r="AA33" s="453">
        <f t="shared" si="25"/>
        <v>0</v>
      </c>
      <c r="AB33" s="453" t="str">
        <f t="shared" ca="1" si="25"/>
        <v/>
      </c>
      <c r="AC33" s="454" t="str">
        <f t="shared" ca="1" si="25"/>
        <v/>
      </c>
      <c r="AD33" s="453" t="str">
        <f t="shared" ca="1" si="25"/>
        <v/>
      </c>
      <c r="AE33" s="454" t="str">
        <f t="shared" ca="1" si="25"/>
        <v/>
      </c>
      <c r="AF33" s="429" t="str">
        <f t="shared" ca="1" si="26"/>
        <v/>
      </c>
      <c r="AG33" s="430" t="str">
        <f t="shared" ca="1" si="11"/>
        <v/>
      </c>
      <c r="AH33" s="444" t="str">
        <f t="shared" ca="1" si="27"/>
        <v/>
      </c>
      <c r="AI33" s="444" t="str">
        <f t="shared" ca="1" si="12"/>
        <v/>
      </c>
      <c r="AJ33" s="449" t="e">
        <f t="shared" ca="1" si="28"/>
        <v>#N/A</v>
      </c>
      <c r="AK33" s="453" t="str">
        <f t="shared" ca="1" si="29"/>
        <v/>
      </c>
      <c r="AL33" s="454" t="str">
        <f t="shared" ca="1" si="29"/>
        <v/>
      </c>
      <c r="AM33" s="453" t="str">
        <f t="shared" ca="1" si="29"/>
        <v/>
      </c>
      <c r="AN33" s="454" t="str">
        <f t="shared" ca="1" si="29"/>
        <v/>
      </c>
      <c r="AO33" s="429" t="str">
        <f t="shared" ca="1" si="30"/>
        <v/>
      </c>
      <c r="AP33" s="430" t="str">
        <f t="shared" ca="1" si="13"/>
        <v/>
      </c>
      <c r="AQ33" s="444" t="str">
        <f t="shared" ca="1" si="31"/>
        <v/>
      </c>
      <c r="AR33" s="444" t="str">
        <f t="shared" ca="1" si="14"/>
        <v/>
      </c>
      <c r="AS33" s="449" t="e">
        <f t="shared" ca="1" si="32"/>
        <v>#N/A</v>
      </c>
      <c r="AT33" s="450" t="e">
        <f t="shared" ca="1" si="33"/>
        <v>#VALUE!</v>
      </c>
      <c r="AU33" s="451">
        <f t="shared" si="34"/>
        <v>0</v>
      </c>
    </row>
    <row r="34" spans="2:47" ht="15" customHeight="1">
      <c r="B34" s="433">
        <f t="shared" si="15"/>
        <v>0</v>
      </c>
      <c r="C34" s="416">
        <f>표준압력!C18</f>
        <v>0</v>
      </c>
      <c r="D34" s="440">
        <f>표준압력!D18</f>
        <v>0</v>
      </c>
      <c r="E34" s="452">
        <f t="shared" si="35"/>
        <v>0</v>
      </c>
      <c r="F34" s="453" t="str">
        <f t="shared" ca="1" si="35"/>
        <v/>
      </c>
      <c r="G34" s="454" t="str">
        <f t="shared" ca="1" si="35"/>
        <v/>
      </c>
      <c r="H34" s="453" t="str">
        <f t="shared" ca="1" si="16"/>
        <v/>
      </c>
      <c r="I34" s="452" t="str">
        <f t="shared" ca="1" si="16"/>
        <v/>
      </c>
      <c r="J34" s="445" t="str">
        <f t="shared" ca="1" si="17"/>
        <v/>
      </c>
      <c r="K34" s="445" t="str">
        <f t="shared" ca="1" si="18"/>
        <v/>
      </c>
      <c r="L34" s="391">
        <f t="shared" si="19"/>
        <v>0</v>
      </c>
      <c r="M34" s="449" t="e">
        <f t="shared" si="20"/>
        <v>#N/A</v>
      </c>
      <c r="N34" s="519" t="e">
        <f t="shared" si="21"/>
        <v>#N/A</v>
      </c>
      <c r="O34" s="447">
        <f>표준압력!G18</f>
        <v>0</v>
      </c>
      <c r="P34" s="435"/>
      <c r="Q34" s="453" t="str">
        <f t="shared" ca="1" si="22"/>
        <v/>
      </c>
      <c r="R34" s="454" t="str">
        <f t="shared" ca="1" si="22"/>
        <v/>
      </c>
      <c r="S34" s="453" t="str">
        <f t="shared" ca="1" si="22"/>
        <v/>
      </c>
      <c r="T34" s="454" t="str">
        <f t="shared" ca="1" si="22"/>
        <v/>
      </c>
      <c r="U34" s="429" t="str">
        <f t="shared" ca="1" si="23"/>
        <v/>
      </c>
      <c r="V34" s="430" t="str">
        <f t="shared" ca="1" si="8"/>
        <v/>
      </c>
      <c r="W34" s="391" t="e">
        <f t="shared" ca="1" si="9"/>
        <v>#N/A</v>
      </c>
      <c r="X34" s="448" t="e">
        <f t="shared" ca="1" si="10"/>
        <v>#VALUE!</v>
      </c>
      <c r="Y34" s="447">
        <f t="shared" si="24"/>
        <v>0</v>
      </c>
      <c r="AA34" s="453">
        <f t="shared" si="25"/>
        <v>0</v>
      </c>
      <c r="AB34" s="453" t="str">
        <f t="shared" ca="1" si="25"/>
        <v/>
      </c>
      <c r="AC34" s="454" t="str">
        <f t="shared" ca="1" si="25"/>
        <v/>
      </c>
      <c r="AD34" s="453" t="str">
        <f t="shared" ca="1" si="25"/>
        <v/>
      </c>
      <c r="AE34" s="454" t="str">
        <f t="shared" ca="1" si="25"/>
        <v/>
      </c>
      <c r="AF34" s="429" t="str">
        <f t="shared" ca="1" si="26"/>
        <v/>
      </c>
      <c r="AG34" s="430" t="str">
        <f t="shared" ca="1" si="11"/>
        <v/>
      </c>
      <c r="AH34" s="444" t="str">
        <f t="shared" ca="1" si="27"/>
        <v/>
      </c>
      <c r="AI34" s="444" t="str">
        <f t="shared" ca="1" si="12"/>
        <v/>
      </c>
      <c r="AJ34" s="449" t="e">
        <f t="shared" ca="1" si="28"/>
        <v>#N/A</v>
      </c>
      <c r="AK34" s="453" t="str">
        <f t="shared" ca="1" si="29"/>
        <v/>
      </c>
      <c r="AL34" s="454" t="str">
        <f t="shared" ca="1" si="29"/>
        <v/>
      </c>
      <c r="AM34" s="453" t="str">
        <f t="shared" ca="1" si="29"/>
        <v/>
      </c>
      <c r="AN34" s="454" t="str">
        <f t="shared" ca="1" si="29"/>
        <v/>
      </c>
      <c r="AO34" s="429" t="str">
        <f t="shared" ca="1" si="30"/>
        <v/>
      </c>
      <c r="AP34" s="430" t="str">
        <f t="shared" ca="1" si="13"/>
        <v/>
      </c>
      <c r="AQ34" s="444" t="str">
        <f t="shared" ca="1" si="31"/>
        <v/>
      </c>
      <c r="AR34" s="444" t="str">
        <f t="shared" ca="1" si="14"/>
        <v/>
      </c>
      <c r="AS34" s="449" t="e">
        <f t="shared" ca="1" si="32"/>
        <v>#N/A</v>
      </c>
      <c r="AT34" s="450" t="e">
        <f t="shared" ca="1" si="33"/>
        <v>#VALUE!</v>
      </c>
      <c r="AU34" s="451">
        <f t="shared" si="34"/>
        <v>0</v>
      </c>
    </row>
    <row r="35" spans="2:47" ht="15" customHeight="1">
      <c r="B35" s="433">
        <f t="shared" si="15"/>
        <v>0</v>
      </c>
      <c r="C35" s="416">
        <f>표준압력!C19</f>
        <v>0</v>
      </c>
      <c r="D35" s="440">
        <f>표준압력!D19</f>
        <v>0</v>
      </c>
      <c r="E35" s="452">
        <f t="shared" si="35"/>
        <v>0</v>
      </c>
      <c r="F35" s="453" t="str">
        <f t="shared" ca="1" si="35"/>
        <v/>
      </c>
      <c r="G35" s="454" t="str">
        <f t="shared" ca="1" si="35"/>
        <v/>
      </c>
      <c r="H35" s="453" t="str">
        <f t="shared" ca="1" si="16"/>
        <v/>
      </c>
      <c r="I35" s="452" t="str">
        <f t="shared" ca="1" si="16"/>
        <v/>
      </c>
      <c r="J35" s="445" t="str">
        <f t="shared" ca="1" si="17"/>
        <v/>
      </c>
      <c r="K35" s="445" t="str">
        <f t="shared" ca="1" si="18"/>
        <v/>
      </c>
      <c r="L35" s="391">
        <f t="shared" si="19"/>
        <v>0</v>
      </c>
      <c r="M35" s="449" t="e">
        <f t="shared" si="20"/>
        <v>#N/A</v>
      </c>
      <c r="N35" s="519" t="e">
        <f t="shared" si="21"/>
        <v>#N/A</v>
      </c>
      <c r="O35" s="447">
        <f>표준압력!G19</f>
        <v>0</v>
      </c>
      <c r="P35" s="435"/>
      <c r="Q35" s="453" t="str">
        <f t="shared" ca="1" si="22"/>
        <v/>
      </c>
      <c r="R35" s="454" t="str">
        <f t="shared" ca="1" si="22"/>
        <v/>
      </c>
      <c r="S35" s="453" t="str">
        <f t="shared" ca="1" si="22"/>
        <v/>
      </c>
      <c r="T35" s="454" t="str">
        <f t="shared" ca="1" si="22"/>
        <v/>
      </c>
      <c r="U35" s="429" t="str">
        <f t="shared" ca="1" si="23"/>
        <v/>
      </c>
      <c r="V35" s="430" t="str">
        <f t="shared" ca="1" si="8"/>
        <v/>
      </c>
      <c r="W35" s="391" t="e">
        <f t="shared" ca="1" si="9"/>
        <v>#N/A</v>
      </c>
      <c r="X35" s="448" t="e">
        <f t="shared" ca="1" si="10"/>
        <v>#VALUE!</v>
      </c>
      <c r="Y35" s="447">
        <f t="shared" si="24"/>
        <v>0</v>
      </c>
      <c r="AA35" s="453">
        <f t="shared" si="25"/>
        <v>0</v>
      </c>
      <c r="AB35" s="453" t="str">
        <f t="shared" ca="1" si="25"/>
        <v/>
      </c>
      <c r="AC35" s="454" t="str">
        <f t="shared" ca="1" si="25"/>
        <v/>
      </c>
      <c r="AD35" s="453" t="str">
        <f t="shared" ca="1" si="25"/>
        <v/>
      </c>
      <c r="AE35" s="454" t="str">
        <f t="shared" ca="1" si="25"/>
        <v/>
      </c>
      <c r="AF35" s="429" t="str">
        <f t="shared" ca="1" si="26"/>
        <v/>
      </c>
      <c r="AG35" s="430" t="str">
        <f t="shared" ca="1" si="11"/>
        <v/>
      </c>
      <c r="AH35" s="444" t="str">
        <f t="shared" ca="1" si="27"/>
        <v/>
      </c>
      <c r="AI35" s="444" t="str">
        <f t="shared" ca="1" si="12"/>
        <v/>
      </c>
      <c r="AJ35" s="449" t="e">
        <f t="shared" ca="1" si="28"/>
        <v>#N/A</v>
      </c>
      <c r="AK35" s="453" t="str">
        <f t="shared" ca="1" si="29"/>
        <v/>
      </c>
      <c r="AL35" s="454" t="str">
        <f t="shared" ca="1" si="29"/>
        <v/>
      </c>
      <c r="AM35" s="453" t="str">
        <f t="shared" ca="1" si="29"/>
        <v/>
      </c>
      <c r="AN35" s="454" t="str">
        <f t="shared" ca="1" si="29"/>
        <v/>
      </c>
      <c r="AO35" s="429" t="str">
        <f t="shared" ca="1" si="30"/>
        <v/>
      </c>
      <c r="AP35" s="430" t="str">
        <f t="shared" ca="1" si="13"/>
        <v/>
      </c>
      <c r="AQ35" s="444" t="str">
        <f t="shared" ca="1" si="31"/>
        <v/>
      </c>
      <c r="AR35" s="444" t="str">
        <f t="shared" ca="1" si="14"/>
        <v/>
      </c>
      <c r="AS35" s="449" t="e">
        <f t="shared" ca="1" si="32"/>
        <v>#N/A</v>
      </c>
      <c r="AT35" s="450" t="e">
        <f t="shared" ca="1" si="33"/>
        <v>#VALUE!</v>
      </c>
      <c r="AU35" s="451">
        <f t="shared" si="34"/>
        <v>0</v>
      </c>
    </row>
    <row r="36" spans="2:47" ht="15" customHeight="1">
      <c r="B36" s="433">
        <f t="shared" si="15"/>
        <v>0</v>
      </c>
      <c r="C36" s="416">
        <f>표준압력!C20</f>
        <v>0</v>
      </c>
      <c r="D36" s="440">
        <f>표준압력!D20</f>
        <v>0</v>
      </c>
      <c r="E36" s="452">
        <f t="shared" si="35"/>
        <v>0</v>
      </c>
      <c r="F36" s="453" t="str">
        <f t="shared" ca="1" si="35"/>
        <v/>
      </c>
      <c r="G36" s="454" t="str">
        <f t="shared" ca="1" si="35"/>
        <v/>
      </c>
      <c r="H36" s="453" t="str">
        <f t="shared" ca="1" si="16"/>
        <v/>
      </c>
      <c r="I36" s="452" t="str">
        <f t="shared" ca="1" si="16"/>
        <v/>
      </c>
      <c r="J36" s="445" t="str">
        <f t="shared" ca="1" si="17"/>
        <v/>
      </c>
      <c r="K36" s="445" t="str">
        <f t="shared" ca="1" si="18"/>
        <v/>
      </c>
      <c r="L36" s="391">
        <f t="shared" si="19"/>
        <v>0</v>
      </c>
      <c r="M36" s="449" t="e">
        <f t="shared" si="20"/>
        <v>#N/A</v>
      </c>
      <c r="N36" s="519" t="e">
        <f t="shared" si="21"/>
        <v>#N/A</v>
      </c>
      <c r="O36" s="447">
        <f>표준압력!G20</f>
        <v>0</v>
      </c>
      <c r="P36" s="435"/>
      <c r="Q36" s="453" t="str">
        <f t="shared" ca="1" si="22"/>
        <v/>
      </c>
      <c r="R36" s="454" t="str">
        <f t="shared" ca="1" si="22"/>
        <v/>
      </c>
      <c r="S36" s="453" t="str">
        <f t="shared" ca="1" si="22"/>
        <v/>
      </c>
      <c r="T36" s="454" t="str">
        <f t="shared" ca="1" si="22"/>
        <v/>
      </c>
      <c r="U36" s="429" t="str">
        <f t="shared" ca="1" si="23"/>
        <v/>
      </c>
      <c r="V36" s="430" t="str">
        <f t="shared" ca="1" si="8"/>
        <v/>
      </c>
      <c r="W36" s="391" t="e">
        <f t="shared" ca="1" si="9"/>
        <v>#N/A</v>
      </c>
      <c r="X36" s="448" t="e">
        <f t="shared" ca="1" si="10"/>
        <v>#VALUE!</v>
      </c>
      <c r="Y36" s="447">
        <f t="shared" si="24"/>
        <v>0</v>
      </c>
      <c r="AA36" s="453">
        <f t="shared" si="25"/>
        <v>0</v>
      </c>
      <c r="AB36" s="453" t="str">
        <f t="shared" ca="1" si="25"/>
        <v/>
      </c>
      <c r="AC36" s="454" t="str">
        <f t="shared" ca="1" si="25"/>
        <v/>
      </c>
      <c r="AD36" s="453" t="str">
        <f t="shared" ca="1" si="25"/>
        <v/>
      </c>
      <c r="AE36" s="454" t="str">
        <f t="shared" ca="1" si="25"/>
        <v/>
      </c>
      <c r="AF36" s="429" t="str">
        <f t="shared" ca="1" si="26"/>
        <v/>
      </c>
      <c r="AG36" s="430" t="str">
        <f t="shared" ca="1" si="11"/>
        <v/>
      </c>
      <c r="AH36" s="444" t="str">
        <f t="shared" ca="1" si="27"/>
        <v/>
      </c>
      <c r="AI36" s="444" t="str">
        <f t="shared" ca="1" si="12"/>
        <v/>
      </c>
      <c r="AJ36" s="449" t="e">
        <f t="shared" ca="1" si="28"/>
        <v>#N/A</v>
      </c>
      <c r="AK36" s="453" t="str">
        <f t="shared" ca="1" si="29"/>
        <v/>
      </c>
      <c r="AL36" s="454" t="str">
        <f t="shared" ca="1" si="29"/>
        <v/>
      </c>
      <c r="AM36" s="453" t="str">
        <f t="shared" ca="1" si="29"/>
        <v/>
      </c>
      <c r="AN36" s="454" t="str">
        <f t="shared" ca="1" si="29"/>
        <v/>
      </c>
      <c r="AO36" s="429" t="str">
        <f t="shared" ca="1" si="30"/>
        <v/>
      </c>
      <c r="AP36" s="430" t="str">
        <f t="shared" ca="1" si="13"/>
        <v/>
      </c>
      <c r="AQ36" s="444" t="str">
        <f t="shared" ca="1" si="31"/>
        <v/>
      </c>
      <c r="AR36" s="444" t="str">
        <f t="shared" ca="1" si="14"/>
        <v/>
      </c>
      <c r="AS36" s="449" t="e">
        <f t="shared" ca="1" si="32"/>
        <v>#N/A</v>
      </c>
      <c r="AT36" s="450" t="e">
        <f t="shared" ca="1" si="33"/>
        <v>#VALUE!</v>
      </c>
      <c r="AU36" s="451">
        <f t="shared" si="34"/>
        <v>0</v>
      </c>
    </row>
    <row r="37" spans="2:47" ht="15" customHeight="1">
      <c r="B37" s="433">
        <f t="shared" si="15"/>
        <v>0</v>
      </c>
      <c r="C37" s="416">
        <f>표준압력!C21</f>
        <v>0</v>
      </c>
      <c r="D37" s="440">
        <f>표준압력!D21</f>
        <v>0</v>
      </c>
      <c r="E37" s="452">
        <f t="shared" si="35"/>
        <v>0</v>
      </c>
      <c r="F37" s="453" t="str">
        <f t="shared" ca="1" si="35"/>
        <v/>
      </c>
      <c r="G37" s="454" t="str">
        <f t="shared" ca="1" si="35"/>
        <v/>
      </c>
      <c r="H37" s="453" t="str">
        <f t="shared" ca="1" si="35"/>
        <v/>
      </c>
      <c r="I37" s="452" t="str">
        <f t="shared" ca="1" si="35"/>
        <v/>
      </c>
      <c r="J37" s="445" t="str">
        <f t="shared" ca="1" si="17"/>
        <v/>
      </c>
      <c r="K37" s="445" t="str">
        <f t="shared" ca="1" si="18"/>
        <v/>
      </c>
      <c r="L37" s="391">
        <f t="shared" si="19"/>
        <v>0</v>
      </c>
      <c r="M37" s="449" t="e">
        <f t="shared" si="20"/>
        <v>#N/A</v>
      </c>
      <c r="N37" s="519" t="e">
        <f t="shared" si="21"/>
        <v>#N/A</v>
      </c>
      <c r="O37" s="447">
        <f>표준압력!G21</f>
        <v>0</v>
      </c>
      <c r="P37" s="435"/>
      <c r="Q37" s="453" t="str">
        <f t="shared" ref="Q37:T49" ca="1" si="36">Q36</f>
        <v/>
      </c>
      <c r="R37" s="454" t="str">
        <f t="shared" ca="1" si="36"/>
        <v/>
      </c>
      <c r="S37" s="453" t="str">
        <f t="shared" ca="1" si="36"/>
        <v/>
      </c>
      <c r="T37" s="454" t="str">
        <f t="shared" ca="1" si="36"/>
        <v/>
      </c>
      <c r="U37" s="429" t="str">
        <f t="shared" ca="1" si="23"/>
        <v/>
      </c>
      <c r="V37" s="430" t="str">
        <f t="shared" ca="1" si="8"/>
        <v/>
      </c>
      <c r="W37" s="391" t="e">
        <f t="shared" ca="1" si="9"/>
        <v>#N/A</v>
      </c>
      <c r="X37" s="448" t="e">
        <f t="shared" ca="1" si="10"/>
        <v>#VALUE!</v>
      </c>
      <c r="Y37" s="447">
        <f t="shared" si="24"/>
        <v>0</v>
      </c>
      <c r="AA37" s="453">
        <f t="shared" ref="AA37:AE49" si="37">AA36</f>
        <v>0</v>
      </c>
      <c r="AB37" s="453" t="str">
        <f t="shared" ca="1" si="37"/>
        <v/>
      </c>
      <c r="AC37" s="454" t="str">
        <f t="shared" ca="1" si="37"/>
        <v/>
      </c>
      <c r="AD37" s="453" t="str">
        <f t="shared" ca="1" si="37"/>
        <v/>
      </c>
      <c r="AE37" s="454" t="str">
        <f t="shared" ca="1" si="37"/>
        <v/>
      </c>
      <c r="AF37" s="429" t="str">
        <f t="shared" ca="1" si="26"/>
        <v/>
      </c>
      <c r="AG37" s="430" t="str">
        <f t="shared" ca="1" si="11"/>
        <v/>
      </c>
      <c r="AH37" s="444" t="str">
        <f t="shared" ca="1" si="27"/>
        <v/>
      </c>
      <c r="AI37" s="444" t="str">
        <f t="shared" ca="1" si="12"/>
        <v/>
      </c>
      <c r="AJ37" s="449" t="e">
        <f t="shared" ca="1" si="28"/>
        <v>#N/A</v>
      </c>
      <c r="AK37" s="453" t="str">
        <f t="shared" ref="AK37:AN49" ca="1" si="38">AK36</f>
        <v/>
      </c>
      <c r="AL37" s="454" t="str">
        <f t="shared" ca="1" si="38"/>
        <v/>
      </c>
      <c r="AM37" s="453" t="str">
        <f t="shared" ca="1" si="38"/>
        <v/>
      </c>
      <c r="AN37" s="454" t="str">
        <f t="shared" ca="1" si="38"/>
        <v/>
      </c>
      <c r="AO37" s="429" t="str">
        <f t="shared" ca="1" si="30"/>
        <v/>
      </c>
      <c r="AP37" s="430" t="str">
        <f t="shared" ca="1" si="13"/>
        <v/>
      </c>
      <c r="AQ37" s="444" t="str">
        <f t="shared" ca="1" si="31"/>
        <v/>
      </c>
      <c r="AR37" s="444" t="str">
        <f t="shared" ca="1" si="14"/>
        <v/>
      </c>
      <c r="AS37" s="449" t="e">
        <f t="shared" ca="1" si="32"/>
        <v>#N/A</v>
      </c>
      <c r="AT37" s="450" t="e">
        <f t="shared" ca="1" si="33"/>
        <v>#VALUE!</v>
      </c>
      <c r="AU37" s="451">
        <f t="shared" si="34"/>
        <v>0</v>
      </c>
    </row>
    <row r="38" spans="2:47" ht="15" customHeight="1">
      <c r="B38" s="433">
        <f t="shared" si="15"/>
        <v>0</v>
      </c>
      <c r="C38" s="416">
        <f>표준압력!C22</f>
        <v>0</v>
      </c>
      <c r="D38" s="440">
        <f>표준압력!D22</f>
        <v>0</v>
      </c>
      <c r="E38" s="452">
        <f t="shared" ref="E38:I49" si="39">E37</f>
        <v>0</v>
      </c>
      <c r="F38" s="453" t="str">
        <f t="shared" ca="1" si="39"/>
        <v/>
      </c>
      <c r="G38" s="454" t="str">
        <f t="shared" ca="1" si="39"/>
        <v/>
      </c>
      <c r="H38" s="453" t="str">
        <f t="shared" ca="1" si="39"/>
        <v/>
      </c>
      <c r="I38" s="452" t="str">
        <f t="shared" ca="1" si="39"/>
        <v/>
      </c>
      <c r="J38" s="445" t="str">
        <f t="shared" ca="1" si="17"/>
        <v/>
      </c>
      <c r="K38" s="445" t="str">
        <f t="shared" ca="1" si="18"/>
        <v/>
      </c>
      <c r="L38" s="391">
        <f t="shared" si="19"/>
        <v>0</v>
      </c>
      <c r="M38" s="449" t="e">
        <f t="shared" si="20"/>
        <v>#N/A</v>
      </c>
      <c r="N38" s="519" t="e">
        <f t="shared" si="21"/>
        <v>#N/A</v>
      </c>
      <c r="O38" s="447">
        <f>표준압력!G22</f>
        <v>0</v>
      </c>
      <c r="P38" s="435"/>
      <c r="Q38" s="453" t="str">
        <f t="shared" ca="1" si="36"/>
        <v/>
      </c>
      <c r="R38" s="454" t="str">
        <f t="shared" ca="1" si="36"/>
        <v/>
      </c>
      <c r="S38" s="453" t="str">
        <f t="shared" ca="1" si="36"/>
        <v/>
      </c>
      <c r="T38" s="454" t="str">
        <f t="shared" ca="1" si="36"/>
        <v/>
      </c>
      <c r="U38" s="429" t="str">
        <f t="shared" ca="1" si="23"/>
        <v/>
      </c>
      <c r="V38" s="430" t="str">
        <f t="shared" ca="1" si="8"/>
        <v/>
      </c>
      <c r="W38" s="391" t="e">
        <f t="shared" ca="1" si="9"/>
        <v>#N/A</v>
      </c>
      <c r="X38" s="448" t="e">
        <f t="shared" ca="1" si="10"/>
        <v>#VALUE!</v>
      </c>
      <c r="Y38" s="447">
        <f t="shared" si="24"/>
        <v>0</v>
      </c>
      <c r="AA38" s="453">
        <f t="shared" si="37"/>
        <v>0</v>
      </c>
      <c r="AB38" s="453" t="str">
        <f t="shared" ca="1" si="37"/>
        <v/>
      </c>
      <c r="AC38" s="454" t="str">
        <f t="shared" ca="1" si="37"/>
        <v/>
      </c>
      <c r="AD38" s="453" t="str">
        <f t="shared" ca="1" si="37"/>
        <v/>
      </c>
      <c r="AE38" s="454" t="str">
        <f t="shared" ca="1" si="37"/>
        <v/>
      </c>
      <c r="AF38" s="429" t="str">
        <f t="shared" ca="1" si="26"/>
        <v/>
      </c>
      <c r="AG38" s="430" t="str">
        <f t="shared" ca="1" si="11"/>
        <v/>
      </c>
      <c r="AH38" s="444" t="str">
        <f t="shared" ca="1" si="27"/>
        <v/>
      </c>
      <c r="AI38" s="444" t="str">
        <f t="shared" ca="1" si="12"/>
        <v/>
      </c>
      <c r="AJ38" s="449" t="e">
        <f t="shared" ca="1" si="28"/>
        <v>#N/A</v>
      </c>
      <c r="AK38" s="453" t="str">
        <f t="shared" ca="1" si="38"/>
        <v/>
      </c>
      <c r="AL38" s="454" t="str">
        <f t="shared" ca="1" si="38"/>
        <v/>
      </c>
      <c r="AM38" s="453" t="str">
        <f t="shared" ca="1" si="38"/>
        <v/>
      </c>
      <c r="AN38" s="454" t="str">
        <f t="shared" ca="1" si="38"/>
        <v/>
      </c>
      <c r="AO38" s="429" t="str">
        <f t="shared" ca="1" si="30"/>
        <v/>
      </c>
      <c r="AP38" s="430" t="str">
        <f t="shared" ca="1" si="13"/>
        <v/>
      </c>
      <c r="AQ38" s="444" t="str">
        <f t="shared" ca="1" si="31"/>
        <v/>
      </c>
      <c r="AR38" s="444" t="str">
        <f t="shared" ca="1" si="14"/>
        <v/>
      </c>
      <c r="AS38" s="449" t="e">
        <f t="shared" ca="1" si="32"/>
        <v>#N/A</v>
      </c>
      <c r="AT38" s="450" t="e">
        <f t="shared" ca="1" si="33"/>
        <v>#VALUE!</v>
      </c>
      <c r="AU38" s="451">
        <f t="shared" si="34"/>
        <v>0</v>
      </c>
    </row>
    <row r="39" spans="2:47" ht="15" customHeight="1">
      <c r="B39" s="433">
        <f t="shared" si="15"/>
        <v>0</v>
      </c>
      <c r="C39" s="416">
        <f>표준압력!C23</f>
        <v>0</v>
      </c>
      <c r="D39" s="440">
        <f>표준압력!D23</f>
        <v>0</v>
      </c>
      <c r="E39" s="452">
        <f t="shared" si="39"/>
        <v>0</v>
      </c>
      <c r="F39" s="453" t="str">
        <f t="shared" ca="1" si="39"/>
        <v/>
      </c>
      <c r="G39" s="454" t="str">
        <f t="shared" ca="1" si="39"/>
        <v/>
      </c>
      <c r="H39" s="453" t="str">
        <f t="shared" ca="1" si="39"/>
        <v/>
      </c>
      <c r="I39" s="452" t="str">
        <f t="shared" ca="1" si="39"/>
        <v/>
      </c>
      <c r="J39" s="445" t="str">
        <f t="shared" ca="1" si="17"/>
        <v/>
      </c>
      <c r="K39" s="445" t="str">
        <f t="shared" ca="1" si="18"/>
        <v/>
      </c>
      <c r="L39" s="391">
        <f t="shared" si="19"/>
        <v>0</v>
      </c>
      <c r="M39" s="449" t="e">
        <f t="shared" si="20"/>
        <v>#N/A</v>
      </c>
      <c r="N39" s="519" t="e">
        <f t="shared" si="21"/>
        <v>#N/A</v>
      </c>
      <c r="O39" s="447">
        <f>표준압력!G23</f>
        <v>0</v>
      </c>
      <c r="P39" s="435"/>
      <c r="Q39" s="453" t="str">
        <f t="shared" ca="1" si="36"/>
        <v/>
      </c>
      <c r="R39" s="454" t="str">
        <f t="shared" ca="1" si="36"/>
        <v/>
      </c>
      <c r="S39" s="453" t="str">
        <f t="shared" ca="1" si="36"/>
        <v/>
      </c>
      <c r="T39" s="454" t="str">
        <f t="shared" ca="1" si="36"/>
        <v/>
      </c>
      <c r="U39" s="429" t="str">
        <f t="shared" ca="1" si="23"/>
        <v/>
      </c>
      <c r="V39" s="430" t="str">
        <f t="shared" ca="1" si="8"/>
        <v/>
      </c>
      <c r="W39" s="391" t="e">
        <f t="shared" ca="1" si="9"/>
        <v>#N/A</v>
      </c>
      <c r="X39" s="448" t="e">
        <f t="shared" ca="1" si="10"/>
        <v>#VALUE!</v>
      </c>
      <c r="Y39" s="447">
        <f t="shared" si="24"/>
        <v>0</v>
      </c>
      <c r="AA39" s="453">
        <f t="shared" si="37"/>
        <v>0</v>
      </c>
      <c r="AB39" s="453" t="str">
        <f t="shared" ca="1" si="37"/>
        <v/>
      </c>
      <c r="AC39" s="454" t="str">
        <f t="shared" ca="1" si="37"/>
        <v/>
      </c>
      <c r="AD39" s="453" t="str">
        <f t="shared" ca="1" si="37"/>
        <v/>
      </c>
      <c r="AE39" s="454" t="str">
        <f t="shared" ca="1" si="37"/>
        <v/>
      </c>
      <c r="AF39" s="429" t="str">
        <f t="shared" ca="1" si="26"/>
        <v/>
      </c>
      <c r="AG39" s="430" t="str">
        <f t="shared" ca="1" si="11"/>
        <v/>
      </c>
      <c r="AH39" s="444" t="str">
        <f t="shared" ca="1" si="27"/>
        <v/>
      </c>
      <c r="AI39" s="444" t="str">
        <f t="shared" ca="1" si="12"/>
        <v/>
      </c>
      <c r="AJ39" s="449" t="e">
        <f t="shared" ca="1" si="28"/>
        <v>#N/A</v>
      </c>
      <c r="AK39" s="453" t="str">
        <f t="shared" ca="1" si="38"/>
        <v/>
      </c>
      <c r="AL39" s="454" t="str">
        <f t="shared" ca="1" si="38"/>
        <v/>
      </c>
      <c r="AM39" s="453" t="str">
        <f t="shared" ca="1" si="38"/>
        <v/>
      </c>
      <c r="AN39" s="454" t="str">
        <f t="shared" ca="1" si="38"/>
        <v/>
      </c>
      <c r="AO39" s="429" t="str">
        <f t="shared" ca="1" si="30"/>
        <v/>
      </c>
      <c r="AP39" s="430" t="str">
        <f t="shared" ca="1" si="13"/>
        <v/>
      </c>
      <c r="AQ39" s="444" t="str">
        <f t="shared" ca="1" si="31"/>
        <v/>
      </c>
      <c r="AR39" s="444" t="str">
        <f t="shared" ca="1" si="14"/>
        <v/>
      </c>
      <c r="AS39" s="449" t="e">
        <f t="shared" ca="1" si="32"/>
        <v>#N/A</v>
      </c>
      <c r="AT39" s="450" t="e">
        <f t="shared" ca="1" si="33"/>
        <v>#VALUE!</v>
      </c>
      <c r="AU39" s="451">
        <f t="shared" si="34"/>
        <v>0</v>
      </c>
    </row>
    <row r="40" spans="2:47" ht="15" customHeight="1">
      <c r="B40" s="433">
        <f t="shared" si="15"/>
        <v>0</v>
      </c>
      <c r="C40" s="416">
        <f>표준압력!C24</f>
        <v>0</v>
      </c>
      <c r="D40" s="440">
        <f>표준압력!D24</f>
        <v>0</v>
      </c>
      <c r="E40" s="452">
        <f t="shared" si="39"/>
        <v>0</v>
      </c>
      <c r="F40" s="453" t="str">
        <f t="shared" ca="1" si="39"/>
        <v/>
      </c>
      <c r="G40" s="454" t="str">
        <f t="shared" ca="1" si="39"/>
        <v/>
      </c>
      <c r="H40" s="453" t="str">
        <f t="shared" ca="1" si="39"/>
        <v/>
      </c>
      <c r="I40" s="452" t="str">
        <f t="shared" ca="1" si="39"/>
        <v/>
      </c>
      <c r="J40" s="445" t="str">
        <f t="shared" ca="1" si="17"/>
        <v/>
      </c>
      <c r="K40" s="445" t="str">
        <f t="shared" ca="1" si="18"/>
        <v/>
      </c>
      <c r="L40" s="391">
        <f t="shared" si="19"/>
        <v>0</v>
      </c>
      <c r="M40" s="449" t="e">
        <f t="shared" si="20"/>
        <v>#N/A</v>
      </c>
      <c r="N40" s="519" t="e">
        <f t="shared" si="21"/>
        <v>#N/A</v>
      </c>
      <c r="O40" s="447">
        <f>표준압력!G24</f>
        <v>0</v>
      </c>
      <c r="P40" s="435"/>
      <c r="Q40" s="453" t="str">
        <f t="shared" ca="1" si="36"/>
        <v/>
      </c>
      <c r="R40" s="454" t="str">
        <f t="shared" ca="1" si="36"/>
        <v/>
      </c>
      <c r="S40" s="453" t="str">
        <f t="shared" ca="1" si="36"/>
        <v/>
      </c>
      <c r="T40" s="454" t="str">
        <f t="shared" ca="1" si="36"/>
        <v/>
      </c>
      <c r="U40" s="429" t="str">
        <f t="shared" ca="1" si="23"/>
        <v/>
      </c>
      <c r="V40" s="430" t="str">
        <f t="shared" ca="1" si="8"/>
        <v/>
      </c>
      <c r="W40" s="391" t="e">
        <f t="shared" ca="1" si="9"/>
        <v>#N/A</v>
      </c>
      <c r="X40" s="448" t="e">
        <f t="shared" ca="1" si="10"/>
        <v>#VALUE!</v>
      </c>
      <c r="Y40" s="447">
        <f t="shared" si="24"/>
        <v>0</v>
      </c>
      <c r="AA40" s="453">
        <f t="shared" si="37"/>
        <v>0</v>
      </c>
      <c r="AB40" s="453" t="str">
        <f t="shared" ca="1" si="37"/>
        <v/>
      </c>
      <c r="AC40" s="454" t="str">
        <f t="shared" ca="1" si="37"/>
        <v/>
      </c>
      <c r="AD40" s="453" t="str">
        <f t="shared" ca="1" si="37"/>
        <v/>
      </c>
      <c r="AE40" s="454" t="str">
        <f t="shared" ca="1" si="37"/>
        <v/>
      </c>
      <c r="AF40" s="429" t="str">
        <f t="shared" ca="1" si="26"/>
        <v/>
      </c>
      <c r="AG40" s="430" t="str">
        <f t="shared" ca="1" si="11"/>
        <v/>
      </c>
      <c r="AH40" s="444" t="str">
        <f t="shared" ca="1" si="27"/>
        <v/>
      </c>
      <c r="AI40" s="444" t="str">
        <f t="shared" ca="1" si="12"/>
        <v/>
      </c>
      <c r="AJ40" s="449" t="e">
        <f t="shared" ca="1" si="28"/>
        <v>#N/A</v>
      </c>
      <c r="AK40" s="453" t="str">
        <f t="shared" ca="1" si="38"/>
        <v/>
      </c>
      <c r="AL40" s="454" t="str">
        <f t="shared" ca="1" si="38"/>
        <v/>
      </c>
      <c r="AM40" s="453" t="str">
        <f t="shared" ca="1" si="38"/>
        <v/>
      </c>
      <c r="AN40" s="454" t="str">
        <f t="shared" ca="1" si="38"/>
        <v/>
      </c>
      <c r="AO40" s="429" t="str">
        <f t="shared" ca="1" si="30"/>
        <v/>
      </c>
      <c r="AP40" s="430" t="str">
        <f t="shared" ca="1" si="13"/>
        <v/>
      </c>
      <c r="AQ40" s="444" t="str">
        <f t="shared" ca="1" si="31"/>
        <v/>
      </c>
      <c r="AR40" s="444" t="str">
        <f t="shared" ca="1" si="14"/>
        <v/>
      </c>
      <c r="AS40" s="449" t="e">
        <f t="shared" ca="1" si="32"/>
        <v>#N/A</v>
      </c>
      <c r="AT40" s="450" t="e">
        <f t="shared" ca="1" si="33"/>
        <v>#VALUE!</v>
      </c>
      <c r="AU40" s="451">
        <f t="shared" si="34"/>
        <v>0</v>
      </c>
    </row>
    <row r="41" spans="2:47" ht="15" customHeight="1">
      <c r="B41" s="433">
        <f t="shared" si="15"/>
        <v>0</v>
      </c>
      <c r="C41" s="416">
        <f>표준압력!C25</f>
        <v>0</v>
      </c>
      <c r="D41" s="440">
        <f>표준압력!D25</f>
        <v>0</v>
      </c>
      <c r="E41" s="452">
        <f t="shared" si="39"/>
        <v>0</v>
      </c>
      <c r="F41" s="453" t="str">
        <f t="shared" ca="1" si="39"/>
        <v/>
      </c>
      <c r="G41" s="454" t="str">
        <f t="shared" ca="1" si="39"/>
        <v/>
      </c>
      <c r="H41" s="453" t="str">
        <f t="shared" ca="1" si="39"/>
        <v/>
      </c>
      <c r="I41" s="452" t="str">
        <f t="shared" ca="1" si="39"/>
        <v/>
      </c>
      <c r="J41" s="445" t="str">
        <f t="shared" ca="1" si="17"/>
        <v/>
      </c>
      <c r="K41" s="445" t="str">
        <f t="shared" ca="1" si="18"/>
        <v/>
      </c>
      <c r="L41" s="391">
        <f t="shared" si="19"/>
        <v>0</v>
      </c>
      <c r="M41" s="449" t="e">
        <f t="shared" si="20"/>
        <v>#N/A</v>
      </c>
      <c r="N41" s="519" t="e">
        <f t="shared" si="21"/>
        <v>#N/A</v>
      </c>
      <c r="O41" s="447">
        <f>표준압력!G25</f>
        <v>0</v>
      </c>
      <c r="P41" s="435"/>
      <c r="Q41" s="453" t="str">
        <f t="shared" ca="1" si="36"/>
        <v/>
      </c>
      <c r="R41" s="454" t="str">
        <f t="shared" ca="1" si="36"/>
        <v/>
      </c>
      <c r="S41" s="453" t="str">
        <f t="shared" ca="1" si="36"/>
        <v/>
      </c>
      <c r="T41" s="454" t="str">
        <f t="shared" ca="1" si="36"/>
        <v/>
      </c>
      <c r="U41" s="429" t="str">
        <f t="shared" ca="1" si="23"/>
        <v/>
      </c>
      <c r="V41" s="430" t="str">
        <f t="shared" ca="1" si="8"/>
        <v/>
      </c>
      <c r="W41" s="391" t="e">
        <f t="shared" ca="1" si="9"/>
        <v>#N/A</v>
      </c>
      <c r="X41" s="448" t="e">
        <f t="shared" ca="1" si="10"/>
        <v>#VALUE!</v>
      </c>
      <c r="Y41" s="447">
        <f t="shared" si="24"/>
        <v>0</v>
      </c>
      <c r="AA41" s="453">
        <f t="shared" si="37"/>
        <v>0</v>
      </c>
      <c r="AB41" s="453" t="str">
        <f t="shared" ca="1" si="37"/>
        <v/>
      </c>
      <c r="AC41" s="454" t="str">
        <f t="shared" ca="1" si="37"/>
        <v/>
      </c>
      <c r="AD41" s="453" t="str">
        <f t="shared" ca="1" si="37"/>
        <v/>
      </c>
      <c r="AE41" s="454" t="str">
        <f t="shared" ca="1" si="37"/>
        <v/>
      </c>
      <c r="AF41" s="429" t="str">
        <f t="shared" ca="1" si="26"/>
        <v/>
      </c>
      <c r="AG41" s="430" t="str">
        <f t="shared" ca="1" si="11"/>
        <v/>
      </c>
      <c r="AH41" s="444" t="str">
        <f t="shared" ca="1" si="27"/>
        <v/>
      </c>
      <c r="AI41" s="444" t="str">
        <f t="shared" ca="1" si="12"/>
        <v/>
      </c>
      <c r="AJ41" s="449" t="e">
        <f t="shared" ca="1" si="28"/>
        <v>#N/A</v>
      </c>
      <c r="AK41" s="453" t="str">
        <f t="shared" ca="1" si="38"/>
        <v/>
      </c>
      <c r="AL41" s="454" t="str">
        <f t="shared" ca="1" si="38"/>
        <v/>
      </c>
      <c r="AM41" s="453" t="str">
        <f t="shared" ca="1" si="38"/>
        <v/>
      </c>
      <c r="AN41" s="454" t="str">
        <f t="shared" ca="1" si="38"/>
        <v/>
      </c>
      <c r="AO41" s="429" t="str">
        <f t="shared" ca="1" si="30"/>
        <v/>
      </c>
      <c r="AP41" s="430" t="str">
        <f t="shared" ca="1" si="13"/>
        <v/>
      </c>
      <c r="AQ41" s="444" t="str">
        <f t="shared" ca="1" si="31"/>
        <v/>
      </c>
      <c r="AR41" s="444" t="str">
        <f t="shared" ca="1" si="14"/>
        <v/>
      </c>
      <c r="AS41" s="449" t="e">
        <f t="shared" ca="1" si="32"/>
        <v>#N/A</v>
      </c>
      <c r="AT41" s="450" t="e">
        <f t="shared" ca="1" si="33"/>
        <v>#VALUE!</v>
      </c>
      <c r="AU41" s="451">
        <f t="shared" si="34"/>
        <v>0</v>
      </c>
    </row>
    <row r="42" spans="2:47" ht="15" customHeight="1">
      <c r="B42" s="433">
        <f t="shared" si="15"/>
        <v>0</v>
      </c>
      <c r="C42" s="416">
        <f>표준압력!C26</f>
        <v>0</v>
      </c>
      <c r="D42" s="440">
        <f>표준압력!D26</f>
        <v>0</v>
      </c>
      <c r="E42" s="452">
        <f t="shared" si="39"/>
        <v>0</v>
      </c>
      <c r="F42" s="453" t="str">
        <f t="shared" ca="1" si="39"/>
        <v/>
      </c>
      <c r="G42" s="454" t="str">
        <f t="shared" ca="1" si="39"/>
        <v/>
      </c>
      <c r="H42" s="453" t="str">
        <f t="shared" ca="1" si="39"/>
        <v/>
      </c>
      <c r="I42" s="452" t="str">
        <f t="shared" ca="1" si="39"/>
        <v/>
      </c>
      <c r="J42" s="445" t="str">
        <f t="shared" ca="1" si="17"/>
        <v/>
      </c>
      <c r="K42" s="445" t="str">
        <f t="shared" ca="1" si="18"/>
        <v/>
      </c>
      <c r="L42" s="391">
        <f t="shared" si="19"/>
        <v>0</v>
      </c>
      <c r="M42" s="449" t="e">
        <f t="shared" si="20"/>
        <v>#N/A</v>
      </c>
      <c r="N42" s="519" t="e">
        <f t="shared" si="21"/>
        <v>#N/A</v>
      </c>
      <c r="O42" s="447">
        <f>표준압력!G26</f>
        <v>0</v>
      </c>
      <c r="P42" s="435"/>
      <c r="Q42" s="453" t="str">
        <f t="shared" ca="1" si="36"/>
        <v/>
      </c>
      <c r="R42" s="454" t="str">
        <f t="shared" ca="1" si="36"/>
        <v/>
      </c>
      <c r="S42" s="453" t="str">
        <f t="shared" ca="1" si="36"/>
        <v/>
      </c>
      <c r="T42" s="454" t="str">
        <f t="shared" ca="1" si="36"/>
        <v/>
      </c>
      <c r="U42" s="429" t="str">
        <f t="shared" ca="1" si="23"/>
        <v/>
      </c>
      <c r="V42" s="430" t="str">
        <f t="shared" ca="1" si="8"/>
        <v/>
      </c>
      <c r="W42" s="391" t="e">
        <f t="shared" ca="1" si="9"/>
        <v>#N/A</v>
      </c>
      <c r="X42" s="448" t="e">
        <f t="shared" ca="1" si="10"/>
        <v>#VALUE!</v>
      </c>
      <c r="Y42" s="447">
        <f t="shared" si="24"/>
        <v>0</v>
      </c>
      <c r="AA42" s="453">
        <f t="shared" si="37"/>
        <v>0</v>
      </c>
      <c r="AB42" s="453" t="str">
        <f t="shared" ca="1" si="37"/>
        <v/>
      </c>
      <c r="AC42" s="454" t="str">
        <f t="shared" ca="1" si="37"/>
        <v/>
      </c>
      <c r="AD42" s="453" t="str">
        <f t="shared" ca="1" si="37"/>
        <v/>
      </c>
      <c r="AE42" s="454" t="str">
        <f t="shared" ca="1" si="37"/>
        <v/>
      </c>
      <c r="AF42" s="429" t="str">
        <f t="shared" ca="1" si="26"/>
        <v/>
      </c>
      <c r="AG42" s="430" t="str">
        <f t="shared" ca="1" si="11"/>
        <v/>
      </c>
      <c r="AH42" s="444" t="str">
        <f t="shared" ca="1" si="27"/>
        <v/>
      </c>
      <c r="AI42" s="444" t="str">
        <f t="shared" ca="1" si="12"/>
        <v/>
      </c>
      <c r="AJ42" s="449" t="e">
        <f t="shared" ca="1" si="28"/>
        <v>#N/A</v>
      </c>
      <c r="AK42" s="453" t="str">
        <f t="shared" ca="1" si="38"/>
        <v/>
      </c>
      <c r="AL42" s="454" t="str">
        <f t="shared" ca="1" si="38"/>
        <v/>
      </c>
      <c r="AM42" s="453" t="str">
        <f t="shared" ca="1" si="38"/>
        <v/>
      </c>
      <c r="AN42" s="454" t="str">
        <f t="shared" ca="1" si="38"/>
        <v/>
      </c>
      <c r="AO42" s="429" t="str">
        <f t="shared" ca="1" si="30"/>
        <v/>
      </c>
      <c r="AP42" s="430" t="str">
        <f t="shared" ca="1" si="13"/>
        <v/>
      </c>
      <c r="AQ42" s="444" t="str">
        <f t="shared" ca="1" si="31"/>
        <v/>
      </c>
      <c r="AR42" s="444" t="str">
        <f t="shared" ca="1" si="14"/>
        <v/>
      </c>
      <c r="AS42" s="449" t="e">
        <f t="shared" ca="1" si="32"/>
        <v>#N/A</v>
      </c>
      <c r="AT42" s="450" t="e">
        <f t="shared" ca="1" si="33"/>
        <v>#VALUE!</v>
      </c>
      <c r="AU42" s="451">
        <f t="shared" si="34"/>
        <v>0</v>
      </c>
    </row>
    <row r="43" spans="2:47" ht="15" customHeight="1">
      <c r="B43" s="433">
        <f t="shared" si="15"/>
        <v>0</v>
      </c>
      <c r="C43" s="416">
        <f>표준압력!C27</f>
        <v>0</v>
      </c>
      <c r="D43" s="440">
        <f>표준압력!D27</f>
        <v>0</v>
      </c>
      <c r="E43" s="452">
        <f t="shared" si="39"/>
        <v>0</v>
      </c>
      <c r="F43" s="453" t="str">
        <f t="shared" ca="1" si="39"/>
        <v/>
      </c>
      <c r="G43" s="454" t="str">
        <f t="shared" ca="1" si="39"/>
        <v/>
      </c>
      <c r="H43" s="453" t="str">
        <f t="shared" ca="1" si="39"/>
        <v/>
      </c>
      <c r="I43" s="452" t="str">
        <f t="shared" ca="1" si="39"/>
        <v/>
      </c>
      <c r="J43" s="445" t="str">
        <f t="shared" ca="1" si="17"/>
        <v/>
      </c>
      <c r="K43" s="445" t="str">
        <f t="shared" ca="1" si="18"/>
        <v/>
      </c>
      <c r="L43" s="391">
        <f t="shared" si="19"/>
        <v>0</v>
      </c>
      <c r="M43" s="449" t="e">
        <f t="shared" si="20"/>
        <v>#N/A</v>
      </c>
      <c r="N43" s="519" t="e">
        <f t="shared" si="21"/>
        <v>#N/A</v>
      </c>
      <c r="O43" s="447">
        <f>표준압력!G27</f>
        <v>0</v>
      </c>
      <c r="P43" s="435"/>
      <c r="Q43" s="453" t="str">
        <f t="shared" ca="1" si="36"/>
        <v/>
      </c>
      <c r="R43" s="454" t="str">
        <f t="shared" ca="1" si="36"/>
        <v/>
      </c>
      <c r="S43" s="453" t="str">
        <f t="shared" ca="1" si="36"/>
        <v/>
      </c>
      <c r="T43" s="454" t="str">
        <f t="shared" ca="1" si="36"/>
        <v/>
      </c>
      <c r="U43" s="429" t="str">
        <f t="shared" ca="1" si="23"/>
        <v/>
      </c>
      <c r="V43" s="430" t="str">
        <f t="shared" ca="1" si="8"/>
        <v/>
      </c>
      <c r="W43" s="391" t="e">
        <f t="shared" ca="1" si="9"/>
        <v>#N/A</v>
      </c>
      <c r="X43" s="448" t="e">
        <f t="shared" ca="1" si="10"/>
        <v>#VALUE!</v>
      </c>
      <c r="Y43" s="447">
        <f t="shared" si="24"/>
        <v>0</v>
      </c>
      <c r="AA43" s="453">
        <f t="shared" si="37"/>
        <v>0</v>
      </c>
      <c r="AB43" s="453" t="str">
        <f t="shared" ca="1" si="37"/>
        <v/>
      </c>
      <c r="AC43" s="454" t="str">
        <f t="shared" ca="1" si="37"/>
        <v/>
      </c>
      <c r="AD43" s="453" t="str">
        <f t="shared" ca="1" si="37"/>
        <v/>
      </c>
      <c r="AE43" s="454" t="str">
        <f t="shared" ca="1" si="37"/>
        <v/>
      </c>
      <c r="AF43" s="429" t="str">
        <f t="shared" ca="1" si="26"/>
        <v/>
      </c>
      <c r="AG43" s="430" t="str">
        <f t="shared" ca="1" si="11"/>
        <v/>
      </c>
      <c r="AH43" s="444" t="str">
        <f t="shared" ca="1" si="27"/>
        <v/>
      </c>
      <c r="AI43" s="444" t="str">
        <f t="shared" ca="1" si="12"/>
        <v/>
      </c>
      <c r="AJ43" s="449" t="e">
        <f t="shared" ca="1" si="28"/>
        <v>#N/A</v>
      </c>
      <c r="AK43" s="453" t="str">
        <f t="shared" ca="1" si="38"/>
        <v/>
      </c>
      <c r="AL43" s="454" t="str">
        <f t="shared" ca="1" si="38"/>
        <v/>
      </c>
      <c r="AM43" s="453" t="str">
        <f t="shared" ca="1" si="38"/>
        <v/>
      </c>
      <c r="AN43" s="454" t="str">
        <f t="shared" ca="1" si="38"/>
        <v/>
      </c>
      <c r="AO43" s="429" t="str">
        <f t="shared" ca="1" si="30"/>
        <v/>
      </c>
      <c r="AP43" s="430" t="str">
        <f t="shared" ca="1" si="13"/>
        <v/>
      </c>
      <c r="AQ43" s="444" t="str">
        <f t="shared" ca="1" si="31"/>
        <v/>
      </c>
      <c r="AR43" s="444" t="str">
        <f t="shared" ca="1" si="14"/>
        <v/>
      </c>
      <c r="AS43" s="449" t="e">
        <f t="shared" ca="1" si="32"/>
        <v>#N/A</v>
      </c>
      <c r="AT43" s="450" t="e">
        <f t="shared" ca="1" si="33"/>
        <v>#VALUE!</v>
      </c>
      <c r="AU43" s="451">
        <f t="shared" si="34"/>
        <v>0</v>
      </c>
    </row>
    <row r="44" spans="2:47" ht="15" customHeight="1">
      <c r="B44" s="433">
        <f t="shared" si="15"/>
        <v>0</v>
      </c>
      <c r="C44" s="416">
        <f>표준압력!C28</f>
        <v>0</v>
      </c>
      <c r="D44" s="440">
        <f>표준압력!D28</f>
        <v>0</v>
      </c>
      <c r="E44" s="452">
        <f t="shared" si="39"/>
        <v>0</v>
      </c>
      <c r="F44" s="453" t="str">
        <f t="shared" ca="1" si="39"/>
        <v/>
      </c>
      <c r="G44" s="454" t="str">
        <f t="shared" ca="1" si="39"/>
        <v/>
      </c>
      <c r="H44" s="453" t="str">
        <f t="shared" ca="1" si="39"/>
        <v/>
      </c>
      <c r="I44" s="452" t="str">
        <f t="shared" ca="1" si="39"/>
        <v/>
      </c>
      <c r="J44" s="445" t="str">
        <f t="shared" ca="1" si="17"/>
        <v/>
      </c>
      <c r="K44" s="445" t="str">
        <f t="shared" ca="1" si="18"/>
        <v/>
      </c>
      <c r="L44" s="391">
        <f t="shared" si="19"/>
        <v>0</v>
      </c>
      <c r="M44" s="449" t="e">
        <f t="shared" si="20"/>
        <v>#N/A</v>
      </c>
      <c r="N44" s="519" t="e">
        <f t="shared" si="21"/>
        <v>#N/A</v>
      </c>
      <c r="O44" s="447">
        <f>표준압력!G28</f>
        <v>0</v>
      </c>
      <c r="P44" s="435"/>
      <c r="Q44" s="453" t="str">
        <f t="shared" ca="1" si="36"/>
        <v/>
      </c>
      <c r="R44" s="454" t="str">
        <f t="shared" ca="1" si="36"/>
        <v/>
      </c>
      <c r="S44" s="453" t="str">
        <f t="shared" ca="1" si="36"/>
        <v/>
      </c>
      <c r="T44" s="454" t="str">
        <f t="shared" ca="1" si="36"/>
        <v/>
      </c>
      <c r="U44" s="429" t="str">
        <f t="shared" ca="1" si="23"/>
        <v/>
      </c>
      <c r="V44" s="430" t="str">
        <f t="shared" ca="1" si="8"/>
        <v/>
      </c>
      <c r="W44" s="391" t="e">
        <f t="shared" ca="1" si="9"/>
        <v>#N/A</v>
      </c>
      <c r="X44" s="448" t="e">
        <f t="shared" ca="1" si="10"/>
        <v>#VALUE!</v>
      </c>
      <c r="Y44" s="447">
        <f t="shared" si="24"/>
        <v>0</v>
      </c>
      <c r="AA44" s="453">
        <f t="shared" si="37"/>
        <v>0</v>
      </c>
      <c r="AB44" s="453" t="str">
        <f t="shared" ca="1" si="37"/>
        <v/>
      </c>
      <c r="AC44" s="454" t="str">
        <f t="shared" ca="1" si="37"/>
        <v/>
      </c>
      <c r="AD44" s="453" t="str">
        <f t="shared" ca="1" si="37"/>
        <v/>
      </c>
      <c r="AE44" s="454" t="str">
        <f t="shared" ca="1" si="37"/>
        <v/>
      </c>
      <c r="AF44" s="429" t="str">
        <f t="shared" ca="1" si="26"/>
        <v/>
      </c>
      <c r="AG44" s="430" t="str">
        <f t="shared" ca="1" si="11"/>
        <v/>
      </c>
      <c r="AH44" s="444" t="str">
        <f t="shared" ca="1" si="27"/>
        <v/>
      </c>
      <c r="AI44" s="444" t="str">
        <f t="shared" ca="1" si="12"/>
        <v/>
      </c>
      <c r="AJ44" s="449" t="e">
        <f t="shared" ca="1" si="28"/>
        <v>#N/A</v>
      </c>
      <c r="AK44" s="453" t="str">
        <f t="shared" ca="1" si="38"/>
        <v/>
      </c>
      <c r="AL44" s="454" t="str">
        <f t="shared" ca="1" si="38"/>
        <v/>
      </c>
      <c r="AM44" s="453" t="str">
        <f t="shared" ca="1" si="38"/>
        <v/>
      </c>
      <c r="AN44" s="454" t="str">
        <f t="shared" ca="1" si="38"/>
        <v/>
      </c>
      <c r="AO44" s="429" t="str">
        <f t="shared" ca="1" si="30"/>
        <v/>
      </c>
      <c r="AP44" s="430" t="str">
        <f t="shared" ca="1" si="13"/>
        <v/>
      </c>
      <c r="AQ44" s="444" t="str">
        <f t="shared" ca="1" si="31"/>
        <v/>
      </c>
      <c r="AR44" s="444" t="str">
        <f t="shared" ca="1" si="14"/>
        <v/>
      </c>
      <c r="AS44" s="449" t="e">
        <f t="shared" ca="1" si="32"/>
        <v>#N/A</v>
      </c>
      <c r="AT44" s="450" t="e">
        <f t="shared" ca="1" si="33"/>
        <v>#VALUE!</v>
      </c>
      <c r="AU44" s="451">
        <f t="shared" si="34"/>
        <v>0</v>
      </c>
    </row>
    <row r="45" spans="2:47" ht="15" customHeight="1">
      <c r="B45" s="433">
        <f t="shared" si="15"/>
        <v>0</v>
      </c>
      <c r="C45" s="416">
        <f>표준압력!C29</f>
        <v>0</v>
      </c>
      <c r="D45" s="440">
        <f>표준압력!D29</f>
        <v>0</v>
      </c>
      <c r="E45" s="452">
        <f t="shared" si="39"/>
        <v>0</v>
      </c>
      <c r="F45" s="453" t="str">
        <f t="shared" ca="1" si="39"/>
        <v/>
      </c>
      <c r="G45" s="454" t="str">
        <f t="shared" ca="1" si="39"/>
        <v/>
      </c>
      <c r="H45" s="453" t="str">
        <f t="shared" ca="1" si="39"/>
        <v/>
      </c>
      <c r="I45" s="452" t="str">
        <f t="shared" ca="1" si="39"/>
        <v/>
      </c>
      <c r="J45" s="445" t="str">
        <f t="shared" ca="1" si="17"/>
        <v/>
      </c>
      <c r="K45" s="445" t="str">
        <f t="shared" ca="1" si="18"/>
        <v/>
      </c>
      <c r="L45" s="391">
        <f t="shared" si="19"/>
        <v>0</v>
      </c>
      <c r="M45" s="449" t="e">
        <f t="shared" si="20"/>
        <v>#N/A</v>
      </c>
      <c r="N45" s="519" t="e">
        <f t="shared" si="21"/>
        <v>#N/A</v>
      </c>
      <c r="O45" s="447">
        <f>표준압력!G29</f>
        <v>0</v>
      </c>
      <c r="P45" s="435"/>
      <c r="Q45" s="453" t="str">
        <f t="shared" ca="1" si="36"/>
        <v/>
      </c>
      <c r="R45" s="454" t="str">
        <f t="shared" ca="1" si="36"/>
        <v/>
      </c>
      <c r="S45" s="453" t="str">
        <f t="shared" ca="1" si="36"/>
        <v/>
      </c>
      <c r="T45" s="454" t="str">
        <f t="shared" ca="1" si="36"/>
        <v/>
      </c>
      <c r="U45" s="429" t="str">
        <f t="shared" ca="1" si="23"/>
        <v/>
      </c>
      <c r="V45" s="430" t="str">
        <f t="shared" ca="1" si="8"/>
        <v/>
      </c>
      <c r="W45" s="391" t="e">
        <f t="shared" ca="1" si="9"/>
        <v>#N/A</v>
      </c>
      <c r="X45" s="448" t="e">
        <f t="shared" ca="1" si="10"/>
        <v>#VALUE!</v>
      </c>
      <c r="Y45" s="447">
        <f t="shared" si="24"/>
        <v>0</v>
      </c>
      <c r="AA45" s="453">
        <f t="shared" si="37"/>
        <v>0</v>
      </c>
      <c r="AB45" s="453" t="str">
        <f t="shared" ca="1" si="37"/>
        <v/>
      </c>
      <c r="AC45" s="454" t="str">
        <f t="shared" ca="1" si="37"/>
        <v/>
      </c>
      <c r="AD45" s="453" t="str">
        <f t="shared" ca="1" si="37"/>
        <v/>
      </c>
      <c r="AE45" s="454" t="str">
        <f t="shared" ca="1" si="37"/>
        <v/>
      </c>
      <c r="AF45" s="429" t="str">
        <f t="shared" ca="1" si="26"/>
        <v/>
      </c>
      <c r="AG45" s="430" t="str">
        <f t="shared" ca="1" si="11"/>
        <v/>
      </c>
      <c r="AH45" s="444" t="str">
        <f t="shared" ca="1" si="27"/>
        <v/>
      </c>
      <c r="AI45" s="444" t="str">
        <f t="shared" ca="1" si="12"/>
        <v/>
      </c>
      <c r="AJ45" s="449" t="e">
        <f t="shared" ca="1" si="28"/>
        <v>#N/A</v>
      </c>
      <c r="AK45" s="453" t="str">
        <f t="shared" ca="1" si="38"/>
        <v/>
      </c>
      <c r="AL45" s="454" t="str">
        <f t="shared" ca="1" si="38"/>
        <v/>
      </c>
      <c r="AM45" s="453" t="str">
        <f t="shared" ca="1" si="38"/>
        <v/>
      </c>
      <c r="AN45" s="454" t="str">
        <f t="shared" ca="1" si="38"/>
        <v/>
      </c>
      <c r="AO45" s="429" t="str">
        <f t="shared" ca="1" si="30"/>
        <v/>
      </c>
      <c r="AP45" s="430" t="str">
        <f t="shared" ca="1" si="13"/>
        <v/>
      </c>
      <c r="AQ45" s="444" t="str">
        <f t="shared" ca="1" si="31"/>
        <v/>
      </c>
      <c r="AR45" s="444" t="str">
        <f t="shared" ca="1" si="14"/>
        <v/>
      </c>
      <c r="AS45" s="449" t="e">
        <f t="shared" ca="1" si="32"/>
        <v>#N/A</v>
      </c>
      <c r="AT45" s="450" t="e">
        <f t="shared" ca="1" si="33"/>
        <v>#VALUE!</v>
      </c>
      <c r="AU45" s="451">
        <f t="shared" si="34"/>
        <v>0</v>
      </c>
    </row>
    <row r="46" spans="2:47" ht="15" customHeight="1">
      <c r="B46" s="433">
        <f t="shared" si="15"/>
        <v>0</v>
      </c>
      <c r="C46" s="416">
        <f>표준압력!C30</f>
        <v>0</v>
      </c>
      <c r="D46" s="440">
        <f>표준압력!D30</f>
        <v>0</v>
      </c>
      <c r="E46" s="452">
        <f t="shared" si="39"/>
        <v>0</v>
      </c>
      <c r="F46" s="453" t="str">
        <f t="shared" ca="1" si="39"/>
        <v/>
      </c>
      <c r="G46" s="454" t="str">
        <f t="shared" ca="1" si="39"/>
        <v/>
      </c>
      <c r="H46" s="453" t="str">
        <f t="shared" ca="1" si="39"/>
        <v/>
      </c>
      <c r="I46" s="452" t="str">
        <f t="shared" ca="1" si="39"/>
        <v/>
      </c>
      <c r="J46" s="445" t="str">
        <f t="shared" ca="1" si="17"/>
        <v/>
      </c>
      <c r="K46" s="445" t="str">
        <f t="shared" ca="1" si="18"/>
        <v/>
      </c>
      <c r="L46" s="391">
        <f t="shared" si="19"/>
        <v>0</v>
      </c>
      <c r="M46" s="449" t="e">
        <f t="shared" si="20"/>
        <v>#N/A</v>
      </c>
      <c r="N46" s="519" t="e">
        <f t="shared" si="21"/>
        <v>#N/A</v>
      </c>
      <c r="O46" s="447">
        <f>표준압력!G30</f>
        <v>0</v>
      </c>
      <c r="P46" s="435"/>
      <c r="Q46" s="453" t="str">
        <f t="shared" ca="1" si="36"/>
        <v/>
      </c>
      <c r="R46" s="454" t="str">
        <f t="shared" ca="1" si="36"/>
        <v/>
      </c>
      <c r="S46" s="453" t="str">
        <f t="shared" ca="1" si="36"/>
        <v/>
      </c>
      <c r="T46" s="454" t="str">
        <f t="shared" ca="1" si="36"/>
        <v/>
      </c>
      <c r="U46" s="429" t="str">
        <f t="shared" ca="1" si="23"/>
        <v/>
      </c>
      <c r="V46" s="430" t="str">
        <f t="shared" ca="1" si="8"/>
        <v/>
      </c>
      <c r="W46" s="391" t="e">
        <f t="shared" ca="1" si="9"/>
        <v>#N/A</v>
      </c>
      <c r="X46" s="448" t="e">
        <f t="shared" ca="1" si="10"/>
        <v>#VALUE!</v>
      </c>
      <c r="Y46" s="447">
        <f t="shared" si="24"/>
        <v>0</v>
      </c>
      <c r="AA46" s="453">
        <f t="shared" si="37"/>
        <v>0</v>
      </c>
      <c r="AB46" s="453" t="str">
        <f t="shared" ca="1" si="37"/>
        <v/>
      </c>
      <c r="AC46" s="454" t="str">
        <f t="shared" ca="1" si="37"/>
        <v/>
      </c>
      <c r="AD46" s="453" t="str">
        <f t="shared" ca="1" si="37"/>
        <v/>
      </c>
      <c r="AE46" s="454" t="str">
        <f t="shared" ca="1" si="37"/>
        <v/>
      </c>
      <c r="AF46" s="429" t="str">
        <f t="shared" ca="1" si="26"/>
        <v/>
      </c>
      <c r="AG46" s="430" t="str">
        <f t="shared" ca="1" si="11"/>
        <v/>
      </c>
      <c r="AH46" s="444" t="str">
        <f t="shared" ca="1" si="27"/>
        <v/>
      </c>
      <c r="AI46" s="444" t="str">
        <f t="shared" ca="1" si="12"/>
        <v/>
      </c>
      <c r="AJ46" s="449" t="e">
        <f t="shared" ca="1" si="28"/>
        <v>#N/A</v>
      </c>
      <c r="AK46" s="453" t="str">
        <f t="shared" ca="1" si="38"/>
        <v/>
      </c>
      <c r="AL46" s="454" t="str">
        <f t="shared" ca="1" si="38"/>
        <v/>
      </c>
      <c r="AM46" s="453" t="str">
        <f t="shared" ca="1" si="38"/>
        <v/>
      </c>
      <c r="AN46" s="454" t="str">
        <f t="shared" ca="1" si="38"/>
        <v/>
      </c>
      <c r="AO46" s="429" t="str">
        <f t="shared" ca="1" si="30"/>
        <v/>
      </c>
      <c r="AP46" s="430" t="str">
        <f t="shared" ca="1" si="13"/>
        <v/>
      </c>
      <c r="AQ46" s="444" t="str">
        <f t="shared" ca="1" si="31"/>
        <v/>
      </c>
      <c r="AR46" s="444" t="str">
        <f t="shared" ca="1" si="14"/>
        <v/>
      </c>
      <c r="AS46" s="449" t="e">
        <f t="shared" ca="1" si="32"/>
        <v>#N/A</v>
      </c>
      <c r="AT46" s="450" t="e">
        <f t="shared" ca="1" si="33"/>
        <v>#VALUE!</v>
      </c>
      <c r="AU46" s="451">
        <f t="shared" si="34"/>
        <v>0</v>
      </c>
    </row>
    <row r="47" spans="2:47" ht="15" customHeight="1">
      <c r="B47" s="433">
        <f t="shared" si="15"/>
        <v>0</v>
      </c>
      <c r="C47" s="416">
        <f>표준압력!C31</f>
        <v>0</v>
      </c>
      <c r="D47" s="440">
        <f>표준압력!D31</f>
        <v>0</v>
      </c>
      <c r="E47" s="452">
        <f t="shared" si="39"/>
        <v>0</v>
      </c>
      <c r="F47" s="453" t="str">
        <f t="shared" ca="1" si="39"/>
        <v/>
      </c>
      <c r="G47" s="454" t="str">
        <f t="shared" ca="1" si="39"/>
        <v/>
      </c>
      <c r="H47" s="453" t="str">
        <f t="shared" ca="1" si="39"/>
        <v/>
      </c>
      <c r="I47" s="452" t="str">
        <f t="shared" ca="1" si="39"/>
        <v/>
      </c>
      <c r="J47" s="445" t="str">
        <f t="shared" ca="1" si="17"/>
        <v/>
      </c>
      <c r="K47" s="445" t="str">
        <f t="shared" ca="1" si="18"/>
        <v/>
      </c>
      <c r="L47" s="391">
        <f t="shared" si="19"/>
        <v>0</v>
      </c>
      <c r="M47" s="449" t="e">
        <f t="shared" si="20"/>
        <v>#N/A</v>
      </c>
      <c r="N47" s="519" t="e">
        <f t="shared" si="21"/>
        <v>#N/A</v>
      </c>
      <c r="O47" s="447">
        <f>표준압력!G31</f>
        <v>0</v>
      </c>
      <c r="P47" s="435"/>
      <c r="Q47" s="453" t="str">
        <f t="shared" ca="1" si="36"/>
        <v/>
      </c>
      <c r="R47" s="454" t="str">
        <f t="shared" ca="1" si="36"/>
        <v/>
      </c>
      <c r="S47" s="453" t="str">
        <f t="shared" ca="1" si="36"/>
        <v/>
      </c>
      <c r="T47" s="454" t="str">
        <f t="shared" ca="1" si="36"/>
        <v/>
      </c>
      <c r="U47" s="429" t="str">
        <f t="shared" ca="1" si="23"/>
        <v/>
      </c>
      <c r="V47" s="430" t="str">
        <f t="shared" ca="1" si="8"/>
        <v/>
      </c>
      <c r="W47" s="391" t="e">
        <f t="shared" ca="1" si="9"/>
        <v>#N/A</v>
      </c>
      <c r="X47" s="448" t="e">
        <f t="shared" ca="1" si="10"/>
        <v>#VALUE!</v>
      </c>
      <c r="Y47" s="447">
        <f t="shared" si="24"/>
        <v>0</v>
      </c>
      <c r="AA47" s="453">
        <f t="shared" si="37"/>
        <v>0</v>
      </c>
      <c r="AB47" s="453" t="str">
        <f t="shared" ca="1" si="37"/>
        <v/>
      </c>
      <c r="AC47" s="454" t="str">
        <f t="shared" ca="1" si="37"/>
        <v/>
      </c>
      <c r="AD47" s="453" t="str">
        <f t="shared" ca="1" si="37"/>
        <v/>
      </c>
      <c r="AE47" s="454" t="str">
        <f t="shared" ca="1" si="37"/>
        <v/>
      </c>
      <c r="AF47" s="429" t="str">
        <f t="shared" ca="1" si="26"/>
        <v/>
      </c>
      <c r="AG47" s="430" t="str">
        <f t="shared" ca="1" si="11"/>
        <v/>
      </c>
      <c r="AH47" s="444" t="str">
        <f t="shared" ca="1" si="27"/>
        <v/>
      </c>
      <c r="AI47" s="444" t="str">
        <f t="shared" ca="1" si="12"/>
        <v/>
      </c>
      <c r="AJ47" s="449" t="e">
        <f t="shared" ca="1" si="28"/>
        <v>#N/A</v>
      </c>
      <c r="AK47" s="453" t="str">
        <f t="shared" ca="1" si="38"/>
        <v/>
      </c>
      <c r="AL47" s="454" t="str">
        <f t="shared" ca="1" si="38"/>
        <v/>
      </c>
      <c r="AM47" s="453" t="str">
        <f t="shared" ca="1" si="38"/>
        <v/>
      </c>
      <c r="AN47" s="454" t="str">
        <f t="shared" ca="1" si="38"/>
        <v/>
      </c>
      <c r="AO47" s="429" t="str">
        <f t="shared" ca="1" si="30"/>
        <v/>
      </c>
      <c r="AP47" s="430" t="str">
        <f t="shared" ca="1" si="13"/>
        <v/>
      </c>
      <c r="AQ47" s="444" t="str">
        <f t="shared" ca="1" si="31"/>
        <v/>
      </c>
      <c r="AR47" s="444" t="str">
        <f t="shared" ca="1" si="14"/>
        <v/>
      </c>
      <c r="AS47" s="449" t="e">
        <f t="shared" ca="1" si="32"/>
        <v>#N/A</v>
      </c>
      <c r="AT47" s="450" t="e">
        <f t="shared" ca="1" si="33"/>
        <v>#VALUE!</v>
      </c>
      <c r="AU47" s="451">
        <f t="shared" si="34"/>
        <v>0</v>
      </c>
    </row>
    <row r="48" spans="2:47" ht="15" customHeight="1">
      <c r="B48" s="433">
        <f t="shared" si="15"/>
        <v>0</v>
      </c>
      <c r="C48" s="416">
        <f>표준압력!C32</f>
        <v>0</v>
      </c>
      <c r="D48" s="440">
        <f>표준압력!D32</f>
        <v>0</v>
      </c>
      <c r="E48" s="452">
        <f t="shared" si="39"/>
        <v>0</v>
      </c>
      <c r="F48" s="453" t="str">
        <f t="shared" ca="1" si="39"/>
        <v/>
      </c>
      <c r="G48" s="454" t="str">
        <f t="shared" ca="1" si="39"/>
        <v/>
      </c>
      <c r="H48" s="453" t="str">
        <f t="shared" ca="1" si="39"/>
        <v/>
      </c>
      <c r="I48" s="452" t="str">
        <f t="shared" ca="1" si="39"/>
        <v/>
      </c>
      <c r="J48" s="445" t="str">
        <f t="shared" ca="1" si="17"/>
        <v/>
      </c>
      <c r="K48" s="445" t="str">
        <f t="shared" ca="1" si="18"/>
        <v/>
      </c>
      <c r="L48" s="391">
        <f t="shared" si="19"/>
        <v>0</v>
      </c>
      <c r="M48" s="449" t="e">
        <f t="shared" si="20"/>
        <v>#N/A</v>
      </c>
      <c r="N48" s="519" t="e">
        <f t="shared" si="21"/>
        <v>#N/A</v>
      </c>
      <c r="O48" s="447">
        <f>표준압력!G32</f>
        <v>0</v>
      </c>
      <c r="P48" s="435"/>
      <c r="Q48" s="453" t="str">
        <f t="shared" ca="1" si="36"/>
        <v/>
      </c>
      <c r="R48" s="454" t="str">
        <f t="shared" ca="1" si="36"/>
        <v/>
      </c>
      <c r="S48" s="453" t="str">
        <f t="shared" ca="1" si="36"/>
        <v/>
      </c>
      <c r="T48" s="454" t="str">
        <f t="shared" ca="1" si="36"/>
        <v/>
      </c>
      <c r="U48" s="429" t="str">
        <f t="shared" ca="1" si="23"/>
        <v/>
      </c>
      <c r="V48" s="430" t="str">
        <f t="shared" ca="1" si="8"/>
        <v/>
      </c>
      <c r="W48" s="391" t="e">
        <f t="shared" ca="1" si="9"/>
        <v>#N/A</v>
      </c>
      <c r="X48" s="448" t="e">
        <f t="shared" ca="1" si="10"/>
        <v>#VALUE!</v>
      </c>
      <c r="Y48" s="447">
        <f t="shared" si="24"/>
        <v>0</v>
      </c>
      <c r="AA48" s="453">
        <f t="shared" si="37"/>
        <v>0</v>
      </c>
      <c r="AB48" s="453" t="str">
        <f t="shared" ca="1" si="37"/>
        <v/>
      </c>
      <c r="AC48" s="454" t="str">
        <f t="shared" ca="1" si="37"/>
        <v/>
      </c>
      <c r="AD48" s="453" t="str">
        <f t="shared" ca="1" si="37"/>
        <v/>
      </c>
      <c r="AE48" s="454" t="str">
        <f t="shared" ca="1" si="37"/>
        <v/>
      </c>
      <c r="AF48" s="429" t="str">
        <f t="shared" ca="1" si="26"/>
        <v/>
      </c>
      <c r="AG48" s="430" t="str">
        <f t="shared" ca="1" si="11"/>
        <v/>
      </c>
      <c r="AH48" s="444" t="str">
        <f t="shared" ca="1" si="27"/>
        <v/>
      </c>
      <c r="AI48" s="444" t="str">
        <f t="shared" ca="1" si="12"/>
        <v/>
      </c>
      <c r="AJ48" s="449" t="e">
        <f t="shared" ca="1" si="28"/>
        <v>#N/A</v>
      </c>
      <c r="AK48" s="453" t="str">
        <f t="shared" ca="1" si="38"/>
        <v/>
      </c>
      <c r="AL48" s="454" t="str">
        <f t="shared" ca="1" si="38"/>
        <v/>
      </c>
      <c r="AM48" s="453" t="str">
        <f t="shared" ca="1" si="38"/>
        <v/>
      </c>
      <c r="AN48" s="454" t="str">
        <f t="shared" ca="1" si="38"/>
        <v/>
      </c>
      <c r="AO48" s="429" t="str">
        <f t="shared" ca="1" si="30"/>
        <v/>
      </c>
      <c r="AP48" s="430" t="str">
        <f t="shared" ca="1" si="13"/>
        <v/>
      </c>
      <c r="AQ48" s="444" t="str">
        <f t="shared" ca="1" si="31"/>
        <v/>
      </c>
      <c r="AR48" s="444" t="str">
        <f t="shared" ca="1" si="14"/>
        <v/>
      </c>
      <c r="AS48" s="449" t="e">
        <f t="shared" ca="1" si="32"/>
        <v>#N/A</v>
      </c>
      <c r="AT48" s="450" t="e">
        <f t="shared" ca="1" si="33"/>
        <v>#VALUE!</v>
      </c>
      <c r="AU48" s="451">
        <f t="shared" si="34"/>
        <v>0</v>
      </c>
    </row>
    <row r="49" spans="2:47" ht="15" customHeight="1">
      <c r="B49" s="433">
        <f t="shared" si="15"/>
        <v>0</v>
      </c>
      <c r="C49" s="416">
        <f>표준압력!C33</f>
        <v>0</v>
      </c>
      <c r="D49" s="440">
        <f>표준압력!D33</f>
        <v>0</v>
      </c>
      <c r="E49" s="452">
        <f t="shared" si="39"/>
        <v>0</v>
      </c>
      <c r="F49" s="453" t="str">
        <f t="shared" ca="1" si="39"/>
        <v/>
      </c>
      <c r="G49" s="454" t="str">
        <f t="shared" ca="1" si="39"/>
        <v/>
      </c>
      <c r="H49" s="453" t="str">
        <f t="shared" ca="1" si="39"/>
        <v/>
      </c>
      <c r="I49" s="452" t="str">
        <f t="shared" ca="1" si="39"/>
        <v/>
      </c>
      <c r="J49" s="445" t="str">
        <f t="shared" ca="1" si="17"/>
        <v/>
      </c>
      <c r="K49" s="445" t="str">
        <f t="shared" ca="1" si="18"/>
        <v/>
      </c>
      <c r="L49" s="391">
        <f t="shared" si="19"/>
        <v>0</v>
      </c>
      <c r="M49" s="449" t="e">
        <f t="shared" si="20"/>
        <v>#N/A</v>
      </c>
      <c r="N49" s="519" t="e">
        <f t="shared" si="21"/>
        <v>#N/A</v>
      </c>
      <c r="O49" s="447">
        <f>표준압력!G33</f>
        <v>0</v>
      </c>
      <c r="P49" s="435"/>
      <c r="Q49" s="453" t="str">
        <f t="shared" ca="1" si="36"/>
        <v/>
      </c>
      <c r="R49" s="454" t="str">
        <f t="shared" ca="1" si="36"/>
        <v/>
      </c>
      <c r="S49" s="453" t="str">
        <f t="shared" ca="1" si="36"/>
        <v/>
      </c>
      <c r="T49" s="454" t="str">
        <f t="shared" ca="1" si="36"/>
        <v/>
      </c>
      <c r="U49" s="429" t="str">
        <f t="shared" ca="1" si="23"/>
        <v/>
      </c>
      <c r="V49" s="430" t="str">
        <f t="shared" ca="1" si="8"/>
        <v/>
      </c>
      <c r="W49" s="391" t="e">
        <f t="shared" ca="1" si="9"/>
        <v>#N/A</v>
      </c>
      <c r="X49" s="448" t="e">
        <f t="shared" ca="1" si="10"/>
        <v>#VALUE!</v>
      </c>
      <c r="Y49" s="447">
        <f t="shared" si="24"/>
        <v>0</v>
      </c>
      <c r="AA49" s="453">
        <f t="shared" si="37"/>
        <v>0</v>
      </c>
      <c r="AB49" s="453" t="str">
        <f t="shared" ca="1" si="37"/>
        <v/>
      </c>
      <c r="AC49" s="454" t="str">
        <f t="shared" ca="1" si="37"/>
        <v/>
      </c>
      <c r="AD49" s="453" t="str">
        <f t="shared" ca="1" si="37"/>
        <v/>
      </c>
      <c r="AE49" s="454" t="str">
        <f t="shared" ca="1" si="37"/>
        <v/>
      </c>
      <c r="AF49" s="429" t="str">
        <f t="shared" ca="1" si="26"/>
        <v/>
      </c>
      <c r="AG49" s="430" t="str">
        <f t="shared" ca="1" si="11"/>
        <v/>
      </c>
      <c r="AH49" s="444" t="str">
        <f t="shared" ca="1" si="27"/>
        <v/>
      </c>
      <c r="AI49" s="444" t="str">
        <f t="shared" ca="1" si="12"/>
        <v/>
      </c>
      <c r="AJ49" s="449" t="e">
        <f t="shared" ca="1" si="28"/>
        <v>#N/A</v>
      </c>
      <c r="AK49" s="453" t="str">
        <f t="shared" ca="1" si="38"/>
        <v/>
      </c>
      <c r="AL49" s="454" t="str">
        <f t="shared" ca="1" si="38"/>
        <v/>
      </c>
      <c r="AM49" s="453" t="str">
        <f t="shared" ca="1" si="38"/>
        <v/>
      </c>
      <c r="AN49" s="454" t="str">
        <f t="shared" ca="1" si="38"/>
        <v/>
      </c>
      <c r="AO49" s="429" t="str">
        <f t="shared" ca="1" si="30"/>
        <v/>
      </c>
      <c r="AP49" s="430" t="str">
        <f t="shared" ca="1" si="13"/>
        <v/>
      </c>
      <c r="AQ49" s="444" t="str">
        <f t="shared" ca="1" si="31"/>
        <v/>
      </c>
      <c r="AR49" s="444" t="str">
        <f t="shared" ca="1" si="14"/>
        <v/>
      </c>
      <c r="AS49" s="449" t="e">
        <f t="shared" ca="1" si="32"/>
        <v>#N/A</v>
      </c>
      <c r="AT49" s="450" t="e">
        <f t="shared" ca="1" si="33"/>
        <v>#VALUE!</v>
      </c>
      <c r="AU49" s="451">
        <f t="shared" si="34"/>
        <v>0</v>
      </c>
    </row>
  </sheetData>
  <mergeCells count="22">
    <mergeCell ref="AO19:AP19"/>
    <mergeCell ref="AQ19:AR19"/>
    <mergeCell ref="AT19:AU19"/>
    <mergeCell ref="U19:V19"/>
    <mergeCell ref="B14:C14"/>
    <mergeCell ref="H14:I14"/>
    <mergeCell ref="J14:K14"/>
    <mergeCell ref="L14:M14"/>
    <mergeCell ref="B15:C15"/>
    <mergeCell ref="B16:C16"/>
    <mergeCell ref="C19:D19"/>
    <mergeCell ref="F19:G19"/>
    <mergeCell ref="H19:I19"/>
    <mergeCell ref="Q19:R19"/>
    <mergeCell ref="S19:T19"/>
    <mergeCell ref="N19:O19"/>
    <mergeCell ref="AB19:AC19"/>
    <mergeCell ref="AD19:AE19"/>
    <mergeCell ref="AK19:AL19"/>
    <mergeCell ref="AM19:AN19"/>
    <mergeCell ref="AF19:AG19"/>
    <mergeCell ref="AH19:AI19"/>
  </mergeCells>
  <phoneticPr fontId="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66"/>
  <sheetViews>
    <sheetView showGridLines="0" zoomScale="75" zoomScaleNormal="75" workbookViewId="0"/>
  </sheetViews>
  <sheetFormatPr defaultColWidth="9.77734375" defaultRowHeight="16.5" customHeight="1"/>
  <cols>
    <col min="1" max="1" width="2.77734375" style="62" customWidth="1"/>
    <col min="2" max="6" width="9.88671875" style="62" bestFit="1" customWidth="1"/>
    <col min="7" max="7" width="12.109375" style="62" bestFit="1" customWidth="1"/>
    <col min="8" max="12" width="9.88671875" style="62" bestFit="1" customWidth="1"/>
    <col min="13" max="13" width="9.77734375" style="62"/>
    <col min="14" max="14" width="11.6640625" style="62" bestFit="1" customWidth="1"/>
    <col min="15" max="18" width="9.88671875" style="62" bestFit="1" customWidth="1"/>
    <col min="19" max="19" width="11.77734375" style="62" bestFit="1" customWidth="1"/>
    <col min="20" max="29" width="9.88671875" style="62" bestFit="1" customWidth="1"/>
    <col min="30" max="30" width="9.77734375" style="62"/>
    <col min="31" max="33" width="9.88671875" style="62" bestFit="1" customWidth="1"/>
    <col min="34" max="35" width="9.88671875" style="62" customWidth="1"/>
    <col min="36" max="36" width="9.88671875" style="62" bestFit="1" customWidth="1"/>
    <col min="37" max="37" width="9.77734375" style="62"/>
    <col min="38" max="42" width="9.88671875" style="62" bestFit="1" customWidth="1"/>
    <col min="43" max="16384" width="9.77734375" style="62"/>
  </cols>
  <sheetData>
    <row r="1" spans="1:18" ht="16.5" customHeight="1">
      <c r="B1" s="225" t="s">
        <v>720</v>
      </c>
      <c r="L1" s="225" t="s">
        <v>184</v>
      </c>
    </row>
    <row r="2" spans="1:18" ht="16.5" customHeight="1">
      <c r="B2" s="338" t="s">
        <v>71</v>
      </c>
      <c r="C2" s="337" t="s">
        <v>306</v>
      </c>
      <c r="D2" s="337" t="s">
        <v>308</v>
      </c>
      <c r="E2" s="337" t="s">
        <v>133</v>
      </c>
      <c r="F2" s="337" t="s">
        <v>134</v>
      </c>
      <c r="G2" s="337" t="s">
        <v>311</v>
      </c>
      <c r="H2" s="337" t="s">
        <v>312</v>
      </c>
      <c r="I2" s="337" t="s">
        <v>313</v>
      </c>
      <c r="J2" s="337" t="s">
        <v>314</v>
      </c>
      <c r="L2" s="455" t="s">
        <v>185</v>
      </c>
      <c r="M2" s="456" t="s">
        <v>186</v>
      </c>
      <c r="N2" s="455" t="s">
        <v>176</v>
      </c>
      <c r="O2" s="455" t="e">
        <f>AVERAGE(기본정보!F12:F13)</f>
        <v>#DIV/0!</v>
      </c>
      <c r="Q2" s="196" t="s">
        <v>292</v>
      </c>
      <c r="R2" s="196" t="s">
        <v>291</v>
      </c>
    </row>
    <row r="3" spans="1:18" ht="16.5" customHeight="1">
      <c r="B3" s="337" t="s">
        <v>306</v>
      </c>
      <c r="C3" s="339">
        <f t="shared" ref="C3:C10" si="0">E3*1000</f>
        <v>1</v>
      </c>
      <c r="D3" s="339">
        <f>E3*10</f>
        <v>0.01</v>
      </c>
      <c r="E3" s="339">
        <f t="shared" ref="E3:E5" si="1">F3*1000</f>
        <v>1E-3</v>
      </c>
      <c r="F3" s="339">
        <v>9.9999999999999995E-7</v>
      </c>
      <c r="G3" s="339">
        <f t="shared" ref="G3:G10" si="2">I3*1000</f>
        <v>1</v>
      </c>
      <c r="H3" s="339">
        <f>I3*10</f>
        <v>0.01</v>
      </c>
      <c r="I3" s="339">
        <f t="shared" ref="I3:I5" si="3">J3*1000</f>
        <v>1E-3</v>
      </c>
      <c r="J3" s="339">
        <v>9.9999999999999995E-7</v>
      </c>
      <c r="L3" s="455" t="s">
        <v>177</v>
      </c>
      <c r="M3" s="456" t="s">
        <v>107</v>
      </c>
      <c r="N3" s="455" t="s">
        <v>108</v>
      </c>
      <c r="O3" s="455" t="e">
        <f>AVERAGE(기본정보!B12:B13)</f>
        <v>#DIV/0!</v>
      </c>
      <c r="Q3" s="198"/>
      <c r="R3" s="196" t="s">
        <v>135</v>
      </c>
    </row>
    <row r="4" spans="1:18" ht="16.5" customHeight="1">
      <c r="B4" s="337" t="s">
        <v>308</v>
      </c>
      <c r="C4" s="339">
        <f t="shared" si="0"/>
        <v>100</v>
      </c>
      <c r="D4" s="339">
        <f t="shared" ref="D4:D10" si="4">E4*10</f>
        <v>1</v>
      </c>
      <c r="E4" s="339">
        <f t="shared" si="1"/>
        <v>0.1</v>
      </c>
      <c r="F4" s="339">
        <v>1E-4</v>
      </c>
      <c r="G4" s="339">
        <f t="shared" si="2"/>
        <v>100</v>
      </c>
      <c r="H4" s="339">
        <f t="shared" ref="H4:H10" si="5">I4*10</f>
        <v>1</v>
      </c>
      <c r="I4" s="339">
        <f t="shared" si="3"/>
        <v>0.1</v>
      </c>
      <c r="J4" s="339">
        <v>1E-4</v>
      </c>
      <c r="L4" s="455" t="s">
        <v>178</v>
      </c>
      <c r="M4" s="456" t="s">
        <v>179</v>
      </c>
      <c r="N4" s="455" t="s">
        <v>188</v>
      </c>
      <c r="O4" s="455" t="e">
        <f>AVERAGE(기본정보!D12:D13)</f>
        <v>#DIV/0!</v>
      </c>
      <c r="Q4" s="436">
        <v>9.9999999999999995E-8</v>
      </c>
      <c r="R4" s="436">
        <v>7</v>
      </c>
    </row>
    <row r="5" spans="1:18" ht="16.5" customHeight="1">
      <c r="B5" s="337" t="s">
        <v>133</v>
      </c>
      <c r="C5" s="339">
        <f t="shared" si="0"/>
        <v>1000</v>
      </c>
      <c r="D5" s="339">
        <f t="shared" si="4"/>
        <v>10</v>
      </c>
      <c r="E5" s="339">
        <f t="shared" si="1"/>
        <v>1</v>
      </c>
      <c r="F5" s="339">
        <v>1E-3</v>
      </c>
      <c r="G5" s="339">
        <f t="shared" si="2"/>
        <v>1000</v>
      </c>
      <c r="H5" s="339">
        <f t="shared" si="5"/>
        <v>10</v>
      </c>
      <c r="I5" s="339">
        <f t="shared" si="3"/>
        <v>1</v>
      </c>
      <c r="J5" s="339">
        <v>1E-3</v>
      </c>
      <c r="L5" s="457" t="s">
        <v>109</v>
      </c>
      <c r="M5" s="458" t="s">
        <v>180</v>
      </c>
      <c r="N5" s="457" t="s">
        <v>110</v>
      </c>
      <c r="O5" s="457" t="e">
        <f>(0.348445*O2-O4*(0.00252*O3-0.020582))/(O3+273.15)</f>
        <v>#DIV/0!</v>
      </c>
      <c r="Q5" s="436">
        <v>9.9999999999999995E-7</v>
      </c>
      <c r="R5" s="436">
        <v>6</v>
      </c>
    </row>
    <row r="6" spans="1:18" ht="16.5" customHeight="1">
      <c r="B6" s="337" t="s">
        <v>134</v>
      </c>
      <c r="C6" s="339">
        <f t="shared" si="0"/>
        <v>1000000</v>
      </c>
      <c r="D6" s="339">
        <f t="shared" si="4"/>
        <v>10000</v>
      </c>
      <c r="E6" s="339">
        <f>F6*1000</f>
        <v>1000</v>
      </c>
      <c r="F6" s="339">
        <v>1</v>
      </c>
      <c r="G6" s="339">
        <f t="shared" si="2"/>
        <v>1000000</v>
      </c>
      <c r="H6" s="339">
        <f t="shared" si="5"/>
        <v>10000</v>
      </c>
      <c r="I6" s="339">
        <f>J6*1000</f>
        <v>1000</v>
      </c>
      <c r="J6" s="339">
        <v>1</v>
      </c>
      <c r="Q6" s="436">
        <v>1.0000000000000001E-5</v>
      </c>
      <c r="R6" s="436">
        <v>5</v>
      </c>
    </row>
    <row r="7" spans="1:18" ht="16.5" customHeight="1" thickBot="1">
      <c r="B7" s="337" t="s">
        <v>311</v>
      </c>
      <c r="C7" s="339">
        <f t="shared" si="0"/>
        <v>1</v>
      </c>
      <c r="D7" s="339">
        <f t="shared" si="4"/>
        <v>0.01</v>
      </c>
      <c r="E7" s="339">
        <f t="shared" ref="E7:E9" si="6">F7*1000</f>
        <v>1E-3</v>
      </c>
      <c r="F7" s="339">
        <v>9.9999999999999995E-7</v>
      </c>
      <c r="G7" s="339">
        <f t="shared" si="2"/>
        <v>1</v>
      </c>
      <c r="H7" s="339">
        <f t="shared" si="5"/>
        <v>0.01</v>
      </c>
      <c r="I7" s="339">
        <f t="shared" ref="I7:I9" si="7">J7*1000</f>
        <v>1E-3</v>
      </c>
      <c r="J7" s="339">
        <v>9.9999999999999995E-7</v>
      </c>
      <c r="L7" s="223" t="s">
        <v>300</v>
      </c>
      <c r="Q7" s="436">
        <v>1E-4</v>
      </c>
      <c r="R7" s="436">
        <v>4</v>
      </c>
    </row>
    <row r="8" spans="1:18" ht="16.5" customHeight="1" thickBot="1">
      <c r="B8" s="337" t="s">
        <v>312</v>
      </c>
      <c r="C8" s="339">
        <f t="shared" si="0"/>
        <v>100</v>
      </c>
      <c r="D8" s="339">
        <f t="shared" si="4"/>
        <v>1</v>
      </c>
      <c r="E8" s="339">
        <f t="shared" si="6"/>
        <v>0.1</v>
      </c>
      <c r="F8" s="339">
        <v>1E-4</v>
      </c>
      <c r="G8" s="339">
        <f t="shared" si="2"/>
        <v>100</v>
      </c>
      <c r="H8" s="339">
        <f t="shared" si="5"/>
        <v>1</v>
      </c>
      <c r="I8" s="339">
        <f t="shared" si="7"/>
        <v>0.1</v>
      </c>
      <c r="J8" s="339">
        <v>1E-4</v>
      </c>
      <c r="L8" s="224">
        <v>10</v>
      </c>
      <c r="Q8" s="436">
        <v>1E-3</v>
      </c>
      <c r="R8" s="436">
        <v>3</v>
      </c>
    </row>
    <row r="9" spans="1:18" ht="16.5" customHeight="1">
      <c r="B9" s="337" t="s">
        <v>313</v>
      </c>
      <c r="C9" s="339">
        <f t="shared" si="0"/>
        <v>1000</v>
      </c>
      <c r="D9" s="339">
        <f t="shared" si="4"/>
        <v>10</v>
      </c>
      <c r="E9" s="339">
        <f t="shared" si="6"/>
        <v>1</v>
      </c>
      <c r="F9" s="339">
        <v>1E-3</v>
      </c>
      <c r="G9" s="339">
        <f t="shared" si="2"/>
        <v>1000</v>
      </c>
      <c r="H9" s="339">
        <f t="shared" si="5"/>
        <v>10</v>
      </c>
      <c r="I9" s="339">
        <f t="shared" si="7"/>
        <v>1</v>
      </c>
      <c r="J9" s="339">
        <v>1E-3</v>
      </c>
      <c r="Q9" s="436">
        <v>0.01</v>
      </c>
      <c r="R9" s="436">
        <v>2</v>
      </c>
    </row>
    <row r="10" spans="1:18" ht="16.5" customHeight="1">
      <c r="B10" s="337" t="s">
        <v>314</v>
      </c>
      <c r="C10" s="339">
        <f t="shared" si="0"/>
        <v>1000000</v>
      </c>
      <c r="D10" s="339">
        <f t="shared" si="4"/>
        <v>10000</v>
      </c>
      <c r="E10" s="339">
        <f>F10*1000</f>
        <v>1000</v>
      </c>
      <c r="F10" s="339">
        <v>1</v>
      </c>
      <c r="G10" s="339">
        <f t="shared" si="2"/>
        <v>1000000</v>
      </c>
      <c r="H10" s="339">
        <f t="shared" si="5"/>
        <v>10000</v>
      </c>
      <c r="I10" s="339">
        <f>J10*1000</f>
        <v>1000</v>
      </c>
      <c r="J10" s="339">
        <v>1</v>
      </c>
      <c r="Q10" s="436">
        <v>0.1</v>
      </c>
      <c r="R10" s="436">
        <v>1</v>
      </c>
    </row>
    <row r="12" spans="1:18" ht="16.5" customHeight="1">
      <c r="A12" s="222" t="s">
        <v>136</v>
      </c>
    </row>
    <row r="13" spans="1:18" ht="15" customHeight="1">
      <c r="B13" s="225" t="s">
        <v>301</v>
      </c>
    </row>
    <row r="14" spans="1:18" ht="15" customHeight="1">
      <c r="B14" s="901" t="s">
        <v>302</v>
      </c>
      <c r="C14" s="902"/>
      <c r="D14" s="437" t="s">
        <v>3</v>
      </c>
      <c r="E14" s="437" t="s">
        <v>303</v>
      </c>
      <c r="F14" s="437" t="s">
        <v>304</v>
      </c>
      <c r="G14" s="437" t="s">
        <v>201</v>
      </c>
      <c r="H14" s="437" t="s">
        <v>111</v>
      </c>
      <c r="I14" s="437" t="s">
        <v>187</v>
      </c>
      <c r="J14" s="903" t="s">
        <v>104</v>
      </c>
      <c r="K14" s="903"/>
    </row>
    <row r="15" spans="1:18" ht="15" customHeight="1">
      <c r="B15" s="913" t="e">
        <f>Calcu!L103</f>
        <v>#N/A</v>
      </c>
      <c r="C15" s="914"/>
      <c r="D15" s="181" t="e">
        <f ca="1">OFFSET(Pressure_2_R1!B$36,MATCH($B15,Pressure_2_R1!$C$37:$C$66,0),0)</f>
        <v>#N/A</v>
      </c>
      <c r="E15" s="181" t="e">
        <f ca="1">OFFSET(Pressure_2_R1!D$36,MATCH($B15,Pressure_2_R1!$C$37:$C$66,0),0)</f>
        <v>#N/A</v>
      </c>
      <c r="F15" s="181" t="e">
        <f ca="1">OFFSET(Pressure_2_R1!L$36,MATCH($B15,Pressure_2_R1!$C$37:$C$66,0),0)</f>
        <v>#N/A</v>
      </c>
      <c r="G15" s="181" t="e">
        <f ca="1">OFFSET(Pressure_2_R1!Y$36,MATCH($B15,Pressure_2_R1!$C$37:$C$66,0),0)</f>
        <v>#N/A</v>
      </c>
      <c r="H15" s="181" t="e">
        <f ca="1">OFFSET(Pressure_2_R1!Z$36,MATCH($B15,Pressure_2_R1!$C$37:$C$66,0),0)</f>
        <v>#N/A</v>
      </c>
      <c r="I15" s="181" t="e">
        <f ca="1">OFFSET(Pressure_2_R1!AA$36,MATCH($B15,Pressure_2_R1!$C$37:$C$66,0),0)</f>
        <v>#N/A</v>
      </c>
      <c r="J15" s="181">
        <f ca="1">IF(TYPE(D15)=16,0,OFFSET(Pressure_2_R1!T$36,MATCH($B15,Pressure_2_R1!$C$37:$C$66,0),0))</f>
        <v>0</v>
      </c>
      <c r="K15" s="181" t="e">
        <f ca="1">OFFSET(Pressure_2_R1!V$36,MATCH($B15,Pressure_2_R1!$C$37:$C$66,0),0)</f>
        <v>#N/A</v>
      </c>
    </row>
    <row r="16" spans="1:18" ht="15" customHeight="1">
      <c r="K16" s="178"/>
      <c r="L16" s="178"/>
      <c r="M16" s="178"/>
      <c r="N16" s="225" t="s">
        <v>290</v>
      </c>
    </row>
    <row r="17" spans="2:53" ht="15" customHeight="1" thickBot="1">
      <c r="B17" s="225" t="s">
        <v>735</v>
      </c>
      <c r="D17" s="63"/>
      <c r="F17" s="225" t="s">
        <v>732</v>
      </c>
      <c r="H17" s="63"/>
      <c r="I17" s="63"/>
      <c r="J17" s="63"/>
      <c r="N17" s="908" t="s">
        <v>305</v>
      </c>
      <c r="O17" s="909"/>
      <c r="P17" s="909"/>
      <c r="Q17" s="909"/>
      <c r="R17" s="909"/>
      <c r="S17" s="909"/>
      <c r="T17" s="909"/>
      <c r="U17" s="910"/>
      <c r="V17" s="908" t="s">
        <v>190</v>
      </c>
      <c r="W17" s="909"/>
      <c r="X17" s="909"/>
      <c r="Y17" s="909"/>
      <c r="Z17" s="909"/>
      <c r="AA17" s="910"/>
      <c r="AB17" s="459" t="s">
        <v>191</v>
      </c>
      <c r="AC17" s="909" t="s">
        <v>192</v>
      </c>
      <c r="AD17" s="909"/>
      <c r="AE17" s="909"/>
      <c r="AF17" s="909"/>
      <c r="AG17" s="910"/>
      <c r="AH17" s="908" t="s">
        <v>64</v>
      </c>
      <c r="AI17" s="909"/>
      <c r="AJ17" s="910"/>
      <c r="AK17" s="64"/>
      <c r="AL17" s="225" t="s">
        <v>189</v>
      </c>
    </row>
    <row r="18" spans="2:53" ht="15" customHeight="1">
      <c r="B18" s="412" t="s">
        <v>310</v>
      </c>
      <c r="C18" s="897" t="s">
        <v>721</v>
      </c>
      <c r="D18" s="898"/>
      <c r="E18" s="412" t="s">
        <v>744</v>
      </c>
      <c r="F18" s="897" t="s">
        <v>745</v>
      </c>
      <c r="G18" s="898"/>
      <c r="H18" s="900" t="s">
        <v>104</v>
      </c>
      <c r="I18" s="900"/>
      <c r="J18" s="412" t="s">
        <v>307</v>
      </c>
      <c r="K18" s="414" t="s">
        <v>535</v>
      </c>
      <c r="L18" s="413" t="s">
        <v>71</v>
      </c>
      <c r="N18" s="412" t="s">
        <v>193</v>
      </c>
      <c r="O18" s="412" t="s">
        <v>194</v>
      </c>
      <c r="P18" s="412" t="s">
        <v>195</v>
      </c>
      <c r="Q18" s="412" t="s">
        <v>196</v>
      </c>
      <c r="R18" s="412" t="s">
        <v>197</v>
      </c>
      <c r="S18" s="412" t="s">
        <v>198</v>
      </c>
      <c r="T18" s="412" t="s">
        <v>199</v>
      </c>
      <c r="U18" s="412" t="s">
        <v>200</v>
      </c>
      <c r="V18" s="412" t="s">
        <v>201</v>
      </c>
      <c r="W18" s="412" t="s">
        <v>111</v>
      </c>
      <c r="X18" s="412" t="s">
        <v>182</v>
      </c>
      <c r="Y18" s="460" t="s">
        <v>202</v>
      </c>
      <c r="Z18" s="412" t="s">
        <v>203</v>
      </c>
      <c r="AA18" s="412" t="s">
        <v>204</v>
      </c>
      <c r="AB18" s="412" t="s">
        <v>191</v>
      </c>
      <c r="AC18" s="412" t="s">
        <v>746</v>
      </c>
      <c r="AD18" s="412" t="s">
        <v>747</v>
      </c>
      <c r="AE18" s="412" t="s">
        <v>205</v>
      </c>
      <c r="AF18" s="412" t="s">
        <v>206</v>
      </c>
      <c r="AG18" s="412" t="s">
        <v>207</v>
      </c>
      <c r="AH18" s="412" t="s">
        <v>748</v>
      </c>
      <c r="AI18" s="413" t="s">
        <v>741</v>
      </c>
      <c r="AJ18" s="412" t="s">
        <v>208</v>
      </c>
      <c r="AK18" s="64"/>
      <c r="AL18" s="72" t="s">
        <v>294</v>
      </c>
      <c r="AM18" s="73" t="s">
        <v>294</v>
      </c>
      <c r="AN18" s="73" t="s">
        <v>294</v>
      </c>
      <c r="AO18" s="73" t="s">
        <v>294</v>
      </c>
      <c r="AP18" s="73" t="s">
        <v>294</v>
      </c>
      <c r="AQ18" s="73" t="s">
        <v>294</v>
      </c>
      <c r="AR18" s="73" t="s">
        <v>294</v>
      </c>
      <c r="AS18" s="73" t="s">
        <v>294</v>
      </c>
      <c r="AT18" s="73" t="s">
        <v>294</v>
      </c>
      <c r="AU18" s="73" t="s">
        <v>294</v>
      </c>
      <c r="AV18" s="73" t="s">
        <v>294</v>
      </c>
      <c r="AW18" s="73" t="s">
        <v>294</v>
      </c>
      <c r="AX18" s="73" t="s">
        <v>294</v>
      </c>
      <c r="AY18" s="73" t="s">
        <v>294</v>
      </c>
      <c r="AZ18" s="73" t="s">
        <v>294</v>
      </c>
      <c r="BA18" s="74" t="s">
        <v>294</v>
      </c>
    </row>
    <row r="19" spans="2:53" ht="15" customHeight="1">
      <c r="B19" s="439">
        <f>Calcu!I103</f>
        <v>0</v>
      </c>
      <c r="C19" s="416" t="str">
        <f>IFERROR(표준압력!F4,"")</f>
        <v/>
      </c>
      <c r="D19" s="440">
        <f>표준압력!G4</f>
        <v>0</v>
      </c>
      <c r="E19" s="418" t="str">
        <f>IFERROR(C19*INDEX(C$3:J$10,MATCH(D19,B$3:B$10,0),4),"")</f>
        <v/>
      </c>
      <c r="F19" s="461" t="e">
        <f ca="1">V55</f>
        <v>#N/A</v>
      </c>
      <c r="G19" s="462" t="e">
        <f ca="1">V56</f>
        <v>#VALUE!</v>
      </c>
      <c r="H19" s="463" t="e">
        <f ca="1">ROUND(F19,G19)</f>
        <v>#N/A</v>
      </c>
      <c r="I19" s="430" t="s">
        <v>749</v>
      </c>
      <c r="J19" s="391">
        <f>IF(OR(I19="% of Reading",I19="% of F.S"),1,INDEX(C$3:J$10,MATCH(I19,B$3:B$10,0),MATCH(L19,C$2:J$2,0)))</f>
        <v>1</v>
      </c>
      <c r="K19" s="448" t="e">
        <f ca="1">H19*E19*J19</f>
        <v>#N/A</v>
      </c>
      <c r="L19" s="462">
        <f>Pressure_2_R1!F4</f>
        <v>0</v>
      </c>
      <c r="N19" s="391">
        <f t="shared" ref="N19:N48" si="8">SUM(AL19:BA19)</f>
        <v>0</v>
      </c>
      <c r="O19" s="464">
        <v>9.7989820000000005</v>
      </c>
      <c r="P19" s="465" t="e">
        <f>O$5</f>
        <v>#DIV/0!</v>
      </c>
      <c r="Q19" s="464">
        <v>8000</v>
      </c>
      <c r="R19" s="464">
        <v>1</v>
      </c>
      <c r="S19" s="464">
        <f>IF(MAX(E19:E48)&lt;=L$8,0,0.031)</f>
        <v>0</v>
      </c>
      <c r="T19" s="391" t="e">
        <f ca="1">SQRT(4*PI()*V19)</f>
        <v>#N/A</v>
      </c>
      <c r="U19" s="466" t="e">
        <f ca="1">IF(C19&gt;=0,N19*O19*(1-P19/Q19)*R19+S19*T19,0)</f>
        <v>#DIV/0!</v>
      </c>
      <c r="V19" s="467" t="e">
        <f ca="1">G15</f>
        <v>#N/A</v>
      </c>
      <c r="W19" s="465" t="e">
        <f ca="1">H15</f>
        <v>#N/A</v>
      </c>
      <c r="X19" s="468" t="e">
        <f t="shared" ref="X19:X48" ca="1" si="9">U19/V19/10^6</f>
        <v>#DIV/0!</v>
      </c>
      <c r="Y19" s="464">
        <v>9.0000000000000002E-6</v>
      </c>
      <c r="Z19" s="469" t="e">
        <f ca="1">O$3-I15</f>
        <v>#DIV/0!</v>
      </c>
      <c r="AA19" s="470" t="e">
        <f ca="1">V19*(1+W19*X19)*(1+(Y19*Z19))</f>
        <v>#N/A</v>
      </c>
      <c r="AB19" s="471" t="e">
        <f t="shared" ref="AB19:AB48" ca="1" si="10">U19/AA19/10^6</f>
        <v>#DIV/0!</v>
      </c>
      <c r="AC19" s="465" t="e">
        <f>O$3</f>
        <v>#DIV/0!</v>
      </c>
      <c r="AD19" s="472" t="str">
        <f>IF(MAX(E19:E48)&lt;=L$8,"기체","액체")</f>
        <v>기체</v>
      </c>
      <c r="AE19" s="469" t="e">
        <f t="shared" ref="AE19:AE48" ca="1" si="11">IF(AD19="기체",(3.3694*10^-3*AB19)/(273.15+AC19),912.7+0.752*AB19-1.645*10^-3*AB19^2+1.456*10^-6*AB19^3)</f>
        <v>#DIV/0!</v>
      </c>
      <c r="AF19" s="464">
        <v>0.03</v>
      </c>
      <c r="AG19" s="473" t="e">
        <f ca="1">IF(C19=0,0,(AE19-P19)*O19*AF19)</f>
        <v>#DIV/0!</v>
      </c>
      <c r="AH19" s="473" t="e">
        <f ca="1">IF(C19&gt;=0,AB19+AG19/10^6,#N/A)</f>
        <v>#DIV/0!</v>
      </c>
      <c r="AI19" s="449" t="e">
        <f>INDEX($C$3:$J$10,MATCH("MPa",$C$2:$J$2,0),MATCH(D19,$B$3:$B$10,0))</f>
        <v>#N/A</v>
      </c>
      <c r="AJ19" s="474" t="e">
        <f ca="1">AH19*AI19</f>
        <v>#DIV/0!</v>
      </c>
      <c r="AK19" s="64"/>
      <c r="AL19" s="65">
        <f>Pressure_2_R1!A70</f>
        <v>0</v>
      </c>
      <c r="AM19" s="475">
        <f>Pressure_2_R1!B70</f>
        <v>0</v>
      </c>
      <c r="AN19" s="475">
        <f>Pressure_2_R1!C70</f>
        <v>0</v>
      </c>
      <c r="AO19" s="475">
        <f>Pressure_2_R1!D70</f>
        <v>0</v>
      </c>
      <c r="AP19" s="475">
        <f>Pressure_2_R1!E70</f>
        <v>0</v>
      </c>
      <c r="AQ19" s="475">
        <f>Pressure_2_R1!F70</f>
        <v>0</v>
      </c>
      <c r="AR19" s="475">
        <f>Pressure_2_R1!G70</f>
        <v>0</v>
      </c>
      <c r="AS19" s="475">
        <f>Pressure_2_R1!H70</f>
        <v>0</v>
      </c>
      <c r="AT19" s="475">
        <f>Pressure_2_R1!I70</f>
        <v>0</v>
      </c>
      <c r="AU19" s="475">
        <f>Pressure_2_R1!J70</f>
        <v>0</v>
      </c>
      <c r="AV19" s="475">
        <f>Pressure_2_R1!K70</f>
        <v>0</v>
      </c>
      <c r="AW19" s="475">
        <f>Pressure_2_R1!L70</f>
        <v>0</v>
      </c>
      <c r="AX19" s="475">
        <f>Pressure_2_R1!M70</f>
        <v>0</v>
      </c>
      <c r="AY19" s="475">
        <f>Pressure_2_R1!N70</f>
        <v>0</v>
      </c>
      <c r="AZ19" s="475">
        <f>Pressure_2_R1!O70</f>
        <v>0</v>
      </c>
      <c r="BA19" s="66">
        <f>Pressure_2_R1!P70</f>
        <v>0</v>
      </c>
    </row>
    <row r="20" spans="2:53" ht="15" customHeight="1">
      <c r="B20" s="433">
        <f>B19</f>
        <v>0</v>
      </c>
      <c r="C20" s="416" t="str">
        <f>IFERROR(표준압력!F5,"")</f>
        <v/>
      </c>
      <c r="D20" s="440">
        <f>표준압력!G5</f>
        <v>0</v>
      </c>
      <c r="E20" s="418" t="str">
        <f t="shared" ref="E20:E48" si="12">IFERROR(C20*INDEX(C$3:J$10,MATCH(D20,B$3:B$10,0),4),"")</f>
        <v/>
      </c>
      <c r="F20" s="453" t="e">
        <f ca="1">F19</f>
        <v>#N/A</v>
      </c>
      <c r="G20" s="454" t="e">
        <f ca="1">G19</f>
        <v>#VALUE!</v>
      </c>
      <c r="H20" s="463" t="e">
        <f t="shared" ref="H20:H48" ca="1" si="13">ROUND(F20,G20)</f>
        <v>#N/A</v>
      </c>
      <c r="I20" s="430" t="s">
        <v>749</v>
      </c>
      <c r="J20" s="391">
        <f t="shared" ref="J20:J48" si="14">IF(OR(I20="% of Reading",I20="% of F.S"),1,INDEX(C$3:J$10,MATCH(I20,B$3:B$10,0),MATCH(L20,C$2:J$2,0)))</f>
        <v>1</v>
      </c>
      <c r="K20" s="448" t="e">
        <f t="shared" ref="K20:K48" ca="1" si="15">H20*E20*J20</f>
        <v>#N/A</v>
      </c>
      <c r="L20" s="454">
        <f t="shared" ref="L20:L48" si="16">L19</f>
        <v>0</v>
      </c>
      <c r="N20" s="391">
        <f t="shared" si="8"/>
        <v>0</v>
      </c>
      <c r="O20" s="476">
        <f t="shared" ref="O20:T35" si="17">O19</f>
        <v>9.7989820000000005</v>
      </c>
      <c r="P20" s="476" t="e">
        <f t="shared" si="17"/>
        <v>#DIV/0!</v>
      </c>
      <c r="Q20" s="476">
        <f t="shared" si="17"/>
        <v>8000</v>
      </c>
      <c r="R20" s="476">
        <f t="shared" si="17"/>
        <v>1</v>
      </c>
      <c r="S20" s="476">
        <f t="shared" si="17"/>
        <v>0</v>
      </c>
      <c r="T20" s="476" t="e">
        <f t="shared" ca="1" si="17"/>
        <v>#N/A</v>
      </c>
      <c r="U20" s="466" t="e">
        <f t="shared" ref="U20:U48" ca="1" si="18">IF(C20&gt;=0,N20*O20*(1-P20/Q20)*R20+S20*T20,0)</f>
        <v>#DIV/0!</v>
      </c>
      <c r="V20" s="476" t="e">
        <f t="shared" ref="V20:W35" ca="1" si="19">V19</f>
        <v>#N/A</v>
      </c>
      <c r="W20" s="476" t="e">
        <f ca="1">W19</f>
        <v>#N/A</v>
      </c>
      <c r="X20" s="468" t="e">
        <f t="shared" ca="1" si="9"/>
        <v>#DIV/0!</v>
      </c>
      <c r="Y20" s="476">
        <f t="shared" ref="Y20:Z35" si="20">Y19</f>
        <v>9.0000000000000002E-6</v>
      </c>
      <c r="Z20" s="476" t="e">
        <f t="shared" ca="1" si="20"/>
        <v>#DIV/0!</v>
      </c>
      <c r="AA20" s="470" t="e">
        <f ca="1">V20*(1+W20*X20)*(1+(Y20*Z20))</f>
        <v>#N/A</v>
      </c>
      <c r="AB20" s="471" t="e">
        <f t="shared" ca="1" si="10"/>
        <v>#DIV/0!</v>
      </c>
      <c r="AC20" s="476" t="e">
        <f t="shared" ref="AC20:AD35" si="21">AC19</f>
        <v>#DIV/0!</v>
      </c>
      <c r="AD20" s="454" t="str">
        <f>AD19</f>
        <v>기체</v>
      </c>
      <c r="AE20" s="469" t="e">
        <f t="shared" ca="1" si="11"/>
        <v>#DIV/0!</v>
      </c>
      <c r="AF20" s="476">
        <f t="shared" ref="AF20:AF48" si="22">AF19</f>
        <v>0.03</v>
      </c>
      <c r="AG20" s="473" t="e">
        <f t="shared" ref="AG20:AG48" ca="1" si="23">IF(C20=0,0,(AE20-P20)*O20*AF20)</f>
        <v>#DIV/0!</v>
      </c>
      <c r="AH20" s="473" t="e">
        <f t="shared" ref="AH20:AH48" ca="1" si="24">IF(C20&gt;=0,AB20+AG20/10^6,#N/A)</f>
        <v>#DIV/0!</v>
      </c>
      <c r="AI20" s="449" t="e">
        <f t="shared" ref="AI20:AI48" si="25">INDEX($C$3:$J$10,MATCH("MPa",$C$2:$J$2,0),MATCH(D20,$B$3:$B$10,0))</f>
        <v>#N/A</v>
      </c>
      <c r="AJ20" s="474" t="e">
        <f t="shared" ref="AJ20:AJ48" ca="1" si="26">AH20*AI20</f>
        <v>#DIV/0!</v>
      </c>
      <c r="AK20" s="64"/>
      <c r="AL20" s="67">
        <f>Pressure_2_R1!A71</f>
        <v>0</v>
      </c>
      <c r="AM20" s="477">
        <f>Pressure_2_R1!B71</f>
        <v>0</v>
      </c>
      <c r="AN20" s="477">
        <f>Pressure_2_R1!C71</f>
        <v>0</v>
      </c>
      <c r="AO20" s="477">
        <f>Pressure_2_R1!D71</f>
        <v>0</v>
      </c>
      <c r="AP20" s="477">
        <f>Pressure_2_R1!E71</f>
        <v>0</v>
      </c>
      <c r="AQ20" s="477">
        <f>Pressure_2_R1!F71</f>
        <v>0</v>
      </c>
      <c r="AR20" s="477">
        <f>Pressure_2_R1!G71</f>
        <v>0</v>
      </c>
      <c r="AS20" s="477">
        <f>Pressure_2_R1!H71</f>
        <v>0</v>
      </c>
      <c r="AT20" s="477">
        <f>Pressure_2_R1!I71</f>
        <v>0</v>
      </c>
      <c r="AU20" s="477">
        <f>Pressure_2_R1!J71</f>
        <v>0</v>
      </c>
      <c r="AV20" s="477">
        <f>Pressure_2_R1!K71</f>
        <v>0</v>
      </c>
      <c r="AW20" s="477">
        <f>Pressure_2_R1!L71</f>
        <v>0</v>
      </c>
      <c r="AX20" s="477">
        <f>Pressure_2_R1!M71</f>
        <v>0</v>
      </c>
      <c r="AY20" s="477">
        <f>Pressure_2_R1!N71</f>
        <v>0</v>
      </c>
      <c r="AZ20" s="477">
        <f>Pressure_2_R1!O71</f>
        <v>0</v>
      </c>
      <c r="BA20" s="68">
        <f>Pressure_2_R1!P71</f>
        <v>0</v>
      </c>
    </row>
    <row r="21" spans="2:53" ht="15" customHeight="1">
      <c r="B21" s="433">
        <f t="shared" ref="B21:G36" si="27">B20</f>
        <v>0</v>
      </c>
      <c r="C21" s="416" t="str">
        <f>IFERROR(표준압력!F6,"")</f>
        <v/>
      </c>
      <c r="D21" s="440">
        <f>표준압력!G6</f>
        <v>0</v>
      </c>
      <c r="E21" s="418" t="str">
        <f t="shared" si="12"/>
        <v/>
      </c>
      <c r="F21" s="453" t="e">
        <f t="shared" ca="1" si="27"/>
        <v>#N/A</v>
      </c>
      <c r="G21" s="454" t="e">
        <f t="shared" ca="1" si="27"/>
        <v>#VALUE!</v>
      </c>
      <c r="H21" s="463" t="e">
        <f t="shared" ca="1" si="13"/>
        <v>#N/A</v>
      </c>
      <c r="I21" s="430" t="s">
        <v>749</v>
      </c>
      <c r="J21" s="391">
        <f t="shared" si="14"/>
        <v>1</v>
      </c>
      <c r="K21" s="448" t="e">
        <f t="shared" ca="1" si="15"/>
        <v>#N/A</v>
      </c>
      <c r="L21" s="454">
        <f t="shared" si="16"/>
        <v>0</v>
      </c>
      <c r="N21" s="391">
        <f t="shared" si="8"/>
        <v>0</v>
      </c>
      <c r="O21" s="476">
        <f t="shared" si="17"/>
        <v>9.7989820000000005</v>
      </c>
      <c r="P21" s="476" t="e">
        <f t="shared" si="17"/>
        <v>#DIV/0!</v>
      </c>
      <c r="Q21" s="476">
        <f t="shared" si="17"/>
        <v>8000</v>
      </c>
      <c r="R21" s="476">
        <f t="shared" si="17"/>
        <v>1</v>
      </c>
      <c r="S21" s="476">
        <f t="shared" si="17"/>
        <v>0</v>
      </c>
      <c r="T21" s="476" t="e">
        <f t="shared" ca="1" si="17"/>
        <v>#N/A</v>
      </c>
      <c r="U21" s="466" t="e">
        <f t="shared" ca="1" si="18"/>
        <v>#DIV/0!</v>
      </c>
      <c r="V21" s="476" t="e">
        <f t="shared" ca="1" si="19"/>
        <v>#N/A</v>
      </c>
      <c r="W21" s="476" t="e">
        <f ca="1">W20</f>
        <v>#N/A</v>
      </c>
      <c r="X21" s="468" t="e">
        <f t="shared" ca="1" si="9"/>
        <v>#DIV/0!</v>
      </c>
      <c r="Y21" s="476">
        <f t="shared" si="20"/>
        <v>9.0000000000000002E-6</v>
      </c>
      <c r="Z21" s="476" t="e">
        <f t="shared" ca="1" si="20"/>
        <v>#DIV/0!</v>
      </c>
      <c r="AA21" s="470" t="e">
        <f ca="1">V21*(1+W21*X21)*(1+(Y21*Z21))</f>
        <v>#N/A</v>
      </c>
      <c r="AB21" s="471" t="e">
        <f t="shared" ca="1" si="10"/>
        <v>#DIV/0!</v>
      </c>
      <c r="AC21" s="476" t="e">
        <f t="shared" si="21"/>
        <v>#DIV/0!</v>
      </c>
      <c r="AD21" s="454" t="str">
        <f t="shared" si="21"/>
        <v>기체</v>
      </c>
      <c r="AE21" s="469" t="e">
        <f t="shared" ca="1" si="11"/>
        <v>#DIV/0!</v>
      </c>
      <c r="AF21" s="476">
        <f t="shared" si="22"/>
        <v>0.03</v>
      </c>
      <c r="AG21" s="473" t="e">
        <f t="shared" ca="1" si="23"/>
        <v>#DIV/0!</v>
      </c>
      <c r="AH21" s="473" t="e">
        <f t="shared" ca="1" si="24"/>
        <v>#DIV/0!</v>
      </c>
      <c r="AI21" s="449" t="e">
        <f t="shared" si="25"/>
        <v>#N/A</v>
      </c>
      <c r="AJ21" s="474" t="e">
        <f t="shared" ca="1" si="26"/>
        <v>#DIV/0!</v>
      </c>
      <c r="AK21" s="64"/>
      <c r="AL21" s="65">
        <f>Pressure_2_R1!A72</f>
        <v>0</v>
      </c>
      <c r="AM21" s="475">
        <f>Pressure_2_R1!B72</f>
        <v>0</v>
      </c>
      <c r="AN21" s="475">
        <f>Pressure_2_R1!C72</f>
        <v>0</v>
      </c>
      <c r="AO21" s="475">
        <f>Pressure_2_R1!D72</f>
        <v>0</v>
      </c>
      <c r="AP21" s="475">
        <f>Pressure_2_R1!E72</f>
        <v>0</v>
      </c>
      <c r="AQ21" s="475">
        <f>Pressure_2_R1!F72</f>
        <v>0</v>
      </c>
      <c r="AR21" s="475">
        <f>Pressure_2_R1!G72</f>
        <v>0</v>
      </c>
      <c r="AS21" s="475">
        <f>Pressure_2_R1!H72</f>
        <v>0</v>
      </c>
      <c r="AT21" s="475">
        <f>Pressure_2_R1!I72</f>
        <v>0</v>
      </c>
      <c r="AU21" s="475">
        <f>Pressure_2_R1!J72</f>
        <v>0</v>
      </c>
      <c r="AV21" s="475">
        <f>Pressure_2_R1!K72</f>
        <v>0</v>
      </c>
      <c r="AW21" s="475">
        <f>Pressure_2_R1!L72</f>
        <v>0</v>
      </c>
      <c r="AX21" s="475">
        <f>Pressure_2_R1!M72</f>
        <v>0</v>
      </c>
      <c r="AY21" s="475">
        <f>Pressure_2_R1!N72</f>
        <v>0</v>
      </c>
      <c r="AZ21" s="475">
        <f>Pressure_2_R1!O72</f>
        <v>0</v>
      </c>
      <c r="BA21" s="66">
        <f>Pressure_2_R1!P72</f>
        <v>0</v>
      </c>
    </row>
    <row r="22" spans="2:53" ht="15" customHeight="1">
      <c r="B22" s="433">
        <f t="shared" si="27"/>
        <v>0</v>
      </c>
      <c r="C22" s="416" t="str">
        <f>IFERROR(표준압력!F7,"")</f>
        <v/>
      </c>
      <c r="D22" s="440">
        <f>표준압력!G7</f>
        <v>0</v>
      </c>
      <c r="E22" s="418" t="str">
        <f t="shared" si="12"/>
        <v/>
      </c>
      <c r="F22" s="453" t="e">
        <f t="shared" ca="1" si="27"/>
        <v>#N/A</v>
      </c>
      <c r="G22" s="454" t="e">
        <f t="shared" ca="1" si="27"/>
        <v>#VALUE!</v>
      </c>
      <c r="H22" s="463" t="e">
        <f t="shared" ca="1" si="13"/>
        <v>#N/A</v>
      </c>
      <c r="I22" s="430" t="s">
        <v>749</v>
      </c>
      <c r="J22" s="391">
        <f t="shared" si="14"/>
        <v>1</v>
      </c>
      <c r="K22" s="448" t="e">
        <f t="shared" ca="1" si="15"/>
        <v>#N/A</v>
      </c>
      <c r="L22" s="454">
        <f t="shared" si="16"/>
        <v>0</v>
      </c>
      <c r="N22" s="391">
        <f t="shared" si="8"/>
        <v>0</v>
      </c>
      <c r="O22" s="476">
        <f t="shared" si="17"/>
        <v>9.7989820000000005</v>
      </c>
      <c r="P22" s="476" t="e">
        <f t="shared" si="17"/>
        <v>#DIV/0!</v>
      </c>
      <c r="Q22" s="476">
        <f t="shared" si="17"/>
        <v>8000</v>
      </c>
      <c r="R22" s="476">
        <f t="shared" si="17"/>
        <v>1</v>
      </c>
      <c r="S22" s="476">
        <f t="shared" si="17"/>
        <v>0</v>
      </c>
      <c r="T22" s="476" t="e">
        <f t="shared" ca="1" si="17"/>
        <v>#N/A</v>
      </c>
      <c r="U22" s="466" t="e">
        <f t="shared" ca="1" si="18"/>
        <v>#DIV/0!</v>
      </c>
      <c r="V22" s="476" t="e">
        <f t="shared" ca="1" si="19"/>
        <v>#N/A</v>
      </c>
      <c r="W22" s="476" t="e">
        <f ca="1">W21</f>
        <v>#N/A</v>
      </c>
      <c r="X22" s="468" t="e">
        <f t="shared" ca="1" si="9"/>
        <v>#DIV/0!</v>
      </c>
      <c r="Y22" s="476">
        <f t="shared" si="20"/>
        <v>9.0000000000000002E-6</v>
      </c>
      <c r="Z22" s="476" t="e">
        <f t="shared" ca="1" si="20"/>
        <v>#DIV/0!</v>
      </c>
      <c r="AA22" s="470" t="e">
        <f t="shared" ref="AA22:AA48" ca="1" si="28">V22*(1+W22*X22)*(1+(Y22*Z22))</f>
        <v>#N/A</v>
      </c>
      <c r="AB22" s="471" t="e">
        <f t="shared" ca="1" si="10"/>
        <v>#DIV/0!</v>
      </c>
      <c r="AC22" s="476" t="e">
        <f t="shared" si="21"/>
        <v>#DIV/0!</v>
      </c>
      <c r="AD22" s="454" t="str">
        <f t="shared" si="21"/>
        <v>기체</v>
      </c>
      <c r="AE22" s="469" t="e">
        <f t="shared" ca="1" si="11"/>
        <v>#DIV/0!</v>
      </c>
      <c r="AF22" s="476">
        <f t="shared" si="22"/>
        <v>0.03</v>
      </c>
      <c r="AG22" s="473" t="e">
        <f t="shared" ca="1" si="23"/>
        <v>#DIV/0!</v>
      </c>
      <c r="AH22" s="473" t="e">
        <f t="shared" ca="1" si="24"/>
        <v>#DIV/0!</v>
      </c>
      <c r="AI22" s="449" t="e">
        <f t="shared" si="25"/>
        <v>#N/A</v>
      </c>
      <c r="AJ22" s="474" t="e">
        <f t="shared" ca="1" si="26"/>
        <v>#DIV/0!</v>
      </c>
      <c r="AK22" s="64"/>
      <c r="AL22" s="67">
        <f>Pressure_2_R1!A73</f>
        <v>0</v>
      </c>
      <c r="AM22" s="477">
        <f>Pressure_2_R1!B73</f>
        <v>0</v>
      </c>
      <c r="AN22" s="477">
        <f>Pressure_2_R1!C73</f>
        <v>0</v>
      </c>
      <c r="AO22" s="477">
        <f>Pressure_2_R1!D73</f>
        <v>0</v>
      </c>
      <c r="AP22" s="477">
        <f>Pressure_2_R1!E73</f>
        <v>0</v>
      </c>
      <c r="AQ22" s="477">
        <f>Pressure_2_R1!F73</f>
        <v>0</v>
      </c>
      <c r="AR22" s="477">
        <f>Pressure_2_R1!G73</f>
        <v>0</v>
      </c>
      <c r="AS22" s="477">
        <f>Pressure_2_R1!H73</f>
        <v>0</v>
      </c>
      <c r="AT22" s="477">
        <f>Pressure_2_R1!I73</f>
        <v>0</v>
      </c>
      <c r="AU22" s="477">
        <f>Pressure_2_R1!J73</f>
        <v>0</v>
      </c>
      <c r="AV22" s="477">
        <f>Pressure_2_R1!K73</f>
        <v>0</v>
      </c>
      <c r="AW22" s="477">
        <f>Pressure_2_R1!L73</f>
        <v>0</v>
      </c>
      <c r="AX22" s="477">
        <f>Pressure_2_R1!M73</f>
        <v>0</v>
      </c>
      <c r="AY22" s="477">
        <f>Pressure_2_R1!N73</f>
        <v>0</v>
      </c>
      <c r="AZ22" s="477">
        <f>Pressure_2_R1!O73</f>
        <v>0</v>
      </c>
      <c r="BA22" s="68">
        <f>Pressure_2_R1!P73</f>
        <v>0</v>
      </c>
    </row>
    <row r="23" spans="2:53" ht="15" customHeight="1">
      <c r="B23" s="433">
        <f t="shared" si="27"/>
        <v>0</v>
      </c>
      <c r="C23" s="416" t="str">
        <f>IFERROR(표준압력!F8,"")</f>
        <v/>
      </c>
      <c r="D23" s="440">
        <f>표준압력!G8</f>
        <v>0</v>
      </c>
      <c r="E23" s="418" t="str">
        <f t="shared" si="12"/>
        <v/>
      </c>
      <c r="F23" s="453" t="e">
        <f t="shared" ca="1" si="27"/>
        <v>#N/A</v>
      </c>
      <c r="G23" s="454" t="e">
        <f t="shared" ca="1" si="27"/>
        <v>#VALUE!</v>
      </c>
      <c r="H23" s="463" t="e">
        <f t="shared" ca="1" si="13"/>
        <v>#N/A</v>
      </c>
      <c r="I23" s="430" t="s">
        <v>749</v>
      </c>
      <c r="J23" s="391">
        <f t="shared" si="14"/>
        <v>1</v>
      </c>
      <c r="K23" s="448" t="e">
        <f t="shared" ca="1" si="15"/>
        <v>#N/A</v>
      </c>
      <c r="L23" s="454">
        <f t="shared" si="16"/>
        <v>0</v>
      </c>
      <c r="N23" s="391">
        <f t="shared" si="8"/>
        <v>0</v>
      </c>
      <c r="O23" s="476">
        <f t="shared" si="17"/>
        <v>9.7989820000000005</v>
      </c>
      <c r="P23" s="476" t="e">
        <f t="shared" si="17"/>
        <v>#DIV/0!</v>
      </c>
      <c r="Q23" s="476">
        <f t="shared" si="17"/>
        <v>8000</v>
      </c>
      <c r="R23" s="476">
        <f t="shared" si="17"/>
        <v>1</v>
      </c>
      <c r="S23" s="476">
        <f t="shared" si="17"/>
        <v>0</v>
      </c>
      <c r="T23" s="476" t="e">
        <f t="shared" ca="1" si="17"/>
        <v>#N/A</v>
      </c>
      <c r="U23" s="466" t="e">
        <f t="shared" ca="1" si="18"/>
        <v>#DIV/0!</v>
      </c>
      <c r="V23" s="476" t="e">
        <f t="shared" ca="1" si="19"/>
        <v>#N/A</v>
      </c>
      <c r="W23" s="476" t="e">
        <f t="shared" ca="1" si="19"/>
        <v>#N/A</v>
      </c>
      <c r="X23" s="468" t="e">
        <f t="shared" ca="1" si="9"/>
        <v>#DIV/0!</v>
      </c>
      <c r="Y23" s="476">
        <f t="shared" si="20"/>
        <v>9.0000000000000002E-6</v>
      </c>
      <c r="Z23" s="476" t="e">
        <f t="shared" ca="1" si="20"/>
        <v>#DIV/0!</v>
      </c>
      <c r="AA23" s="470" t="e">
        <f t="shared" ca="1" si="28"/>
        <v>#N/A</v>
      </c>
      <c r="AB23" s="471" t="e">
        <f t="shared" ca="1" si="10"/>
        <v>#DIV/0!</v>
      </c>
      <c r="AC23" s="476" t="e">
        <f t="shared" si="21"/>
        <v>#DIV/0!</v>
      </c>
      <c r="AD23" s="454" t="str">
        <f t="shared" si="21"/>
        <v>기체</v>
      </c>
      <c r="AE23" s="469" t="e">
        <f t="shared" ca="1" si="11"/>
        <v>#DIV/0!</v>
      </c>
      <c r="AF23" s="476">
        <f t="shared" si="22"/>
        <v>0.03</v>
      </c>
      <c r="AG23" s="473" t="e">
        <f t="shared" ca="1" si="23"/>
        <v>#DIV/0!</v>
      </c>
      <c r="AH23" s="473" t="e">
        <f t="shared" ca="1" si="24"/>
        <v>#DIV/0!</v>
      </c>
      <c r="AI23" s="449" t="e">
        <f t="shared" si="25"/>
        <v>#N/A</v>
      </c>
      <c r="AJ23" s="474" t="e">
        <f t="shared" ca="1" si="26"/>
        <v>#DIV/0!</v>
      </c>
      <c r="AK23" s="64"/>
      <c r="AL23" s="65">
        <f>Pressure_2_R1!A74</f>
        <v>0</v>
      </c>
      <c r="AM23" s="475">
        <f>Pressure_2_R1!B74</f>
        <v>0</v>
      </c>
      <c r="AN23" s="475">
        <f>Pressure_2_R1!C74</f>
        <v>0</v>
      </c>
      <c r="AO23" s="475">
        <f>Pressure_2_R1!D74</f>
        <v>0</v>
      </c>
      <c r="AP23" s="475">
        <f>Pressure_2_R1!E74</f>
        <v>0</v>
      </c>
      <c r="AQ23" s="475">
        <f>Pressure_2_R1!F74</f>
        <v>0</v>
      </c>
      <c r="AR23" s="475">
        <f>Pressure_2_R1!G74</f>
        <v>0</v>
      </c>
      <c r="AS23" s="475">
        <f>Pressure_2_R1!H74</f>
        <v>0</v>
      </c>
      <c r="AT23" s="475">
        <f>Pressure_2_R1!I74</f>
        <v>0</v>
      </c>
      <c r="AU23" s="475">
        <f>Pressure_2_R1!J74</f>
        <v>0</v>
      </c>
      <c r="AV23" s="475">
        <f>Pressure_2_R1!K74</f>
        <v>0</v>
      </c>
      <c r="AW23" s="475">
        <f>Pressure_2_R1!L74</f>
        <v>0</v>
      </c>
      <c r="AX23" s="475">
        <f>Pressure_2_R1!M74</f>
        <v>0</v>
      </c>
      <c r="AY23" s="475">
        <f>Pressure_2_R1!N74</f>
        <v>0</v>
      </c>
      <c r="AZ23" s="475">
        <f>Pressure_2_R1!O74</f>
        <v>0</v>
      </c>
      <c r="BA23" s="66">
        <f>Pressure_2_R1!P74</f>
        <v>0</v>
      </c>
    </row>
    <row r="24" spans="2:53" ht="15" customHeight="1">
      <c r="B24" s="433">
        <f t="shared" si="27"/>
        <v>0</v>
      </c>
      <c r="C24" s="416" t="str">
        <f>IFERROR(표준압력!F9,"")</f>
        <v/>
      </c>
      <c r="D24" s="440">
        <f>표준압력!G9</f>
        <v>0</v>
      </c>
      <c r="E24" s="418" t="str">
        <f t="shared" si="12"/>
        <v/>
      </c>
      <c r="F24" s="453" t="e">
        <f t="shared" ca="1" si="27"/>
        <v>#N/A</v>
      </c>
      <c r="G24" s="454" t="e">
        <f t="shared" ca="1" si="27"/>
        <v>#VALUE!</v>
      </c>
      <c r="H24" s="463" t="e">
        <f t="shared" ca="1" si="13"/>
        <v>#N/A</v>
      </c>
      <c r="I24" s="430" t="s">
        <v>749</v>
      </c>
      <c r="J24" s="391">
        <f t="shared" si="14"/>
        <v>1</v>
      </c>
      <c r="K24" s="448" t="e">
        <f t="shared" ca="1" si="15"/>
        <v>#N/A</v>
      </c>
      <c r="L24" s="454">
        <f t="shared" si="16"/>
        <v>0</v>
      </c>
      <c r="N24" s="391">
        <f t="shared" si="8"/>
        <v>0</v>
      </c>
      <c r="O24" s="476">
        <f t="shared" si="17"/>
        <v>9.7989820000000005</v>
      </c>
      <c r="P24" s="476" t="e">
        <f t="shared" si="17"/>
        <v>#DIV/0!</v>
      </c>
      <c r="Q24" s="476">
        <f t="shared" si="17"/>
        <v>8000</v>
      </c>
      <c r="R24" s="476">
        <f t="shared" si="17"/>
        <v>1</v>
      </c>
      <c r="S24" s="476">
        <f t="shared" si="17"/>
        <v>0</v>
      </c>
      <c r="T24" s="476" t="e">
        <f t="shared" ca="1" si="17"/>
        <v>#N/A</v>
      </c>
      <c r="U24" s="466" t="e">
        <f t="shared" ca="1" si="18"/>
        <v>#DIV/0!</v>
      </c>
      <c r="V24" s="476" t="e">
        <f t="shared" ca="1" si="19"/>
        <v>#N/A</v>
      </c>
      <c r="W24" s="476" t="e">
        <f t="shared" ca="1" si="19"/>
        <v>#N/A</v>
      </c>
      <c r="X24" s="468" t="e">
        <f t="shared" ca="1" si="9"/>
        <v>#DIV/0!</v>
      </c>
      <c r="Y24" s="476">
        <f t="shared" si="20"/>
        <v>9.0000000000000002E-6</v>
      </c>
      <c r="Z24" s="476" t="e">
        <f t="shared" ca="1" si="20"/>
        <v>#DIV/0!</v>
      </c>
      <c r="AA24" s="470" t="e">
        <f t="shared" ca="1" si="28"/>
        <v>#N/A</v>
      </c>
      <c r="AB24" s="471" t="e">
        <f t="shared" ca="1" si="10"/>
        <v>#DIV/0!</v>
      </c>
      <c r="AC24" s="476" t="e">
        <f t="shared" si="21"/>
        <v>#DIV/0!</v>
      </c>
      <c r="AD24" s="454" t="str">
        <f t="shared" si="21"/>
        <v>기체</v>
      </c>
      <c r="AE24" s="469" t="e">
        <f t="shared" ca="1" si="11"/>
        <v>#DIV/0!</v>
      </c>
      <c r="AF24" s="476">
        <f t="shared" si="22"/>
        <v>0.03</v>
      </c>
      <c r="AG24" s="473" t="e">
        <f t="shared" ca="1" si="23"/>
        <v>#DIV/0!</v>
      </c>
      <c r="AH24" s="473" t="e">
        <f t="shared" ca="1" si="24"/>
        <v>#DIV/0!</v>
      </c>
      <c r="AI24" s="449" t="e">
        <f t="shared" si="25"/>
        <v>#N/A</v>
      </c>
      <c r="AJ24" s="474" t="e">
        <f t="shared" ca="1" si="26"/>
        <v>#DIV/0!</v>
      </c>
      <c r="AK24" s="64"/>
      <c r="AL24" s="67">
        <f>Pressure_2_R1!A75</f>
        <v>0</v>
      </c>
      <c r="AM24" s="477">
        <f>Pressure_2_R1!B75</f>
        <v>0</v>
      </c>
      <c r="AN24" s="477">
        <f>Pressure_2_R1!C75</f>
        <v>0</v>
      </c>
      <c r="AO24" s="477">
        <f>Pressure_2_R1!D75</f>
        <v>0</v>
      </c>
      <c r="AP24" s="477">
        <f>Pressure_2_R1!E75</f>
        <v>0</v>
      </c>
      <c r="AQ24" s="477">
        <f>Pressure_2_R1!F75</f>
        <v>0</v>
      </c>
      <c r="AR24" s="477">
        <f>Pressure_2_R1!G75</f>
        <v>0</v>
      </c>
      <c r="AS24" s="477">
        <f>Pressure_2_R1!H75</f>
        <v>0</v>
      </c>
      <c r="AT24" s="477">
        <f>Pressure_2_R1!I75</f>
        <v>0</v>
      </c>
      <c r="AU24" s="477">
        <f>Pressure_2_R1!J75</f>
        <v>0</v>
      </c>
      <c r="AV24" s="477">
        <f>Pressure_2_R1!K75</f>
        <v>0</v>
      </c>
      <c r="AW24" s="477">
        <f>Pressure_2_R1!L75</f>
        <v>0</v>
      </c>
      <c r="AX24" s="477">
        <f>Pressure_2_R1!M75</f>
        <v>0</v>
      </c>
      <c r="AY24" s="477">
        <f>Pressure_2_R1!N75</f>
        <v>0</v>
      </c>
      <c r="AZ24" s="477">
        <f>Pressure_2_R1!O75</f>
        <v>0</v>
      </c>
      <c r="BA24" s="68">
        <f>Pressure_2_R1!P75</f>
        <v>0</v>
      </c>
    </row>
    <row r="25" spans="2:53" ht="15" customHeight="1">
      <c r="B25" s="433">
        <f t="shared" si="27"/>
        <v>0</v>
      </c>
      <c r="C25" s="416" t="str">
        <f>IFERROR(표준압력!F10,"")</f>
        <v/>
      </c>
      <c r="D25" s="440">
        <f>표준압력!G10</f>
        <v>0</v>
      </c>
      <c r="E25" s="418" t="str">
        <f t="shared" si="12"/>
        <v/>
      </c>
      <c r="F25" s="453" t="e">
        <f t="shared" ca="1" si="27"/>
        <v>#N/A</v>
      </c>
      <c r="G25" s="454" t="e">
        <f t="shared" ca="1" si="27"/>
        <v>#VALUE!</v>
      </c>
      <c r="H25" s="463" t="e">
        <f t="shared" ca="1" si="13"/>
        <v>#N/A</v>
      </c>
      <c r="I25" s="430" t="s">
        <v>749</v>
      </c>
      <c r="J25" s="391">
        <f t="shared" si="14"/>
        <v>1</v>
      </c>
      <c r="K25" s="448" t="e">
        <f t="shared" ca="1" si="15"/>
        <v>#N/A</v>
      </c>
      <c r="L25" s="454">
        <f t="shared" si="16"/>
        <v>0</v>
      </c>
      <c r="N25" s="391">
        <f t="shared" si="8"/>
        <v>0</v>
      </c>
      <c r="O25" s="476">
        <f t="shared" si="17"/>
        <v>9.7989820000000005</v>
      </c>
      <c r="P25" s="476" t="e">
        <f t="shared" si="17"/>
        <v>#DIV/0!</v>
      </c>
      <c r="Q25" s="476">
        <f t="shared" si="17"/>
        <v>8000</v>
      </c>
      <c r="R25" s="476">
        <f t="shared" si="17"/>
        <v>1</v>
      </c>
      <c r="S25" s="476">
        <f t="shared" si="17"/>
        <v>0</v>
      </c>
      <c r="T25" s="476" t="e">
        <f t="shared" ca="1" si="17"/>
        <v>#N/A</v>
      </c>
      <c r="U25" s="466" t="e">
        <f t="shared" ca="1" si="18"/>
        <v>#DIV/0!</v>
      </c>
      <c r="V25" s="476" t="e">
        <f t="shared" ca="1" si="19"/>
        <v>#N/A</v>
      </c>
      <c r="W25" s="476" t="e">
        <f t="shared" ca="1" si="19"/>
        <v>#N/A</v>
      </c>
      <c r="X25" s="468" t="e">
        <f t="shared" ca="1" si="9"/>
        <v>#DIV/0!</v>
      </c>
      <c r="Y25" s="476">
        <f t="shared" si="20"/>
        <v>9.0000000000000002E-6</v>
      </c>
      <c r="Z25" s="476" t="e">
        <f t="shared" ca="1" si="20"/>
        <v>#DIV/0!</v>
      </c>
      <c r="AA25" s="470" t="e">
        <f t="shared" ca="1" si="28"/>
        <v>#N/A</v>
      </c>
      <c r="AB25" s="471" t="e">
        <f t="shared" ca="1" si="10"/>
        <v>#DIV/0!</v>
      </c>
      <c r="AC25" s="476" t="e">
        <f t="shared" si="21"/>
        <v>#DIV/0!</v>
      </c>
      <c r="AD25" s="454" t="str">
        <f t="shared" si="21"/>
        <v>기체</v>
      </c>
      <c r="AE25" s="469" t="e">
        <f t="shared" ca="1" si="11"/>
        <v>#DIV/0!</v>
      </c>
      <c r="AF25" s="476">
        <f t="shared" si="22"/>
        <v>0.03</v>
      </c>
      <c r="AG25" s="473" t="e">
        <f t="shared" ca="1" si="23"/>
        <v>#DIV/0!</v>
      </c>
      <c r="AH25" s="473" t="e">
        <f t="shared" ca="1" si="24"/>
        <v>#DIV/0!</v>
      </c>
      <c r="AI25" s="449" t="e">
        <f t="shared" si="25"/>
        <v>#N/A</v>
      </c>
      <c r="AJ25" s="474" t="e">
        <f t="shared" ca="1" si="26"/>
        <v>#DIV/0!</v>
      </c>
      <c r="AK25" s="64"/>
      <c r="AL25" s="65">
        <f>Pressure_2_R1!A76</f>
        <v>0</v>
      </c>
      <c r="AM25" s="475">
        <f>Pressure_2_R1!B76</f>
        <v>0</v>
      </c>
      <c r="AN25" s="475">
        <f>Pressure_2_R1!C76</f>
        <v>0</v>
      </c>
      <c r="AO25" s="475">
        <f>Pressure_2_R1!D76</f>
        <v>0</v>
      </c>
      <c r="AP25" s="475">
        <f>Pressure_2_R1!E76</f>
        <v>0</v>
      </c>
      <c r="AQ25" s="475">
        <f>Pressure_2_R1!F76</f>
        <v>0</v>
      </c>
      <c r="AR25" s="475">
        <f>Pressure_2_R1!G76</f>
        <v>0</v>
      </c>
      <c r="AS25" s="475">
        <f>Pressure_2_R1!H76</f>
        <v>0</v>
      </c>
      <c r="AT25" s="475">
        <f>Pressure_2_R1!I76</f>
        <v>0</v>
      </c>
      <c r="AU25" s="475">
        <f>Pressure_2_R1!J76</f>
        <v>0</v>
      </c>
      <c r="AV25" s="475">
        <f>Pressure_2_R1!K76</f>
        <v>0</v>
      </c>
      <c r="AW25" s="475">
        <f>Pressure_2_R1!L76</f>
        <v>0</v>
      </c>
      <c r="AX25" s="475">
        <f>Pressure_2_R1!M76</f>
        <v>0</v>
      </c>
      <c r="AY25" s="475">
        <f>Pressure_2_R1!N76</f>
        <v>0</v>
      </c>
      <c r="AZ25" s="475">
        <f>Pressure_2_R1!O76</f>
        <v>0</v>
      </c>
      <c r="BA25" s="66">
        <f>Pressure_2_R1!P76</f>
        <v>0</v>
      </c>
    </row>
    <row r="26" spans="2:53" ht="15" customHeight="1">
      <c r="B26" s="433">
        <f t="shared" si="27"/>
        <v>0</v>
      </c>
      <c r="C26" s="416" t="str">
        <f>IFERROR(표준압력!F11,"")</f>
        <v/>
      </c>
      <c r="D26" s="440">
        <f>표준압력!G11</f>
        <v>0</v>
      </c>
      <c r="E26" s="418" t="str">
        <f t="shared" si="12"/>
        <v/>
      </c>
      <c r="F26" s="453" t="e">
        <f t="shared" ca="1" si="27"/>
        <v>#N/A</v>
      </c>
      <c r="G26" s="454" t="e">
        <f t="shared" ca="1" si="27"/>
        <v>#VALUE!</v>
      </c>
      <c r="H26" s="463" t="e">
        <f t="shared" ca="1" si="13"/>
        <v>#N/A</v>
      </c>
      <c r="I26" s="430" t="s">
        <v>749</v>
      </c>
      <c r="J26" s="391">
        <f t="shared" si="14"/>
        <v>1</v>
      </c>
      <c r="K26" s="448" t="e">
        <f t="shared" ca="1" si="15"/>
        <v>#N/A</v>
      </c>
      <c r="L26" s="454">
        <f t="shared" si="16"/>
        <v>0</v>
      </c>
      <c r="N26" s="391">
        <f t="shared" si="8"/>
        <v>0</v>
      </c>
      <c r="O26" s="476">
        <f t="shared" si="17"/>
        <v>9.7989820000000005</v>
      </c>
      <c r="P26" s="476" t="e">
        <f t="shared" si="17"/>
        <v>#DIV/0!</v>
      </c>
      <c r="Q26" s="476">
        <f t="shared" si="17"/>
        <v>8000</v>
      </c>
      <c r="R26" s="476">
        <f t="shared" si="17"/>
        <v>1</v>
      </c>
      <c r="S26" s="476">
        <f t="shared" si="17"/>
        <v>0</v>
      </c>
      <c r="T26" s="476" t="e">
        <f t="shared" ca="1" si="17"/>
        <v>#N/A</v>
      </c>
      <c r="U26" s="466" t="e">
        <f t="shared" ca="1" si="18"/>
        <v>#DIV/0!</v>
      </c>
      <c r="V26" s="476" t="e">
        <f t="shared" ca="1" si="19"/>
        <v>#N/A</v>
      </c>
      <c r="W26" s="476" t="e">
        <f t="shared" ca="1" si="19"/>
        <v>#N/A</v>
      </c>
      <c r="X26" s="468" t="e">
        <f t="shared" ca="1" si="9"/>
        <v>#DIV/0!</v>
      </c>
      <c r="Y26" s="476">
        <f t="shared" si="20"/>
        <v>9.0000000000000002E-6</v>
      </c>
      <c r="Z26" s="476" t="e">
        <f t="shared" ca="1" si="20"/>
        <v>#DIV/0!</v>
      </c>
      <c r="AA26" s="470" t="e">
        <f t="shared" ca="1" si="28"/>
        <v>#N/A</v>
      </c>
      <c r="AB26" s="471" t="e">
        <f t="shared" ca="1" si="10"/>
        <v>#DIV/0!</v>
      </c>
      <c r="AC26" s="476" t="e">
        <f t="shared" si="21"/>
        <v>#DIV/0!</v>
      </c>
      <c r="AD26" s="454" t="str">
        <f t="shared" si="21"/>
        <v>기체</v>
      </c>
      <c r="AE26" s="469" t="e">
        <f t="shared" ca="1" si="11"/>
        <v>#DIV/0!</v>
      </c>
      <c r="AF26" s="476">
        <f t="shared" si="22"/>
        <v>0.03</v>
      </c>
      <c r="AG26" s="473" t="e">
        <f t="shared" ca="1" si="23"/>
        <v>#DIV/0!</v>
      </c>
      <c r="AH26" s="473" t="e">
        <f t="shared" ca="1" si="24"/>
        <v>#DIV/0!</v>
      </c>
      <c r="AI26" s="449" t="e">
        <f t="shared" si="25"/>
        <v>#N/A</v>
      </c>
      <c r="AJ26" s="474" t="e">
        <f t="shared" ca="1" si="26"/>
        <v>#DIV/0!</v>
      </c>
      <c r="AK26" s="64"/>
      <c r="AL26" s="67">
        <f>Pressure_2_R1!A77</f>
        <v>0</v>
      </c>
      <c r="AM26" s="477">
        <f>Pressure_2_R1!B77</f>
        <v>0</v>
      </c>
      <c r="AN26" s="477">
        <f>Pressure_2_R1!C77</f>
        <v>0</v>
      </c>
      <c r="AO26" s="477">
        <f>Pressure_2_R1!D77</f>
        <v>0</v>
      </c>
      <c r="AP26" s="477">
        <f>Pressure_2_R1!E77</f>
        <v>0</v>
      </c>
      <c r="AQ26" s="477">
        <f>Pressure_2_R1!F77</f>
        <v>0</v>
      </c>
      <c r="AR26" s="477">
        <f>Pressure_2_R1!G77</f>
        <v>0</v>
      </c>
      <c r="AS26" s="477">
        <f>Pressure_2_R1!H77</f>
        <v>0</v>
      </c>
      <c r="AT26" s="477">
        <f>Pressure_2_R1!I77</f>
        <v>0</v>
      </c>
      <c r="AU26" s="477">
        <f>Pressure_2_R1!J77</f>
        <v>0</v>
      </c>
      <c r="AV26" s="477">
        <f>Pressure_2_R1!K77</f>
        <v>0</v>
      </c>
      <c r="AW26" s="477">
        <f>Pressure_2_R1!L77</f>
        <v>0</v>
      </c>
      <c r="AX26" s="477">
        <f>Pressure_2_R1!M77</f>
        <v>0</v>
      </c>
      <c r="AY26" s="477">
        <f>Pressure_2_R1!N77</f>
        <v>0</v>
      </c>
      <c r="AZ26" s="477">
        <f>Pressure_2_R1!O77</f>
        <v>0</v>
      </c>
      <c r="BA26" s="68">
        <f>Pressure_2_R1!P77</f>
        <v>0</v>
      </c>
    </row>
    <row r="27" spans="2:53" ht="15" customHeight="1">
      <c r="B27" s="433">
        <f t="shared" si="27"/>
        <v>0</v>
      </c>
      <c r="C27" s="416" t="str">
        <f>IFERROR(표준압력!F12,"")</f>
        <v/>
      </c>
      <c r="D27" s="440">
        <f>표준압력!G12</f>
        <v>0</v>
      </c>
      <c r="E27" s="418" t="str">
        <f t="shared" si="12"/>
        <v/>
      </c>
      <c r="F27" s="453" t="e">
        <f t="shared" ca="1" si="27"/>
        <v>#N/A</v>
      </c>
      <c r="G27" s="454" t="e">
        <f t="shared" ca="1" si="27"/>
        <v>#VALUE!</v>
      </c>
      <c r="H27" s="463" t="e">
        <f t="shared" ca="1" si="13"/>
        <v>#N/A</v>
      </c>
      <c r="I27" s="430" t="s">
        <v>749</v>
      </c>
      <c r="J27" s="391">
        <f t="shared" si="14"/>
        <v>1</v>
      </c>
      <c r="K27" s="448" t="e">
        <f t="shared" ca="1" si="15"/>
        <v>#N/A</v>
      </c>
      <c r="L27" s="454">
        <f t="shared" si="16"/>
        <v>0</v>
      </c>
      <c r="N27" s="391">
        <f t="shared" si="8"/>
        <v>0</v>
      </c>
      <c r="O27" s="476">
        <f t="shared" si="17"/>
        <v>9.7989820000000005</v>
      </c>
      <c r="P27" s="476" t="e">
        <f t="shared" si="17"/>
        <v>#DIV/0!</v>
      </c>
      <c r="Q27" s="476">
        <f t="shared" si="17"/>
        <v>8000</v>
      </c>
      <c r="R27" s="476">
        <f t="shared" si="17"/>
        <v>1</v>
      </c>
      <c r="S27" s="476">
        <f t="shared" si="17"/>
        <v>0</v>
      </c>
      <c r="T27" s="476" t="e">
        <f t="shared" ca="1" si="17"/>
        <v>#N/A</v>
      </c>
      <c r="U27" s="466" t="e">
        <f t="shared" ca="1" si="18"/>
        <v>#DIV/0!</v>
      </c>
      <c r="V27" s="476" t="e">
        <f t="shared" ca="1" si="19"/>
        <v>#N/A</v>
      </c>
      <c r="W27" s="476" t="e">
        <f t="shared" ca="1" si="19"/>
        <v>#N/A</v>
      </c>
      <c r="X27" s="468" t="e">
        <f t="shared" ca="1" si="9"/>
        <v>#DIV/0!</v>
      </c>
      <c r="Y27" s="476">
        <f t="shared" si="20"/>
        <v>9.0000000000000002E-6</v>
      </c>
      <c r="Z27" s="476" t="e">
        <f t="shared" ca="1" si="20"/>
        <v>#DIV/0!</v>
      </c>
      <c r="AA27" s="470" t="e">
        <f t="shared" ca="1" si="28"/>
        <v>#N/A</v>
      </c>
      <c r="AB27" s="471" t="e">
        <f t="shared" ca="1" si="10"/>
        <v>#DIV/0!</v>
      </c>
      <c r="AC27" s="476" t="e">
        <f t="shared" si="21"/>
        <v>#DIV/0!</v>
      </c>
      <c r="AD27" s="454" t="str">
        <f t="shared" si="21"/>
        <v>기체</v>
      </c>
      <c r="AE27" s="469" t="e">
        <f t="shared" ca="1" si="11"/>
        <v>#DIV/0!</v>
      </c>
      <c r="AF27" s="476">
        <f t="shared" si="22"/>
        <v>0.03</v>
      </c>
      <c r="AG27" s="473" t="e">
        <f t="shared" ca="1" si="23"/>
        <v>#DIV/0!</v>
      </c>
      <c r="AH27" s="473" t="e">
        <f t="shared" ca="1" si="24"/>
        <v>#DIV/0!</v>
      </c>
      <c r="AI27" s="449" t="e">
        <f t="shared" si="25"/>
        <v>#N/A</v>
      </c>
      <c r="AJ27" s="474" t="e">
        <f t="shared" ca="1" si="26"/>
        <v>#DIV/0!</v>
      </c>
      <c r="AK27" s="64"/>
      <c r="AL27" s="65">
        <f>Pressure_2_R1!A78</f>
        <v>0</v>
      </c>
      <c r="AM27" s="475">
        <f>Pressure_2_R1!B78</f>
        <v>0</v>
      </c>
      <c r="AN27" s="475">
        <f>Pressure_2_R1!C78</f>
        <v>0</v>
      </c>
      <c r="AO27" s="475">
        <f>Pressure_2_R1!D78</f>
        <v>0</v>
      </c>
      <c r="AP27" s="475">
        <f>Pressure_2_R1!E78</f>
        <v>0</v>
      </c>
      <c r="AQ27" s="475">
        <f>Pressure_2_R1!F78</f>
        <v>0</v>
      </c>
      <c r="AR27" s="475">
        <f>Pressure_2_R1!G78</f>
        <v>0</v>
      </c>
      <c r="AS27" s="475">
        <f>Pressure_2_R1!H78</f>
        <v>0</v>
      </c>
      <c r="AT27" s="475">
        <f>Pressure_2_R1!I78</f>
        <v>0</v>
      </c>
      <c r="AU27" s="475">
        <f>Pressure_2_R1!J78</f>
        <v>0</v>
      </c>
      <c r="AV27" s="475">
        <f>Pressure_2_R1!K78</f>
        <v>0</v>
      </c>
      <c r="AW27" s="475">
        <f>Pressure_2_R1!L78</f>
        <v>0</v>
      </c>
      <c r="AX27" s="475">
        <f>Pressure_2_R1!M78</f>
        <v>0</v>
      </c>
      <c r="AY27" s="475">
        <f>Pressure_2_R1!N78</f>
        <v>0</v>
      </c>
      <c r="AZ27" s="475">
        <f>Pressure_2_R1!O78</f>
        <v>0</v>
      </c>
      <c r="BA27" s="66">
        <f>Pressure_2_R1!P78</f>
        <v>0</v>
      </c>
    </row>
    <row r="28" spans="2:53" ht="15" customHeight="1">
      <c r="B28" s="433">
        <f t="shared" si="27"/>
        <v>0</v>
      </c>
      <c r="C28" s="416" t="str">
        <f>IFERROR(표준압력!F13,"")</f>
        <v/>
      </c>
      <c r="D28" s="440">
        <f>표준압력!G13</f>
        <v>0</v>
      </c>
      <c r="E28" s="418" t="str">
        <f t="shared" si="12"/>
        <v/>
      </c>
      <c r="F28" s="453" t="e">
        <f t="shared" ca="1" si="27"/>
        <v>#N/A</v>
      </c>
      <c r="G28" s="454" t="e">
        <f t="shared" ca="1" si="27"/>
        <v>#VALUE!</v>
      </c>
      <c r="H28" s="463" t="e">
        <f t="shared" ca="1" si="13"/>
        <v>#N/A</v>
      </c>
      <c r="I28" s="430" t="s">
        <v>749</v>
      </c>
      <c r="J28" s="391">
        <f t="shared" si="14"/>
        <v>1</v>
      </c>
      <c r="K28" s="448" t="e">
        <f t="shared" ca="1" si="15"/>
        <v>#N/A</v>
      </c>
      <c r="L28" s="454">
        <f t="shared" si="16"/>
        <v>0</v>
      </c>
      <c r="N28" s="391">
        <f t="shared" si="8"/>
        <v>0</v>
      </c>
      <c r="O28" s="476">
        <f t="shared" si="17"/>
        <v>9.7989820000000005</v>
      </c>
      <c r="P28" s="476" t="e">
        <f t="shared" si="17"/>
        <v>#DIV/0!</v>
      </c>
      <c r="Q28" s="476">
        <f t="shared" si="17"/>
        <v>8000</v>
      </c>
      <c r="R28" s="476">
        <f t="shared" si="17"/>
        <v>1</v>
      </c>
      <c r="S28" s="476">
        <f t="shared" si="17"/>
        <v>0</v>
      </c>
      <c r="T28" s="476" t="e">
        <f t="shared" ca="1" si="17"/>
        <v>#N/A</v>
      </c>
      <c r="U28" s="466" t="e">
        <f t="shared" ca="1" si="18"/>
        <v>#DIV/0!</v>
      </c>
      <c r="V28" s="476" t="e">
        <f t="shared" ca="1" si="19"/>
        <v>#N/A</v>
      </c>
      <c r="W28" s="476" t="e">
        <f t="shared" ca="1" si="19"/>
        <v>#N/A</v>
      </c>
      <c r="X28" s="468" t="e">
        <f t="shared" ca="1" si="9"/>
        <v>#DIV/0!</v>
      </c>
      <c r="Y28" s="476">
        <f t="shared" si="20"/>
        <v>9.0000000000000002E-6</v>
      </c>
      <c r="Z28" s="476" t="e">
        <f t="shared" ca="1" si="20"/>
        <v>#DIV/0!</v>
      </c>
      <c r="AA28" s="470" t="e">
        <f t="shared" ca="1" si="28"/>
        <v>#N/A</v>
      </c>
      <c r="AB28" s="471" t="e">
        <f t="shared" ca="1" si="10"/>
        <v>#DIV/0!</v>
      </c>
      <c r="AC28" s="476" t="e">
        <f t="shared" si="21"/>
        <v>#DIV/0!</v>
      </c>
      <c r="AD28" s="454" t="str">
        <f t="shared" si="21"/>
        <v>기체</v>
      </c>
      <c r="AE28" s="469" t="e">
        <f t="shared" ca="1" si="11"/>
        <v>#DIV/0!</v>
      </c>
      <c r="AF28" s="476">
        <f t="shared" si="22"/>
        <v>0.03</v>
      </c>
      <c r="AG28" s="473" t="e">
        <f t="shared" ca="1" si="23"/>
        <v>#DIV/0!</v>
      </c>
      <c r="AH28" s="473" t="e">
        <f t="shared" ca="1" si="24"/>
        <v>#DIV/0!</v>
      </c>
      <c r="AI28" s="449" t="e">
        <f t="shared" si="25"/>
        <v>#N/A</v>
      </c>
      <c r="AJ28" s="474" t="e">
        <f t="shared" ca="1" si="26"/>
        <v>#DIV/0!</v>
      </c>
      <c r="AK28" s="64"/>
      <c r="AL28" s="67">
        <f>Pressure_2_R1!A79</f>
        <v>0</v>
      </c>
      <c r="AM28" s="477">
        <f>Pressure_2_R1!B79</f>
        <v>0</v>
      </c>
      <c r="AN28" s="477">
        <f>Pressure_2_R1!C79</f>
        <v>0</v>
      </c>
      <c r="AO28" s="477">
        <f>Pressure_2_R1!D79</f>
        <v>0</v>
      </c>
      <c r="AP28" s="477">
        <f>Pressure_2_R1!E79</f>
        <v>0</v>
      </c>
      <c r="AQ28" s="477">
        <f>Pressure_2_R1!F79</f>
        <v>0</v>
      </c>
      <c r="AR28" s="477">
        <f>Pressure_2_R1!G79</f>
        <v>0</v>
      </c>
      <c r="AS28" s="477">
        <f>Pressure_2_R1!H79</f>
        <v>0</v>
      </c>
      <c r="AT28" s="477">
        <f>Pressure_2_R1!I79</f>
        <v>0</v>
      </c>
      <c r="AU28" s="477">
        <f>Pressure_2_R1!J79</f>
        <v>0</v>
      </c>
      <c r="AV28" s="477">
        <f>Pressure_2_R1!K79</f>
        <v>0</v>
      </c>
      <c r="AW28" s="477">
        <f>Pressure_2_R1!L79</f>
        <v>0</v>
      </c>
      <c r="AX28" s="477">
        <f>Pressure_2_R1!M79</f>
        <v>0</v>
      </c>
      <c r="AY28" s="477">
        <f>Pressure_2_R1!N79</f>
        <v>0</v>
      </c>
      <c r="AZ28" s="477">
        <f>Pressure_2_R1!O79</f>
        <v>0</v>
      </c>
      <c r="BA28" s="68">
        <f>Pressure_2_R1!P79</f>
        <v>0</v>
      </c>
    </row>
    <row r="29" spans="2:53" ht="15" customHeight="1">
      <c r="B29" s="433">
        <f t="shared" si="27"/>
        <v>0</v>
      </c>
      <c r="C29" s="416" t="str">
        <f>IFERROR(표준압력!F14,"")</f>
        <v/>
      </c>
      <c r="D29" s="440">
        <f>표준압력!G14</f>
        <v>0</v>
      </c>
      <c r="E29" s="418" t="str">
        <f t="shared" si="12"/>
        <v/>
      </c>
      <c r="F29" s="453" t="e">
        <f t="shared" ca="1" si="27"/>
        <v>#N/A</v>
      </c>
      <c r="G29" s="454" t="e">
        <f t="shared" ca="1" si="27"/>
        <v>#VALUE!</v>
      </c>
      <c r="H29" s="463" t="e">
        <f t="shared" ca="1" si="13"/>
        <v>#N/A</v>
      </c>
      <c r="I29" s="430" t="s">
        <v>749</v>
      </c>
      <c r="J29" s="391">
        <f t="shared" si="14"/>
        <v>1</v>
      </c>
      <c r="K29" s="448" t="e">
        <f t="shared" ca="1" si="15"/>
        <v>#N/A</v>
      </c>
      <c r="L29" s="454">
        <f t="shared" si="16"/>
        <v>0</v>
      </c>
      <c r="N29" s="391">
        <f t="shared" si="8"/>
        <v>0</v>
      </c>
      <c r="O29" s="476">
        <f t="shared" si="17"/>
        <v>9.7989820000000005</v>
      </c>
      <c r="P29" s="476" t="e">
        <f t="shared" si="17"/>
        <v>#DIV/0!</v>
      </c>
      <c r="Q29" s="476">
        <f t="shared" si="17"/>
        <v>8000</v>
      </c>
      <c r="R29" s="476">
        <f t="shared" si="17"/>
        <v>1</v>
      </c>
      <c r="S29" s="476">
        <f t="shared" si="17"/>
        <v>0</v>
      </c>
      <c r="T29" s="476" t="e">
        <f t="shared" ca="1" si="17"/>
        <v>#N/A</v>
      </c>
      <c r="U29" s="466" t="e">
        <f t="shared" ca="1" si="18"/>
        <v>#DIV/0!</v>
      </c>
      <c r="V29" s="476" t="e">
        <f t="shared" ca="1" si="19"/>
        <v>#N/A</v>
      </c>
      <c r="W29" s="476" t="e">
        <f t="shared" ca="1" si="19"/>
        <v>#N/A</v>
      </c>
      <c r="X29" s="468" t="e">
        <f t="shared" ca="1" si="9"/>
        <v>#DIV/0!</v>
      </c>
      <c r="Y29" s="476">
        <f t="shared" si="20"/>
        <v>9.0000000000000002E-6</v>
      </c>
      <c r="Z29" s="476" t="e">
        <f t="shared" ca="1" si="20"/>
        <v>#DIV/0!</v>
      </c>
      <c r="AA29" s="470" t="e">
        <f t="shared" ca="1" si="28"/>
        <v>#N/A</v>
      </c>
      <c r="AB29" s="471" t="e">
        <f t="shared" ca="1" si="10"/>
        <v>#DIV/0!</v>
      </c>
      <c r="AC29" s="476" t="e">
        <f t="shared" si="21"/>
        <v>#DIV/0!</v>
      </c>
      <c r="AD29" s="454" t="str">
        <f t="shared" si="21"/>
        <v>기체</v>
      </c>
      <c r="AE29" s="469" t="e">
        <f t="shared" ca="1" si="11"/>
        <v>#DIV/0!</v>
      </c>
      <c r="AF29" s="476">
        <f t="shared" si="22"/>
        <v>0.03</v>
      </c>
      <c r="AG29" s="473" t="e">
        <f t="shared" ca="1" si="23"/>
        <v>#DIV/0!</v>
      </c>
      <c r="AH29" s="473" t="e">
        <f t="shared" ca="1" si="24"/>
        <v>#DIV/0!</v>
      </c>
      <c r="AI29" s="449" t="e">
        <f t="shared" si="25"/>
        <v>#N/A</v>
      </c>
      <c r="AJ29" s="474" t="e">
        <f t="shared" ca="1" si="26"/>
        <v>#DIV/0!</v>
      </c>
      <c r="AK29" s="64"/>
      <c r="AL29" s="65">
        <f>Pressure_2_R1!A80</f>
        <v>0</v>
      </c>
      <c r="AM29" s="475">
        <f>Pressure_2_R1!B80</f>
        <v>0</v>
      </c>
      <c r="AN29" s="475">
        <f>Pressure_2_R1!C80</f>
        <v>0</v>
      </c>
      <c r="AO29" s="475">
        <f>Pressure_2_R1!D80</f>
        <v>0</v>
      </c>
      <c r="AP29" s="475">
        <f>Pressure_2_R1!E80</f>
        <v>0</v>
      </c>
      <c r="AQ29" s="475">
        <f>Pressure_2_R1!F80</f>
        <v>0</v>
      </c>
      <c r="AR29" s="475">
        <f>Pressure_2_R1!G80</f>
        <v>0</v>
      </c>
      <c r="AS29" s="475">
        <f>Pressure_2_R1!H80</f>
        <v>0</v>
      </c>
      <c r="AT29" s="475">
        <f>Pressure_2_R1!I80</f>
        <v>0</v>
      </c>
      <c r="AU29" s="475">
        <f>Pressure_2_R1!J80</f>
        <v>0</v>
      </c>
      <c r="AV29" s="475">
        <f>Pressure_2_R1!K80</f>
        <v>0</v>
      </c>
      <c r="AW29" s="475">
        <f>Pressure_2_R1!L80</f>
        <v>0</v>
      </c>
      <c r="AX29" s="475">
        <f>Pressure_2_R1!M80</f>
        <v>0</v>
      </c>
      <c r="AY29" s="475">
        <f>Pressure_2_R1!N80</f>
        <v>0</v>
      </c>
      <c r="AZ29" s="475">
        <f>Pressure_2_R1!O80</f>
        <v>0</v>
      </c>
      <c r="BA29" s="66">
        <f>Pressure_2_R1!P80</f>
        <v>0</v>
      </c>
    </row>
    <row r="30" spans="2:53" ht="15" customHeight="1">
      <c r="B30" s="433">
        <f t="shared" si="27"/>
        <v>0</v>
      </c>
      <c r="C30" s="416" t="str">
        <f>IFERROR(표준압력!F15,"")</f>
        <v/>
      </c>
      <c r="D30" s="440">
        <f>표준압력!G15</f>
        <v>0</v>
      </c>
      <c r="E30" s="418" t="str">
        <f t="shared" si="12"/>
        <v/>
      </c>
      <c r="F30" s="453" t="e">
        <f t="shared" ca="1" si="27"/>
        <v>#N/A</v>
      </c>
      <c r="G30" s="454" t="e">
        <f t="shared" ca="1" si="27"/>
        <v>#VALUE!</v>
      </c>
      <c r="H30" s="463" t="e">
        <f t="shared" ca="1" si="13"/>
        <v>#N/A</v>
      </c>
      <c r="I30" s="430" t="s">
        <v>749</v>
      </c>
      <c r="J30" s="391">
        <f t="shared" si="14"/>
        <v>1</v>
      </c>
      <c r="K30" s="448" t="e">
        <f t="shared" ca="1" si="15"/>
        <v>#N/A</v>
      </c>
      <c r="L30" s="454">
        <f t="shared" si="16"/>
        <v>0</v>
      </c>
      <c r="N30" s="391">
        <f t="shared" si="8"/>
        <v>0</v>
      </c>
      <c r="O30" s="476">
        <f t="shared" si="17"/>
        <v>9.7989820000000005</v>
      </c>
      <c r="P30" s="476" t="e">
        <f t="shared" si="17"/>
        <v>#DIV/0!</v>
      </c>
      <c r="Q30" s="476">
        <f t="shared" si="17"/>
        <v>8000</v>
      </c>
      <c r="R30" s="476">
        <f t="shared" si="17"/>
        <v>1</v>
      </c>
      <c r="S30" s="476">
        <f t="shared" si="17"/>
        <v>0</v>
      </c>
      <c r="T30" s="476" t="e">
        <f t="shared" ca="1" si="17"/>
        <v>#N/A</v>
      </c>
      <c r="U30" s="466" t="e">
        <f t="shared" ca="1" si="18"/>
        <v>#DIV/0!</v>
      </c>
      <c r="V30" s="476" t="e">
        <f t="shared" ca="1" si="19"/>
        <v>#N/A</v>
      </c>
      <c r="W30" s="476" t="e">
        <f t="shared" ca="1" si="19"/>
        <v>#N/A</v>
      </c>
      <c r="X30" s="468" t="e">
        <f t="shared" ca="1" si="9"/>
        <v>#DIV/0!</v>
      </c>
      <c r="Y30" s="476">
        <f t="shared" si="20"/>
        <v>9.0000000000000002E-6</v>
      </c>
      <c r="Z30" s="476" t="e">
        <f t="shared" ca="1" si="20"/>
        <v>#DIV/0!</v>
      </c>
      <c r="AA30" s="470" t="e">
        <f t="shared" ca="1" si="28"/>
        <v>#N/A</v>
      </c>
      <c r="AB30" s="471" t="e">
        <f t="shared" ca="1" si="10"/>
        <v>#DIV/0!</v>
      </c>
      <c r="AC30" s="476" t="e">
        <f t="shared" si="21"/>
        <v>#DIV/0!</v>
      </c>
      <c r="AD30" s="454" t="str">
        <f t="shared" si="21"/>
        <v>기체</v>
      </c>
      <c r="AE30" s="469" t="e">
        <f t="shared" ca="1" si="11"/>
        <v>#DIV/0!</v>
      </c>
      <c r="AF30" s="476">
        <f t="shared" si="22"/>
        <v>0.03</v>
      </c>
      <c r="AG30" s="473" t="e">
        <f t="shared" ca="1" si="23"/>
        <v>#DIV/0!</v>
      </c>
      <c r="AH30" s="473" t="e">
        <f t="shared" ca="1" si="24"/>
        <v>#DIV/0!</v>
      </c>
      <c r="AI30" s="449" t="e">
        <f t="shared" si="25"/>
        <v>#N/A</v>
      </c>
      <c r="AJ30" s="474" t="e">
        <f t="shared" ca="1" si="26"/>
        <v>#DIV/0!</v>
      </c>
      <c r="AK30" s="64"/>
      <c r="AL30" s="67">
        <f>Pressure_2_R1!A81</f>
        <v>0</v>
      </c>
      <c r="AM30" s="477">
        <f>Pressure_2_R1!B81</f>
        <v>0</v>
      </c>
      <c r="AN30" s="477">
        <f>Pressure_2_R1!C81</f>
        <v>0</v>
      </c>
      <c r="AO30" s="477">
        <f>Pressure_2_R1!D81</f>
        <v>0</v>
      </c>
      <c r="AP30" s="477">
        <f>Pressure_2_R1!E81</f>
        <v>0</v>
      </c>
      <c r="AQ30" s="477">
        <f>Pressure_2_R1!F81</f>
        <v>0</v>
      </c>
      <c r="AR30" s="477">
        <f>Pressure_2_R1!G81</f>
        <v>0</v>
      </c>
      <c r="AS30" s="477">
        <f>Pressure_2_R1!H81</f>
        <v>0</v>
      </c>
      <c r="AT30" s="477">
        <f>Pressure_2_R1!I81</f>
        <v>0</v>
      </c>
      <c r="AU30" s="477">
        <f>Pressure_2_R1!J81</f>
        <v>0</v>
      </c>
      <c r="AV30" s="477">
        <f>Pressure_2_R1!K81</f>
        <v>0</v>
      </c>
      <c r="AW30" s="477">
        <f>Pressure_2_R1!L81</f>
        <v>0</v>
      </c>
      <c r="AX30" s="477">
        <f>Pressure_2_R1!M81</f>
        <v>0</v>
      </c>
      <c r="AY30" s="477">
        <f>Pressure_2_R1!N81</f>
        <v>0</v>
      </c>
      <c r="AZ30" s="477">
        <f>Pressure_2_R1!O81</f>
        <v>0</v>
      </c>
      <c r="BA30" s="68">
        <f>Pressure_2_R1!P81</f>
        <v>0</v>
      </c>
    </row>
    <row r="31" spans="2:53" ht="15" customHeight="1">
      <c r="B31" s="433">
        <f t="shared" si="27"/>
        <v>0</v>
      </c>
      <c r="C31" s="416" t="str">
        <f>IFERROR(표준압력!F16,"")</f>
        <v/>
      </c>
      <c r="D31" s="440">
        <f>표준압력!G16</f>
        <v>0</v>
      </c>
      <c r="E31" s="418" t="str">
        <f t="shared" si="12"/>
        <v/>
      </c>
      <c r="F31" s="453" t="e">
        <f t="shared" ca="1" si="27"/>
        <v>#N/A</v>
      </c>
      <c r="G31" s="454" t="e">
        <f t="shared" ca="1" si="27"/>
        <v>#VALUE!</v>
      </c>
      <c r="H31" s="463" t="e">
        <f t="shared" ca="1" si="13"/>
        <v>#N/A</v>
      </c>
      <c r="I31" s="430" t="s">
        <v>749</v>
      </c>
      <c r="J31" s="391">
        <f t="shared" si="14"/>
        <v>1</v>
      </c>
      <c r="K31" s="448" t="e">
        <f t="shared" ca="1" si="15"/>
        <v>#N/A</v>
      </c>
      <c r="L31" s="454">
        <f t="shared" si="16"/>
        <v>0</v>
      </c>
      <c r="N31" s="391">
        <f t="shared" si="8"/>
        <v>0</v>
      </c>
      <c r="O31" s="476">
        <f t="shared" si="17"/>
        <v>9.7989820000000005</v>
      </c>
      <c r="P31" s="476" t="e">
        <f t="shared" si="17"/>
        <v>#DIV/0!</v>
      </c>
      <c r="Q31" s="476">
        <f t="shared" si="17"/>
        <v>8000</v>
      </c>
      <c r="R31" s="476">
        <f t="shared" si="17"/>
        <v>1</v>
      </c>
      <c r="S31" s="476">
        <f t="shared" si="17"/>
        <v>0</v>
      </c>
      <c r="T31" s="476" t="e">
        <f t="shared" ca="1" si="17"/>
        <v>#N/A</v>
      </c>
      <c r="U31" s="466" t="e">
        <f t="shared" ca="1" si="18"/>
        <v>#DIV/0!</v>
      </c>
      <c r="V31" s="476" t="e">
        <f t="shared" ca="1" si="19"/>
        <v>#N/A</v>
      </c>
      <c r="W31" s="476" t="e">
        <f t="shared" ca="1" si="19"/>
        <v>#N/A</v>
      </c>
      <c r="X31" s="468" t="e">
        <f t="shared" ca="1" si="9"/>
        <v>#DIV/0!</v>
      </c>
      <c r="Y31" s="476">
        <f t="shared" si="20"/>
        <v>9.0000000000000002E-6</v>
      </c>
      <c r="Z31" s="476" t="e">
        <f t="shared" ca="1" si="20"/>
        <v>#DIV/0!</v>
      </c>
      <c r="AA31" s="470" t="e">
        <f t="shared" ca="1" si="28"/>
        <v>#N/A</v>
      </c>
      <c r="AB31" s="471" t="e">
        <f t="shared" ca="1" si="10"/>
        <v>#DIV/0!</v>
      </c>
      <c r="AC31" s="476" t="e">
        <f t="shared" si="21"/>
        <v>#DIV/0!</v>
      </c>
      <c r="AD31" s="454" t="str">
        <f t="shared" si="21"/>
        <v>기체</v>
      </c>
      <c r="AE31" s="469" t="e">
        <f t="shared" ca="1" si="11"/>
        <v>#DIV/0!</v>
      </c>
      <c r="AF31" s="476">
        <f t="shared" si="22"/>
        <v>0.03</v>
      </c>
      <c r="AG31" s="473" t="e">
        <f t="shared" ca="1" si="23"/>
        <v>#DIV/0!</v>
      </c>
      <c r="AH31" s="473" t="e">
        <f t="shared" ca="1" si="24"/>
        <v>#DIV/0!</v>
      </c>
      <c r="AI31" s="449" t="e">
        <f t="shared" si="25"/>
        <v>#N/A</v>
      </c>
      <c r="AJ31" s="474" t="e">
        <f t="shared" ca="1" si="26"/>
        <v>#DIV/0!</v>
      </c>
      <c r="AK31" s="64"/>
      <c r="AL31" s="65">
        <f>Pressure_2_R1!A82</f>
        <v>0</v>
      </c>
      <c r="AM31" s="475">
        <f>Pressure_2_R1!B82</f>
        <v>0</v>
      </c>
      <c r="AN31" s="475">
        <f>Pressure_2_R1!C82</f>
        <v>0</v>
      </c>
      <c r="AO31" s="475">
        <f>Pressure_2_R1!D82</f>
        <v>0</v>
      </c>
      <c r="AP31" s="475">
        <f>Pressure_2_R1!E82</f>
        <v>0</v>
      </c>
      <c r="AQ31" s="475">
        <f>Pressure_2_R1!F82</f>
        <v>0</v>
      </c>
      <c r="AR31" s="475">
        <f>Pressure_2_R1!G82</f>
        <v>0</v>
      </c>
      <c r="AS31" s="475">
        <f>Pressure_2_R1!H82</f>
        <v>0</v>
      </c>
      <c r="AT31" s="475">
        <f>Pressure_2_R1!I82</f>
        <v>0</v>
      </c>
      <c r="AU31" s="475">
        <f>Pressure_2_R1!J82</f>
        <v>0</v>
      </c>
      <c r="AV31" s="475">
        <f>Pressure_2_R1!K82</f>
        <v>0</v>
      </c>
      <c r="AW31" s="475">
        <f>Pressure_2_R1!L82</f>
        <v>0</v>
      </c>
      <c r="AX31" s="475">
        <f>Pressure_2_R1!M82</f>
        <v>0</v>
      </c>
      <c r="AY31" s="475">
        <f>Pressure_2_R1!N82</f>
        <v>0</v>
      </c>
      <c r="AZ31" s="475">
        <f>Pressure_2_R1!O82</f>
        <v>0</v>
      </c>
      <c r="BA31" s="66">
        <f>Pressure_2_R1!P82</f>
        <v>0</v>
      </c>
    </row>
    <row r="32" spans="2:53" ht="15" customHeight="1">
      <c r="B32" s="433">
        <f t="shared" si="27"/>
        <v>0</v>
      </c>
      <c r="C32" s="416" t="str">
        <f>IFERROR(표준압력!F17,"")</f>
        <v/>
      </c>
      <c r="D32" s="440">
        <f>표준압력!G17</f>
        <v>0</v>
      </c>
      <c r="E32" s="418" t="str">
        <f t="shared" si="12"/>
        <v/>
      </c>
      <c r="F32" s="453" t="e">
        <f t="shared" ca="1" si="27"/>
        <v>#N/A</v>
      </c>
      <c r="G32" s="454" t="e">
        <f t="shared" ca="1" si="27"/>
        <v>#VALUE!</v>
      </c>
      <c r="H32" s="463" t="e">
        <f t="shared" ca="1" si="13"/>
        <v>#N/A</v>
      </c>
      <c r="I32" s="430" t="s">
        <v>749</v>
      </c>
      <c r="J32" s="391">
        <f t="shared" si="14"/>
        <v>1</v>
      </c>
      <c r="K32" s="448" t="e">
        <f t="shared" ca="1" si="15"/>
        <v>#N/A</v>
      </c>
      <c r="L32" s="454">
        <f t="shared" si="16"/>
        <v>0</v>
      </c>
      <c r="N32" s="391">
        <f t="shared" si="8"/>
        <v>0</v>
      </c>
      <c r="O32" s="476">
        <f t="shared" si="17"/>
        <v>9.7989820000000005</v>
      </c>
      <c r="P32" s="476" t="e">
        <f t="shared" si="17"/>
        <v>#DIV/0!</v>
      </c>
      <c r="Q32" s="476">
        <f t="shared" si="17"/>
        <v>8000</v>
      </c>
      <c r="R32" s="476">
        <f t="shared" si="17"/>
        <v>1</v>
      </c>
      <c r="S32" s="476">
        <f t="shared" si="17"/>
        <v>0</v>
      </c>
      <c r="T32" s="476" t="e">
        <f t="shared" ca="1" si="17"/>
        <v>#N/A</v>
      </c>
      <c r="U32" s="466" t="e">
        <f t="shared" ca="1" si="18"/>
        <v>#DIV/0!</v>
      </c>
      <c r="V32" s="476" t="e">
        <f t="shared" ca="1" si="19"/>
        <v>#N/A</v>
      </c>
      <c r="W32" s="476" t="e">
        <f t="shared" ca="1" si="19"/>
        <v>#N/A</v>
      </c>
      <c r="X32" s="468" t="e">
        <f t="shared" ca="1" si="9"/>
        <v>#DIV/0!</v>
      </c>
      <c r="Y32" s="476">
        <f t="shared" si="20"/>
        <v>9.0000000000000002E-6</v>
      </c>
      <c r="Z32" s="476" t="e">
        <f t="shared" ca="1" si="20"/>
        <v>#DIV/0!</v>
      </c>
      <c r="AA32" s="470" t="e">
        <f t="shared" ca="1" si="28"/>
        <v>#N/A</v>
      </c>
      <c r="AB32" s="471" t="e">
        <f t="shared" ca="1" si="10"/>
        <v>#DIV/0!</v>
      </c>
      <c r="AC32" s="476" t="e">
        <f t="shared" si="21"/>
        <v>#DIV/0!</v>
      </c>
      <c r="AD32" s="454" t="str">
        <f t="shared" si="21"/>
        <v>기체</v>
      </c>
      <c r="AE32" s="469" t="e">
        <f t="shared" ca="1" si="11"/>
        <v>#DIV/0!</v>
      </c>
      <c r="AF32" s="476">
        <f t="shared" si="22"/>
        <v>0.03</v>
      </c>
      <c r="AG32" s="473" t="e">
        <f t="shared" ca="1" si="23"/>
        <v>#DIV/0!</v>
      </c>
      <c r="AH32" s="473" t="e">
        <f t="shared" ca="1" si="24"/>
        <v>#DIV/0!</v>
      </c>
      <c r="AI32" s="449" t="e">
        <f t="shared" si="25"/>
        <v>#N/A</v>
      </c>
      <c r="AJ32" s="474" t="e">
        <f t="shared" ca="1" si="26"/>
        <v>#DIV/0!</v>
      </c>
      <c r="AK32" s="64"/>
      <c r="AL32" s="67">
        <f>Pressure_2_R1!A83</f>
        <v>0</v>
      </c>
      <c r="AM32" s="477">
        <f>Pressure_2_R1!B83</f>
        <v>0</v>
      </c>
      <c r="AN32" s="477">
        <f>Pressure_2_R1!C83</f>
        <v>0</v>
      </c>
      <c r="AO32" s="477">
        <f>Pressure_2_R1!D83</f>
        <v>0</v>
      </c>
      <c r="AP32" s="477">
        <f>Pressure_2_R1!E83</f>
        <v>0</v>
      </c>
      <c r="AQ32" s="477">
        <f>Pressure_2_R1!F83</f>
        <v>0</v>
      </c>
      <c r="AR32" s="477">
        <f>Pressure_2_R1!G83</f>
        <v>0</v>
      </c>
      <c r="AS32" s="477">
        <f>Pressure_2_R1!H83</f>
        <v>0</v>
      </c>
      <c r="AT32" s="477">
        <f>Pressure_2_R1!I83</f>
        <v>0</v>
      </c>
      <c r="AU32" s="477">
        <f>Pressure_2_R1!J83</f>
        <v>0</v>
      </c>
      <c r="AV32" s="477">
        <f>Pressure_2_R1!K83</f>
        <v>0</v>
      </c>
      <c r="AW32" s="477">
        <f>Pressure_2_R1!L83</f>
        <v>0</v>
      </c>
      <c r="AX32" s="477">
        <f>Pressure_2_R1!M83</f>
        <v>0</v>
      </c>
      <c r="AY32" s="477">
        <f>Pressure_2_R1!N83</f>
        <v>0</v>
      </c>
      <c r="AZ32" s="477">
        <f>Pressure_2_R1!O83</f>
        <v>0</v>
      </c>
      <c r="BA32" s="68">
        <f>Pressure_2_R1!P83</f>
        <v>0</v>
      </c>
    </row>
    <row r="33" spans="2:53" ht="15" customHeight="1">
      <c r="B33" s="433">
        <f t="shared" si="27"/>
        <v>0</v>
      </c>
      <c r="C33" s="416" t="str">
        <f>IFERROR(표준압력!F18,"")</f>
        <v/>
      </c>
      <c r="D33" s="440">
        <f>표준압력!G18</f>
        <v>0</v>
      </c>
      <c r="E33" s="418" t="str">
        <f t="shared" si="12"/>
        <v/>
      </c>
      <c r="F33" s="453" t="e">
        <f t="shared" ca="1" si="27"/>
        <v>#N/A</v>
      </c>
      <c r="G33" s="454" t="e">
        <f t="shared" ca="1" si="27"/>
        <v>#VALUE!</v>
      </c>
      <c r="H33" s="463" t="e">
        <f t="shared" ca="1" si="13"/>
        <v>#N/A</v>
      </c>
      <c r="I33" s="430" t="s">
        <v>749</v>
      </c>
      <c r="J33" s="391">
        <f t="shared" si="14"/>
        <v>1</v>
      </c>
      <c r="K33" s="448" t="e">
        <f t="shared" ca="1" si="15"/>
        <v>#N/A</v>
      </c>
      <c r="L33" s="454">
        <f t="shared" si="16"/>
        <v>0</v>
      </c>
      <c r="N33" s="391">
        <f t="shared" si="8"/>
        <v>0</v>
      </c>
      <c r="O33" s="476">
        <f t="shared" si="17"/>
        <v>9.7989820000000005</v>
      </c>
      <c r="P33" s="476" t="e">
        <f t="shared" si="17"/>
        <v>#DIV/0!</v>
      </c>
      <c r="Q33" s="476">
        <f t="shared" si="17"/>
        <v>8000</v>
      </c>
      <c r="R33" s="476">
        <f t="shared" si="17"/>
        <v>1</v>
      </c>
      <c r="S33" s="476">
        <f t="shared" si="17"/>
        <v>0</v>
      </c>
      <c r="T33" s="476" t="e">
        <f t="shared" ca="1" si="17"/>
        <v>#N/A</v>
      </c>
      <c r="U33" s="466" t="e">
        <f t="shared" ca="1" si="18"/>
        <v>#DIV/0!</v>
      </c>
      <c r="V33" s="476" t="e">
        <f t="shared" ca="1" si="19"/>
        <v>#N/A</v>
      </c>
      <c r="W33" s="476" t="e">
        <f t="shared" ca="1" si="19"/>
        <v>#N/A</v>
      </c>
      <c r="X33" s="468" t="e">
        <f t="shared" ca="1" si="9"/>
        <v>#DIV/0!</v>
      </c>
      <c r="Y33" s="476">
        <f t="shared" si="20"/>
        <v>9.0000000000000002E-6</v>
      </c>
      <c r="Z33" s="476" t="e">
        <f t="shared" ca="1" si="20"/>
        <v>#DIV/0!</v>
      </c>
      <c r="AA33" s="470" t="e">
        <f t="shared" ca="1" si="28"/>
        <v>#N/A</v>
      </c>
      <c r="AB33" s="471" t="e">
        <f t="shared" ca="1" si="10"/>
        <v>#DIV/0!</v>
      </c>
      <c r="AC33" s="476" t="e">
        <f t="shared" si="21"/>
        <v>#DIV/0!</v>
      </c>
      <c r="AD33" s="454" t="str">
        <f t="shared" si="21"/>
        <v>기체</v>
      </c>
      <c r="AE33" s="469" t="e">
        <f t="shared" ca="1" si="11"/>
        <v>#DIV/0!</v>
      </c>
      <c r="AF33" s="476">
        <f t="shared" si="22"/>
        <v>0.03</v>
      </c>
      <c r="AG33" s="473" t="e">
        <f t="shared" ca="1" si="23"/>
        <v>#DIV/0!</v>
      </c>
      <c r="AH33" s="473" t="e">
        <f t="shared" ca="1" si="24"/>
        <v>#DIV/0!</v>
      </c>
      <c r="AI33" s="449" t="e">
        <f t="shared" si="25"/>
        <v>#N/A</v>
      </c>
      <c r="AJ33" s="474" t="e">
        <f t="shared" ca="1" si="26"/>
        <v>#DIV/0!</v>
      </c>
      <c r="AK33" s="64"/>
      <c r="AL33" s="65">
        <f>Pressure_2_R1!A84</f>
        <v>0</v>
      </c>
      <c r="AM33" s="475">
        <f>Pressure_2_R1!B84</f>
        <v>0</v>
      </c>
      <c r="AN33" s="475">
        <f>Pressure_2_R1!C84</f>
        <v>0</v>
      </c>
      <c r="AO33" s="475">
        <f>Pressure_2_R1!D84</f>
        <v>0</v>
      </c>
      <c r="AP33" s="475">
        <f>Pressure_2_R1!E84</f>
        <v>0</v>
      </c>
      <c r="AQ33" s="475">
        <f>Pressure_2_R1!F84</f>
        <v>0</v>
      </c>
      <c r="AR33" s="475">
        <f>Pressure_2_R1!G84</f>
        <v>0</v>
      </c>
      <c r="AS33" s="475">
        <f>Pressure_2_R1!H84</f>
        <v>0</v>
      </c>
      <c r="AT33" s="475">
        <f>Pressure_2_R1!I84</f>
        <v>0</v>
      </c>
      <c r="AU33" s="475">
        <f>Pressure_2_R1!J84</f>
        <v>0</v>
      </c>
      <c r="AV33" s="475">
        <f>Pressure_2_R1!K84</f>
        <v>0</v>
      </c>
      <c r="AW33" s="475">
        <f>Pressure_2_R1!L84</f>
        <v>0</v>
      </c>
      <c r="AX33" s="475">
        <f>Pressure_2_R1!M84</f>
        <v>0</v>
      </c>
      <c r="AY33" s="475">
        <f>Pressure_2_R1!N84</f>
        <v>0</v>
      </c>
      <c r="AZ33" s="475">
        <f>Pressure_2_R1!O84</f>
        <v>0</v>
      </c>
      <c r="BA33" s="66">
        <f>Pressure_2_R1!P84</f>
        <v>0</v>
      </c>
    </row>
    <row r="34" spans="2:53" ht="15" customHeight="1">
      <c r="B34" s="433">
        <f t="shared" si="27"/>
        <v>0</v>
      </c>
      <c r="C34" s="416" t="str">
        <f>IFERROR(표준압력!F19,"")</f>
        <v/>
      </c>
      <c r="D34" s="440">
        <f>표준압력!G19</f>
        <v>0</v>
      </c>
      <c r="E34" s="418" t="str">
        <f t="shared" si="12"/>
        <v/>
      </c>
      <c r="F34" s="453" t="e">
        <f t="shared" ca="1" si="27"/>
        <v>#N/A</v>
      </c>
      <c r="G34" s="454" t="e">
        <f t="shared" ca="1" si="27"/>
        <v>#VALUE!</v>
      </c>
      <c r="H34" s="463" t="e">
        <f t="shared" ca="1" si="13"/>
        <v>#N/A</v>
      </c>
      <c r="I34" s="430" t="s">
        <v>749</v>
      </c>
      <c r="J34" s="391">
        <f t="shared" si="14"/>
        <v>1</v>
      </c>
      <c r="K34" s="448" t="e">
        <f t="shared" ca="1" si="15"/>
        <v>#N/A</v>
      </c>
      <c r="L34" s="454">
        <f t="shared" si="16"/>
        <v>0</v>
      </c>
      <c r="N34" s="391">
        <f t="shared" si="8"/>
        <v>0</v>
      </c>
      <c r="O34" s="476">
        <f t="shared" si="17"/>
        <v>9.7989820000000005</v>
      </c>
      <c r="P34" s="476" t="e">
        <f t="shared" si="17"/>
        <v>#DIV/0!</v>
      </c>
      <c r="Q34" s="476">
        <f t="shared" si="17"/>
        <v>8000</v>
      </c>
      <c r="R34" s="476">
        <f t="shared" si="17"/>
        <v>1</v>
      </c>
      <c r="S34" s="476">
        <f t="shared" si="17"/>
        <v>0</v>
      </c>
      <c r="T34" s="476" t="e">
        <f t="shared" ca="1" si="17"/>
        <v>#N/A</v>
      </c>
      <c r="U34" s="466" t="e">
        <f t="shared" ca="1" si="18"/>
        <v>#DIV/0!</v>
      </c>
      <c r="V34" s="476" t="e">
        <f t="shared" ca="1" si="19"/>
        <v>#N/A</v>
      </c>
      <c r="W34" s="476" t="e">
        <f t="shared" ca="1" si="19"/>
        <v>#N/A</v>
      </c>
      <c r="X34" s="468" t="e">
        <f t="shared" ca="1" si="9"/>
        <v>#DIV/0!</v>
      </c>
      <c r="Y34" s="476">
        <f t="shared" si="20"/>
        <v>9.0000000000000002E-6</v>
      </c>
      <c r="Z34" s="476" t="e">
        <f t="shared" ca="1" si="20"/>
        <v>#DIV/0!</v>
      </c>
      <c r="AA34" s="470" t="e">
        <f t="shared" ca="1" si="28"/>
        <v>#N/A</v>
      </c>
      <c r="AB34" s="471" t="e">
        <f t="shared" ca="1" si="10"/>
        <v>#DIV/0!</v>
      </c>
      <c r="AC34" s="476" t="e">
        <f t="shared" si="21"/>
        <v>#DIV/0!</v>
      </c>
      <c r="AD34" s="454" t="str">
        <f t="shared" si="21"/>
        <v>기체</v>
      </c>
      <c r="AE34" s="469" t="e">
        <f t="shared" ca="1" si="11"/>
        <v>#DIV/0!</v>
      </c>
      <c r="AF34" s="476">
        <f t="shared" si="22"/>
        <v>0.03</v>
      </c>
      <c r="AG34" s="473" t="e">
        <f t="shared" ca="1" si="23"/>
        <v>#DIV/0!</v>
      </c>
      <c r="AH34" s="473" t="e">
        <f t="shared" ca="1" si="24"/>
        <v>#DIV/0!</v>
      </c>
      <c r="AI34" s="449" t="e">
        <f t="shared" si="25"/>
        <v>#N/A</v>
      </c>
      <c r="AJ34" s="474" t="e">
        <f t="shared" ca="1" si="26"/>
        <v>#DIV/0!</v>
      </c>
      <c r="AK34" s="64"/>
      <c r="AL34" s="67">
        <f>Pressure_2_R1!A85</f>
        <v>0</v>
      </c>
      <c r="AM34" s="477">
        <f>Pressure_2_R1!B85</f>
        <v>0</v>
      </c>
      <c r="AN34" s="477">
        <f>Pressure_2_R1!C85</f>
        <v>0</v>
      </c>
      <c r="AO34" s="477">
        <f>Pressure_2_R1!D85</f>
        <v>0</v>
      </c>
      <c r="AP34" s="477">
        <f>Pressure_2_R1!E85</f>
        <v>0</v>
      </c>
      <c r="AQ34" s="477">
        <f>Pressure_2_R1!F85</f>
        <v>0</v>
      </c>
      <c r="AR34" s="477">
        <f>Pressure_2_R1!G85</f>
        <v>0</v>
      </c>
      <c r="AS34" s="477">
        <f>Pressure_2_R1!H85</f>
        <v>0</v>
      </c>
      <c r="AT34" s="477">
        <f>Pressure_2_R1!I85</f>
        <v>0</v>
      </c>
      <c r="AU34" s="477">
        <f>Pressure_2_R1!J85</f>
        <v>0</v>
      </c>
      <c r="AV34" s="477">
        <f>Pressure_2_R1!K85</f>
        <v>0</v>
      </c>
      <c r="AW34" s="477">
        <f>Pressure_2_R1!L85</f>
        <v>0</v>
      </c>
      <c r="AX34" s="477">
        <f>Pressure_2_R1!M85</f>
        <v>0</v>
      </c>
      <c r="AY34" s="477">
        <f>Pressure_2_R1!N85</f>
        <v>0</v>
      </c>
      <c r="AZ34" s="477">
        <f>Pressure_2_R1!O85</f>
        <v>0</v>
      </c>
      <c r="BA34" s="68">
        <f>Pressure_2_R1!P85</f>
        <v>0</v>
      </c>
    </row>
    <row r="35" spans="2:53" ht="15" customHeight="1">
      <c r="B35" s="433">
        <f t="shared" si="27"/>
        <v>0</v>
      </c>
      <c r="C35" s="416" t="str">
        <f>IFERROR(표준압력!F20,"")</f>
        <v/>
      </c>
      <c r="D35" s="440">
        <f>표준압력!G20</f>
        <v>0</v>
      </c>
      <c r="E35" s="418" t="str">
        <f t="shared" si="12"/>
        <v/>
      </c>
      <c r="F35" s="453" t="e">
        <f t="shared" ca="1" si="27"/>
        <v>#N/A</v>
      </c>
      <c r="G35" s="454" t="e">
        <f t="shared" ca="1" si="27"/>
        <v>#VALUE!</v>
      </c>
      <c r="H35" s="463" t="e">
        <f t="shared" ca="1" si="13"/>
        <v>#N/A</v>
      </c>
      <c r="I35" s="430" t="s">
        <v>749</v>
      </c>
      <c r="J35" s="391">
        <f t="shared" si="14"/>
        <v>1</v>
      </c>
      <c r="K35" s="448" t="e">
        <f t="shared" ca="1" si="15"/>
        <v>#N/A</v>
      </c>
      <c r="L35" s="454">
        <f t="shared" si="16"/>
        <v>0</v>
      </c>
      <c r="N35" s="391">
        <f t="shared" si="8"/>
        <v>0</v>
      </c>
      <c r="O35" s="476">
        <f t="shared" si="17"/>
        <v>9.7989820000000005</v>
      </c>
      <c r="P35" s="476" t="e">
        <f t="shared" si="17"/>
        <v>#DIV/0!</v>
      </c>
      <c r="Q35" s="476">
        <f t="shared" si="17"/>
        <v>8000</v>
      </c>
      <c r="R35" s="476">
        <f t="shared" si="17"/>
        <v>1</v>
      </c>
      <c r="S35" s="476">
        <f t="shared" si="17"/>
        <v>0</v>
      </c>
      <c r="T35" s="476" t="e">
        <f t="shared" ca="1" si="17"/>
        <v>#N/A</v>
      </c>
      <c r="U35" s="466" t="e">
        <f t="shared" ca="1" si="18"/>
        <v>#DIV/0!</v>
      </c>
      <c r="V35" s="476" t="e">
        <f t="shared" ca="1" si="19"/>
        <v>#N/A</v>
      </c>
      <c r="W35" s="476" t="e">
        <f t="shared" ca="1" si="19"/>
        <v>#N/A</v>
      </c>
      <c r="X35" s="468" t="e">
        <f t="shared" ca="1" si="9"/>
        <v>#DIV/0!</v>
      </c>
      <c r="Y35" s="476">
        <f t="shared" si="20"/>
        <v>9.0000000000000002E-6</v>
      </c>
      <c r="Z35" s="476" t="e">
        <f t="shared" ca="1" si="20"/>
        <v>#DIV/0!</v>
      </c>
      <c r="AA35" s="470" t="e">
        <f t="shared" ca="1" si="28"/>
        <v>#N/A</v>
      </c>
      <c r="AB35" s="471" t="e">
        <f t="shared" ca="1" si="10"/>
        <v>#DIV/0!</v>
      </c>
      <c r="AC35" s="476" t="e">
        <f t="shared" si="21"/>
        <v>#DIV/0!</v>
      </c>
      <c r="AD35" s="454" t="str">
        <f t="shared" si="21"/>
        <v>기체</v>
      </c>
      <c r="AE35" s="469" t="e">
        <f t="shared" ca="1" si="11"/>
        <v>#DIV/0!</v>
      </c>
      <c r="AF35" s="476">
        <f t="shared" si="22"/>
        <v>0.03</v>
      </c>
      <c r="AG35" s="473" t="e">
        <f t="shared" ca="1" si="23"/>
        <v>#DIV/0!</v>
      </c>
      <c r="AH35" s="473" t="e">
        <f t="shared" ca="1" si="24"/>
        <v>#DIV/0!</v>
      </c>
      <c r="AI35" s="449" t="e">
        <f t="shared" si="25"/>
        <v>#N/A</v>
      </c>
      <c r="AJ35" s="474" t="e">
        <f t="shared" ca="1" si="26"/>
        <v>#DIV/0!</v>
      </c>
      <c r="AK35" s="64"/>
      <c r="AL35" s="65">
        <f>Pressure_2_R1!A86</f>
        <v>0</v>
      </c>
      <c r="AM35" s="475">
        <f>Pressure_2_R1!B86</f>
        <v>0</v>
      </c>
      <c r="AN35" s="475">
        <f>Pressure_2_R1!C86</f>
        <v>0</v>
      </c>
      <c r="AO35" s="475">
        <f>Pressure_2_R1!D86</f>
        <v>0</v>
      </c>
      <c r="AP35" s="475">
        <f>Pressure_2_R1!E86</f>
        <v>0</v>
      </c>
      <c r="AQ35" s="475">
        <f>Pressure_2_R1!F86</f>
        <v>0</v>
      </c>
      <c r="AR35" s="475">
        <f>Pressure_2_R1!G86</f>
        <v>0</v>
      </c>
      <c r="AS35" s="475">
        <f>Pressure_2_R1!H86</f>
        <v>0</v>
      </c>
      <c r="AT35" s="475">
        <f>Pressure_2_R1!I86</f>
        <v>0</v>
      </c>
      <c r="AU35" s="475">
        <f>Pressure_2_R1!J86</f>
        <v>0</v>
      </c>
      <c r="AV35" s="475">
        <f>Pressure_2_R1!K86</f>
        <v>0</v>
      </c>
      <c r="AW35" s="475">
        <f>Pressure_2_R1!L86</f>
        <v>0</v>
      </c>
      <c r="AX35" s="475">
        <f>Pressure_2_R1!M86</f>
        <v>0</v>
      </c>
      <c r="AY35" s="475">
        <f>Pressure_2_R1!N86</f>
        <v>0</v>
      </c>
      <c r="AZ35" s="475">
        <f>Pressure_2_R1!O86</f>
        <v>0</v>
      </c>
      <c r="BA35" s="66">
        <f>Pressure_2_R1!P86</f>
        <v>0</v>
      </c>
    </row>
    <row r="36" spans="2:53" ht="15" customHeight="1">
      <c r="B36" s="433">
        <f t="shared" si="27"/>
        <v>0</v>
      </c>
      <c r="C36" s="416" t="str">
        <f>IFERROR(표준압력!F21,"")</f>
        <v/>
      </c>
      <c r="D36" s="440">
        <f>표준압력!G21</f>
        <v>0</v>
      </c>
      <c r="E36" s="418" t="str">
        <f t="shared" si="12"/>
        <v/>
      </c>
      <c r="F36" s="453" t="e">
        <f t="shared" ca="1" si="27"/>
        <v>#N/A</v>
      </c>
      <c r="G36" s="454" t="e">
        <f t="shared" ca="1" si="27"/>
        <v>#VALUE!</v>
      </c>
      <c r="H36" s="463" t="e">
        <f t="shared" ca="1" si="13"/>
        <v>#N/A</v>
      </c>
      <c r="I36" s="430" t="s">
        <v>749</v>
      </c>
      <c r="J36" s="391">
        <f t="shared" si="14"/>
        <v>1</v>
      </c>
      <c r="K36" s="448" t="e">
        <f t="shared" ca="1" si="15"/>
        <v>#N/A</v>
      </c>
      <c r="L36" s="454">
        <f t="shared" si="16"/>
        <v>0</v>
      </c>
      <c r="N36" s="391">
        <f t="shared" si="8"/>
        <v>0</v>
      </c>
      <c r="O36" s="476">
        <f t="shared" ref="O36:T48" si="29">O35</f>
        <v>9.7989820000000005</v>
      </c>
      <c r="P36" s="476" t="e">
        <f t="shared" si="29"/>
        <v>#DIV/0!</v>
      </c>
      <c r="Q36" s="476">
        <f t="shared" si="29"/>
        <v>8000</v>
      </c>
      <c r="R36" s="476">
        <f t="shared" si="29"/>
        <v>1</v>
      </c>
      <c r="S36" s="476">
        <f t="shared" si="29"/>
        <v>0</v>
      </c>
      <c r="T36" s="476" t="e">
        <f t="shared" ca="1" si="29"/>
        <v>#N/A</v>
      </c>
      <c r="U36" s="466" t="e">
        <f t="shared" ca="1" si="18"/>
        <v>#DIV/0!</v>
      </c>
      <c r="V36" s="476" t="e">
        <f t="shared" ref="V36:W48" ca="1" si="30">V35</f>
        <v>#N/A</v>
      </c>
      <c r="W36" s="476" t="e">
        <f t="shared" ca="1" si="30"/>
        <v>#N/A</v>
      </c>
      <c r="X36" s="468" t="e">
        <f t="shared" ca="1" si="9"/>
        <v>#DIV/0!</v>
      </c>
      <c r="Y36" s="476">
        <f t="shared" ref="Y36:Z48" si="31">Y35</f>
        <v>9.0000000000000002E-6</v>
      </c>
      <c r="Z36" s="476" t="e">
        <f t="shared" ca="1" si="31"/>
        <v>#DIV/0!</v>
      </c>
      <c r="AA36" s="470" t="e">
        <f t="shared" ca="1" si="28"/>
        <v>#N/A</v>
      </c>
      <c r="AB36" s="471" t="e">
        <f t="shared" ca="1" si="10"/>
        <v>#DIV/0!</v>
      </c>
      <c r="AC36" s="476" t="e">
        <f t="shared" ref="AC36:AD48" si="32">AC35</f>
        <v>#DIV/0!</v>
      </c>
      <c r="AD36" s="454" t="str">
        <f t="shared" si="32"/>
        <v>기체</v>
      </c>
      <c r="AE36" s="469" t="e">
        <f t="shared" ca="1" si="11"/>
        <v>#DIV/0!</v>
      </c>
      <c r="AF36" s="476">
        <f t="shared" si="22"/>
        <v>0.03</v>
      </c>
      <c r="AG36" s="473" t="e">
        <f t="shared" ca="1" si="23"/>
        <v>#DIV/0!</v>
      </c>
      <c r="AH36" s="473" t="e">
        <f t="shared" ca="1" si="24"/>
        <v>#DIV/0!</v>
      </c>
      <c r="AI36" s="449" t="e">
        <f t="shared" si="25"/>
        <v>#N/A</v>
      </c>
      <c r="AJ36" s="474" t="e">
        <f t="shared" ca="1" si="26"/>
        <v>#DIV/0!</v>
      </c>
      <c r="AK36" s="64"/>
      <c r="AL36" s="67">
        <f>Pressure_2_R1!A87</f>
        <v>0</v>
      </c>
      <c r="AM36" s="477">
        <f>Pressure_2_R1!B87</f>
        <v>0</v>
      </c>
      <c r="AN36" s="477">
        <f>Pressure_2_R1!C87</f>
        <v>0</v>
      </c>
      <c r="AO36" s="477">
        <f>Pressure_2_R1!D87</f>
        <v>0</v>
      </c>
      <c r="AP36" s="477">
        <f>Pressure_2_R1!E87</f>
        <v>0</v>
      </c>
      <c r="AQ36" s="477">
        <f>Pressure_2_R1!F87</f>
        <v>0</v>
      </c>
      <c r="AR36" s="477">
        <f>Pressure_2_R1!G87</f>
        <v>0</v>
      </c>
      <c r="AS36" s="477">
        <f>Pressure_2_R1!H87</f>
        <v>0</v>
      </c>
      <c r="AT36" s="477">
        <f>Pressure_2_R1!I87</f>
        <v>0</v>
      </c>
      <c r="AU36" s="477">
        <f>Pressure_2_R1!J87</f>
        <v>0</v>
      </c>
      <c r="AV36" s="477">
        <f>Pressure_2_R1!K87</f>
        <v>0</v>
      </c>
      <c r="AW36" s="477">
        <f>Pressure_2_R1!L87</f>
        <v>0</v>
      </c>
      <c r="AX36" s="477">
        <f>Pressure_2_R1!M87</f>
        <v>0</v>
      </c>
      <c r="AY36" s="477">
        <f>Pressure_2_R1!N87</f>
        <v>0</v>
      </c>
      <c r="AZ36" s="477">
        <f>Pressure_2_R1!O87</f>
        <v>0</v>
      </c>
      <c r="BA36" s="68">
        <f>Pressure_2_R1!P87</f>
        <v>0</v>
      </c>
    </row>
    <row r="37" spans="2:53" ht="15" customHeight="1">
      <c r="B37" s="433">
        <f t="shared" ref="B37:G48" si="33">B36</f>
        <v>0</v>
      </c>
      <c r="C37" s="416" t="str">
        <f>IFERROR(표준압력!F22,"")</f>
        <v/>
      </c>
      <c r="D37" s="440">
        <f>표준압력!G22</f>
        <v>0</v>
      </c>
      <c r="E37" s="418" t="str">
        <f t="shared" si="12"/>
        <v/>
      </c>
      <c r="F37" s="453" t="e">
        <f t="shared" ca="1" si="33"/>
        <v>#N/A</v>
      </c>
      <c r="G37" s="454" t="e">
        <f t="shared" ca="1" si="33"/>
        <v>#VALUE!</v>
      </c>
      <c r="H37" s="463" t="e">
        <f t="shared" ca="1" si="13"/>
        <v>#N/A</v>
      </c>
      <c r="I37" s="430" t="s">
        <v>749</v>
      </c>
      <c r="J37" s="391">
        <f t="shared" si="14"/>
        <v>1</v>
      </c>
      <c r="K37" s="448" t="e">
        <f t="shared" ca="1" si="15"/>
        <v>#N/A</v>
      </c>
      <c r="L37" s="454">
        <f t="shared" si="16"/>
        <v>0</v>
      </c>
      <c r="N37" s="391">
        <f t="shared" si="8"/>
        <v>0</v>
      </c>
      <c r="O37" s="476">
        <f t="shared" si="29"/>
        <v>9.7989820000000005</v>
      </c>
      <c r="P37" s="476" t="e">
        <f t="shared" si="29"/>
        <v>#DIV/0!</v>
      </c>
      <c r="Q37" s="476">
        <f t="shared" si="29"/>
        <v>8000</v>
      </c>
      <c r="R37" s="476">
        <f t="shared" si="29"/>
        <v>1</v>
      </c>
      <c r="S37" s="476">
        <f t="shared" si="29"/>
        <v>0</v>
      </c>
      <c r="T37" s="476" t="e">
        <f t="shared" ca="1" si="29"/>
        <v>#N/A</v>
      </c>
      <c r="U37" s="466" t="e">
        <f t="shared" ca="1" si="18"/>
        <v>#DIV/0!</v>
      </c>
      <c r="V37" s="476" t="e">
        <f t="shared" ca="1" si="30"/>
        <v>#N/A</v>
      </c>
      <c r="W37" s="476" t="e">
        <f t="shared" ca="1" si="30"/>
        <v>#N/A</v>
      </c>
      <c r="X37" s="468" t="e">
        <f t="shared" ca="1" si="9"/>
        <v>#DIV/0!</v>
      </c>
      <c r="Y37" s="476">
        <f t="shared" si="31"/>
        <v>9.0000000000000002E-6</v>
      </c>
      <c r="Z37" s="476" t="e">
        <f t="shared" ca="1" si="31"/>
        <v>#DIV/0!</v>
      </c>
      <c r="AA37" s="470" t="e">
        <f t="shared" ca="1" si="28"/>
        <v>#N/A</v>
      </c>
      <c r="AB37" s="471" t="e">
        <f t="shared" ca="1" si="10"/>
        <v>#DIV/0!</v>
      </c>
      <c r="AC37" s="476" t="e">
        <f t="shared" si="32"/>
        <v>#DIV/0!</v>
      </c>
      <c r="AD37" s="454" t="str">
        <f t="shared" si="32"/>
        <v>기체</v>
      </c>
      <c r="AE37" s="469" t="e">
        <f t="shared" ca="1" si="11"/>
        <v>#DIV/0!</v>
      </c>
      <c r="AF37" s="476">
        <f t="shared" si="22"/>
        <v>0.03</v>
      </c>
      <c r="AG37" s="473" t="e">
        <f t="shared" ca="1" si="23"/>
        <v>#DIV/0!</v>
      </c>
      <c r="AH37" s="473" t="e">
        <f t="shared" ca="1" si="24"/>
        <v>#DIV/0!</v>
      </c>
      <c r="AI37" s="449" t="e">
        <f t="shared" si="25"/>
        <v>#N/A</v>
      </c>
      <c r="AJ37" s="474" t="e">
        <f t="shared" ca="1" si="26"/>
        <v>#DIV/0!</v>
      </c>
      <c r="AK37" s="64"/>
      <c r="AL37" s="65">
        <f>Pressure_2_R1!A88</f>
        <v>0</v>
      </c>
      <c r="AM37" s="475">
        <f>Pressure_2_R1!B88</f>
        <v>0</v>
      </c>
      <c r="AN37" s="475">
        <f>Pressure_2_R1!C88</f>
        <v>0</v>
      </c>
      <c r="AO37" s="475">
        <f>Pressure_2_R1!D88</f>
        <v>0</v>
      </c>
      <c r="AP37" s="475">
        <f>Pressure_2_R1!E88</f>
        <v>0</v>
      </c>
      <c r="AQ37" s="475">
        <f>Pressure_2_R1!F88</f>
        <v>0</v>
      </c>
      <c r="AR37" s="475">
        <f>Pressure_2_R1!G88</f>
        <v>0</v>
      </c>
      <c r="AS37" s="475">
        <f>Pressure_2_R1!H88</f>
        <v>0</v>
      </c>
      <c r="AT37" s="475">
        <f>Pressure_2_R1!I88</f>
        <v>0</v>
      </c>
      <c r="AU37" s="475">
        <f>Pressure_2_R1!J88</f>
        <v>0</v>
      </c>
      <c r="AV37" s="475">
        <f>Pressure_2_R1!K88</f>
        <v>0</v>
      </c>
      <c r="AW37" s="475">
        <f>Pressure_2_R1!L88</f>
        <v>0</v>
      </c>
      <c r="AX37" s="475">
        <f>Pressure_2_R1!M88</f>
        <v>0</v>
      </c>
      <c r="AY37" s="475">
        <f>Pressure_2_R1!N88</f>
        <v>0</v>
      </c>
      <c r="AZ37" s="475">
        <f>Pressure_2_R1!O88</f>
        <v>0</v>
      </c>
      <c r="BA37" s="66">
        <f>Pressure_2_R1!P88</f>
        <v>0</v>
      </c>
    </row>
    <row r="38" spans="2:53" ht="15" customHeight="1">
      <c r="B38" s="433">
        <f t="shared" si="33"/>
        <v>0</v>
      </c>
      <c r="C38" s="416" t="str">
        <f>IFERROR(표준압력!F23,"")</f>
        <v/>
      </c>
      <c r="D38" s="440">
        <f>표준압력!G23</f>
        <v>0</v>
      </c>
      <c r="E38" s="418" t="str">
        <f t="shared" si="12"/>
        <v/>
      </c>
      <c r="F38" s="453" t="e">
        <f t="shared" ca="1" si="33"/>
        <v>#N/A</v>
      </c>
      <c r="G38" s="454" t="e">
        <f t="shared" ca="1" si="33"/>
        <v>#VALUE!</v>
      </c>
      <c r="H38" s="463" t="e">
        <f t="shared" ca="1" si="13"/>
        <v>#N/A</v>
      </c>
      <c r="I38" s="430" t="s">
        <v>749</v>
      </c>
      <c r="J38" s="391">
        <f t="shared" si="14"/>
        <v>1</v>
      </c>
      <c r="K38" s="448" t="e">
        <f t="shared" ca="1" si="15"/>
        <v>#N/A</v>
      </c>
      <c r="L38" s="454">
        <f t="shared" si="16"/>
        <v>0</v>
      </c>
      <c r="N38" s="391">
        <f t="shared" si="8"/>
        <v>0</v>
      </c>
      <c r="O38" s="476">
        <f t="shared" si="29"/>
        <v>9.7989820000000005</v>
      </c>
      <c r="P38" s="476" t="e">
        <f t="shared" si="29"/>
        <v>#DIV/0!</v>
      </c>
      <c r="Q38" s="476">
        <f t="shared" si="29"/>
        <v>8000</v>
      </c>
      <c r="R38" s="476">
        <f t="shared" si="29"/>
        <v>1</v>
      </c>
      <c r="S38" s="476">
        <f t="shared" si="29"/>
        <v>0</v>
      </c>
      <c r="T38" s="476" t="e">
        <f t="shared" ca="1" si="29"/>
        <v>#N/A</v>
      </c>
      <c r="U38" s="466" t="e">
        <f t="shared" ca="1" si="18"/>
        <v>#DIV/0!</v>
      </c>
      <c r="V38" s="476" t="e">
        <f t="shared" ca="1" si="30"/>
        <v>#N/A</v>
      </c>
      <c r="W38" s="476" t="e">
        <f t="shared" ca="1" si="30"/>
        <v>#N/A</v>
      </c>
      <c r="X38" s="468" t="e">
        <f t="shared" ca="1" si="9"/>
        <v>#DIV/0!</v>
      </c>
      <c r="Y38" s="476">
        <f t="shared" si="31"/>
        <v>9.0000000000000002E-6</v>
      </c>
      <c r="Z38" s="476" t="e">
        <f t="shared" ca="1" si="31"/>
        <v>#DIV/0!</v>
      </c>
      <c r="AA38" s="470" t="e">
        <f t="shared" ca="1" si="28"/>
        <v>#N/A</v>
      </c>
      <c r="AB38" s="471" t="e">
        <f t="shared" ca="1" si="10"/>
        <v>#DIV/0!</v>
      </c>
      <c r="AC38" s="476" t="e">
        <f t="shared" si="32"/>
        <v>#DIV/0!</v>
      </c>
      <c r="AD38" s="454" t="str">
        <f t="shared" si="32"/>
        <v>기체</v>
      </c>
      <c r="AE38" s="469" t="e">
        <f t="shared" ca="1" si="11"/>
        <v>#DIV/0!</v>
      </c>
      <c r="AF38" s="476">
        <f t="shared" si="22"/>
        <v>0.03</v>
      </c>
      <c r="AG38" s="473" t="e">
        <f t="shared" ca="1" si="23"/>
        <v>#DIV/0!</v>
      </c>
      <c r="AH38" s="473" t="e">
        <f t="shared" ca="1" si="24"/>
        <v>#DIV/0!</v>
      </c>
      <c r="AI38" s="449" t="e">
        <f t="shared" si="25"/>
        <v>#N/A</v>
      </c>
      <c r="AJ38" s="474" t="e">
        <f t="shared" ca="1" si="26"/>
        <v>#DIV/0!</v>
      </c>
      <c r="AK38" s="64"/>
      <c r="AL38" s="67">
        <f>Pressure_2_R1!A89</f>
        <v>0</v>
      </c>
      <c r="AM38" s="477">
        <f>Pressure_2_R1!B89</f>
        <v>0</v>
      </c>
      <c r="AN38" s="477">
        <f>Pressure_2_R1!C89</f>
        <v>0</v>
      </c>
      <c r="AO38" s="477">
        <f>Pressure_2_R1!D89</f>
        <v>0</v>
      </c>
      <c r="AP38" s="477">
        <f>Pressure_2_R1!E89</f>
        <v>0</v>
      </c>
      <c r="AQ38" s="477">
        <f>Pressure_2_R1!F89</f>
        <v>0</v>
      </c>
      <c r="AR38" s="477">
        <f>Pressure_2_R1!G89</f>
        <v>0</v>
      </c>
      <c r="AS38" s="477">
        <f>Pressure_2_R1!H89</f>
        <v>0</v>
      </c>
      <c r="AT38" s="477">
        <f>Pressure_2_R1!I89</f>
        <v>0</v>
      </c>
      <c r="AU38" s="477">
        <f>Pressure_2_R1!J89</f>
        <v>0</v>
      </c>
      <c r="AV38" s="477">
        <f>Pressure_2_R1!K89</f>
        <v>0</v>
      </c>
      <c r="AW38" s="477">
        <f>Pressure_2_R1!L89</f>
        <v>0</v>
      </c>
      <c r="AX38" s="477">
        <f>Pressure_2_R1!M89</f>
        <v>0</v>
      </c>
      <c r="AY38" s="477">
        <f>Pressure_2_R1!N89</f>
        <v>0</v>
      </c>
      <c r="AZ38" s="477">
        <f>Pressure_2_R1!O89</f>
        <v>0</v>
      </c>
      <c r="BA38" s="68">
        <f>Pressure_2_R1!P89</f>
        <v>0</v>
      </c>
    </row>
    <row r="39" spans="2:53" ht="15" customHeight="1">
      <c r="B39" s="433">
        <f t="shared" si="33"/>
        <v>0</v>
      </c>
      <c r="C39" s="416" t="str">
        <f>IFERROR(표준압력!F24,"")</f>
        <v/>
      </c>
      <c r="D39" s="440">
        <f>표준압력!G24</f>
        <v>0</v>
      </c>
      <c r="E39" s="418" t="str">
        <f t="shared" si="12"/>
        <v/>
      </c>
      <c r="F39" s="453" t="e">
        <f t="shared" ca="1" si="33"/>
        <v>#N/A</v>
      </c>
      <c r="G39" s="454" t="e">
        <f t="shared" ca="1" si="33"/>
        <v>#VALUE!</v>
      </c>
      <c r="H39" s="463" t="e">
        <f t="shared" ca="1" si="13"/>
        <v>#N/A</v>
      </c>
      <c r="I39" s="430" t="s">
        <v>749</v>
      </c>
      <c r="J39" s="391">
        <f t="shared" si="14"/>
        <v>1</v>
      </c>
      <c r="K39" s="448" t="e">
        <f t="shared" ca="1" si="15"/>
        <v>#N/A</v>
      </c>
      <c r="L39" s="454">
        <f t="shared" si="16"/>
        <v>0</v>
      </c>
      <c r="N39" s="391">
        <f t="shared" si="8"/>
        <v>0</v>
      </c>
      <c r="O39" s="476">
        <f t="shared" si="29"/>
        <v>9.7989820000000005</v>
      </c>
      <c r="P39" s="476" t="e">
        <f t="shared" si="29"/>
        <v>#DIV/0!</v>
      </c>
      <c r="Q39" s="476">
        <f t="shared" si="29"/>
        <v>8000</v>
      </c>
      <c r="R39" s="476">
        <f t="shared" si="29"/>
        <v>1</v>
      </c>
      <c r="S39" s="476">
        <f t="shared" si="29"/>
        <v>0</v>
      </c>
      <c r="T39" s="476" t="e">
        <f t="shared" ca="1" si="29"/>
        <v>#N/A</v>
      </c>
      <c r="U39" s="466" t="e">
        <f t="shared" ca="1" si="18"/>
        <v>#DIV/0!</v>
      </c>
      <c r="V39" s="476" t="e">
        <f t="shared" ca="1" si="30"/>
        <v>#N/A</v>
      </c>
      <c r="W39" s="476" t="e">
        <f t="shared" ca="1" si="30"/>
        <v>#N/A</v>
      </c>
      <c r="X39" s="468" t="e">
        <f t="shared" ca="1" si="9"/>
        <v>#DIV/0!</v>
      </c>
      <c r="Y39" s="476">
        <f t="shared" si="31"/>
        <v>9.0000000000000002E-6</v>
      </c>
      <c r="Z39" s="476" t="e">
        <f t="shared" ca="1" si="31"/>
        <v>#DIV/0!</v>
      </c>
      <c r="AA39" s="470" t="e">
        <f t="shared" ca="1" si="28"/>
        <v>#N/A</v>
      </c>
      <c r="AB39" s="471" t="e">
        <f t="shared" ca="1" si="10"/>
        <v>#DIV/0!</v>
      </c>
      <c r="AC39" s="476" t="e">
        <f t="shared" si="32"/>
        <v>#DIV/0!</v>
      </c>
      <c r="AD39" s="454" t="str">
        <f t="shared" si="32"/>
        <v>기체</v>
      </c>
      <c r="AE39" s="469" t="e">
        <f t="shared" ca="1" si="11"/>
        <v>#DIV/0!</v>
      </c>
      <c r="AF39" s="476">
        <f t="shared" si="22"/>
        <v>0.03</v>
      </c>
      <c r="AG39" s="473" t="e">
        <f t="shared" ca="1" si="23"/>
        <v>#DIV/0!</v>
      </c>
      <c r="AH39" s="473" t="e">
        <f t="shared" ca="1" si="24"/>
        <v>#DIV/0!</v>
      </c>
      <c r="AI39" s="449" t="e">
        <f t="shared" si="25"/>
        <v>#N/A</v>
      </c>
      <c r="AJ39" s="474" t="e">
        <f t="shared" ca="1" si="26"/>
        <v>#DIV/0!</v>
      </c>
      <c r="AK39" s="64"/>
      <c r="AL39" s="65">
        <f>Pressure_2_R1!A90</f>
        <v>0</v>
      </c>
      <c r="AM39" s="475">
        <f>Pressure_2_R1!B90</f>
        <v>0</v>
      </c>
      <c r="AN39" s="475">
        <f>Pressure_2_R1!C90</f>
        <v>0</v>
      </c>
      <c r="AO39" s="475">
        <f>Pressure_2_R1!D90</f>
        <v>0</v>
      </c>
      <c r="AP39" s="475">
        <f>Pressure_2_R1!E90</f>
        <v>0</v>
      </c>
      <c r="AQ39" s="475">
        <f>Pressure_2_R1!F90</f>
        <v>0</v>
      </c>
      <c r="AR39" s="475">
        <f>Pressure_2_R1!G90</f>
        <v>0</v>
      </c>
      <c r="AS39" s="475">
        <f>Pressure_2_R1!H90</f>
        <v>0</v>
      </c>
      <c r="AT39" s="475">
        <f>Pressure_2_R1!I90</f>
        <v>0</v>
      </c>
      <c r="AU39" s="475">
        <f>Pressure_2_R1!J90</f>
        <v>0</v>
      </c>
      <c r="AV39" s="475">
        <f>Pressure_2_R1!K90</f>
        <v>0</v>
      </c>
      <c r="AW39" s="475">
        <f>Pressure_2_R1!L90</f>
        <v>0</v>
      </c>
      <c r="AX39" s="475">
        <f>Pressure_2_R1!M90</f>
        <v>0</v>
      </c>
      <c r="AY39" s="475">
        <f>Pressure_2_R1!N90</f>
        <v>0</v>
      </c>
      <c r="AZ39" s="475">
        <f>Pressure_2_R1!O90</f>
        <v>0</v>
      </c>
      <c r="BA39" s="66">
        <f>Pressure_2_R1!P90</f>
        <v>0</v>
      </c>
    </row>
    <row r="40" spans="2:53" ht="15" customHeight="1">
      <c r="B40" s="433">
        <f t="shared" si="33"/>
        <v>0</v>
      </c>
      <c r="C40" s="416" t="str">
        <f>IFERROR(표준압력!F25,"")</f>
        <v/>
      </c>
      <c r="D40" s="440">
        <f>표준압력!G25</f>
        <v>0</v>
      </c>
      <c r="E40" s="418" t="str">
        <f t="shared" si="12"/>
        <v/>
      </c>
      <c r="F40" s="453" t="e">
        <f t="shared" ca="1" si="33"/>
        <v>#N/A</v>
      </c>
      <c r="G40" s="454" t="e">
        <f t="shared" ca="1" si="33"/>
        <v>#VALUE!</v>
      </c>
      <c r="H40" s="463" t="e">
        <f t="shared" ca="1" si="13"/>
        <v>#N/A</v>
      </c>
      <c r="I40" s="430" t="s">
        <v>749</v>
      </c>
      <c r="J40" s="391">
        <f t="shared" si="14"/>
        <v>1</v>
      </c>
      <c r="K40" s="448" t="e">
        <f t="shared" ca="1" si="15"/>
        <v>#N/A</v>
      </c>
      <c r="L40" s="454">
        <f t="shared" si="16"/>
        <v>0</v>
      </c>
      <c r="N40" s="391">
        <f t="shared" si="8"/>
        <v>0</v>
      </c>
      <c r="O40" s="476">
        <f t="shared" si="29"/>
        <v>9.7989820000000005</v>
      </c>
      <c r="P40" s="476" t="e">
        <f t="shared" si="29"/>
        <v>#DIV/0!</v>
      </c>
      <c r="Q40" s="476">
        <f t="shared" si="29"/>
        <v>8000</v>
      </c>
      <c r="R40" s="476">
        <f t="shared" si="29"/>
        <v>1</v>
      </c>
      <c r="S40" s="476">
        <f t="shared" si="29"/>
        <v>0</v>
      </c>
      <c r="T40" s="476" t="e">
        <f t="shared" ca="1" si="29"/>
        <v>#N/A</v>
      </c>
      <c r="U40" s="466" t="e">
        <f t="shared" ca="1" si="18"/>
        <v>#DIV/0!</v>
      </c>
      <c r="V40" s="476" t="e">
        <f t="shared" ca="1" si="30"/>
        <v>#N/A</v>
      </c>
      <c r="W40" s="476" t="e">
        <f t="shared" ca="1" si="30"/>
        <v>#N/A</v>
      </c>
      <c r="X40" s="468" t="e">
        <f t="shared" ca="1" si="9"/>
        <v>#DIV/0!</v>
      </c>
      <c r="Y40" s="476">
        <f t="shared" si="31"/>
        <v>9.0000000000000002E-6</v>
      </c>
      <c r="Z40" s="476" t="e">
        <f t="shared" ca="1" si="31"/>
        <v>#DIV/0!</v>
      </c>
      <c r="AA40" s="470" t="e">
        <f t="shared" ca="1" si="28"/>
        <v>#N/A</v>
      </c>
      <c r="AB40" s="471" t="e">
        <f t="shared" ca="1" si="10"/>
        <v>#DIV/0!</v>
      </c>
      <c r="AC40" s="476" t="e">
        <f t="shared" si="32"/>
        <v>#DIV/0!</v>
      </c>
      <c r="AD40" s="454" t="str">
        <f t="shared" si="32"/>
        <v>기체</v>
      </c>
      <c r="AE40" s="469" t="e">
        <f t="shared" ca="1" si="11"/>
        <v>#DIV/0!</v>
      </c>
      <c r="AF40" s="476">
        <f t="shared" si="22"/>
        <v>0.03</v>
      </c>
      <c r="AG40" s="473" t="e">
        <f t="shared" ca="1" si="23"/>
        <v>#DIV/0!</v>
      </c>
      <c r="AH40" s="473" t="e">
        <f t="shared" ca="1" si="24"/>
        <v>#DIV/0!</v>
      </c>
      <c r="AI40" s="449" t="e">
        <f t="shared" si="25"/>
        <v>#N/A</v>
      </c>
      <c r="AJ40" s="474" t="e">
        <f t="shared" ca="1" si="26"/>
        <v>#DIV/0!</v>
      </c>
      <c r="AK40" s="64"/>
      <c r="AL40" s="67">
        <f>Pressure_2_R1!A91</f>
        <v>0</v>
      </c>
      <c r="AM40" s="477">
        <f>Pressure_2_R1!B91</f>
        <v>0</v>
      </c>
      <c r="AN40" s="477">
        <f>Pressure_2_R1!C91</f>
        <v>0</v>
      </c>
      <c r="AO40" s="477">
        <f>Pressure_2_R1!D91</f>
        <v>0</v>
      </c>
      <c r="AP40" s="477">
        <f>Pressure_2_R1!E91</f>
        <v>0</v>
      </c>
      <c r="AQ40" s="477">
        <f>Pressure_2_R1!F91</f>
        <v>0</v>
      </c>
      <c r="AR40" s="477">
        <f>Pressure_2_R1!G91</f>
        <v>0</v>
      </c>
      <c r="AS40" s="477">
        <f>Pressure_2_R1!H91</f>
        <v>0</v>
      </c>
      <c r="AT40" s="477">
        <f>Pressure_2_R1!I91</f>
        <v>0</v>
      </c>
      <c r="AU40" s="477">
        <f>Pressure_2_R1!J91</f>
        <v>0</v>
      </c>
      <c r="AV40" s="477">
        <f>Pressure_2_R1!K91</f>
        <v>0</v>
      </c>
      <c r="AW40" s="477">
        <f>Pressure_2_R1!L91</f>
        <v>0</v>
      </c>
      <c r="AX40" s="477">
        <f>Pressure_2_R1!M91</f>
        <v>0</v>
      </c>
      <c r="AY40" s="477">
        <f>Pressure_2_R1!N91</f>
        <v>0</v>
      </c>
      <c r="AZ40" s="477">
        <f>Pressure_2_R1!O91</f>
        <v>0</v>
      </c>
      <c r="BA40" s="68">
        <f>Pressure_2_R1!P91</f>
        <v>0</v>
      </c>
    </row>
    <row r="41" spans="2:53" ht="15" customHeight="1">
      <c r="B41" s="433">
        <f t="shared" si="33"/>
        <v>0</v>
      </c>
      <c r="C41" s="416" t="str">
        <f>IFERROR(표준압력!F26,"")</f>
        <v/>
      </c>
      <c r="D41" s="440">
        <f>표준압력!G26</f>
        <v>0</v>
      </c>
      <c r="E41" s="418" t="str">
        <f t="shared" si="12"/>
        <v/>
      </c>
      <c r="F41" s="453" t="e">
        <f t="shared" ca="1" si="33"/>
        <v>#N/A</v>
      </c>
      <c r="G41" s="454" t="e">
        <f t="shared" ca="1" si="33"/>
        <v>#VALUE!</v>
      </c>
      <c r="H41" s="463" t="e">
        <f t="shared" ca="1" si="13"/>
        <v>#N/A</v>
      </c>
      <c r="I41" s="430" t="s">
        <v>749</v>
      </c>
      <c r="J41" s="391">
        <f t="shared" si="14"/>
        <v>1</v>
      </c>
      <c r="K41" s="448" t="e">
        <f t="shared" ca="1" si="15"/>
        <v>#N/A</v>
      </c>
      <c r="L41" s="454">
        <f t="shared" si="16"/>
        <v>0</v>
      </c>
      <c r="N41" s="391">
        <f t="shared" si="8"/>
        <v>0</v>
      </c>
      <c r="O41" s="476">
        <f t="shared" si="29"/>
        <v>9.7989820000000005</v>
      </c>
      <c r="P41" s="476" t="e">
        <f t="shared" si="29"/>
        <v>#DIV/0!</v>
      </c>
      <c r="Q41" s="476">
        <f t="shared" si="29"/>
        <v>8000</v>
      </c>
      <c r="R41" s="476">
        <f t="shared" si="29"/>
        <v>1</v>
      </c>
      <c r="S41" s="476">
        <f t="shared" si="29"/>
        <v>0</v>
      </c>
      <c r="T41" s="476" t="e">
        <f t="shared" ca="1" si="29"/>
        <v>#N/A</v>
      </c>
      <c r="U41" s="466" t="e">
        <f t="shared" ca="1" si="18"/>
        <v>#DIV/0!</v>
      </c>
      <c r="V41" s="476" t="e">
        <f t="shared" ca="1" si="30"/>
        <v>#N/A</v>
      </c>
      <c r="W41" s="476" t="e">
        <f t="shared" ca="1" si="30"/>
        <v>#N/A</v>
      </c>
      <c r="X41" s="468" t="e">
        <f t="shared" ca="1" si="9"/>
        <v>#DIV/0!</v>
      </c>
      <c r="Y41" s="476">
        <f t="shared" si="31"/>
        <v>9.0000000000000002E-6</v>
      </c>
      <c r="Z41" s="476" t="e">
        <f t="shared" ca="1" si="31"/>
        <v>#DIV/0!</v>
      </c>
      <c r="AA41" s="470" t="e">
        <f t="shared" ca="1" si="28"/>
        <v>#N/A</v>
      </c>
      <c r="AB41" s="471" t="e">
        <f t="shared" ca="1" si="10"/>
        <v>#DIV/0!</v>
      </c>
      <c r="AC41" s="476" t="e">
        <f t="shared" si="32"/>
        <v>#DIV/0!</v>
      </c>
      <c r="AD41" s="454" t="str">
        <f t="shared" si="32"/>
        <v>기체</v>
      </c>
      <c r="AE41" s="469" t="e">
        <f t="shared" ca="1" si="11"/>
        <v>#DIV/0!</v>
      </c>
      <c r="AF41" s="476">
        <f t="shared" si="22"/>
        <v>0.03</v>
      </c>
      <c r="AG41" s="473" t="e">
        <f t="shared" ca="1" si="23"/>
        <v>#DIV/0!</v>
      </c>
      <c r="AH41" s="473" t="e">
        <f t="shared" ca="1" si="24"/>
        <v>#DIV/0!</v>
      </c>
      <c r="AI41" s="449" t="e">
        <f t="shared" si="25"/>
        <v>#N/A</v>
      </c>
      <c r="AJ41" s="474" t="e">
        <f t="shared" ca="1" si="26"/>
        <v>#DIV/0!</v>
      </c>
      <c r="AK41" s="64"/>
      <c r="AL41" s="65">
        <f>Pressure_2_R1!A92</f>
        <v>0</v>
      </c>
      <c r="AM41" s="475">
        <f>Pressure_2_R1!B92</f>
        <v>0</v>
      </c>
      <c r="AN41" s="475">
        <f>Pressure_2_R1!C92</f>
        <v>0</v>
      </c>
      <c r="AO41" s="475">
        <f>Pressure_2_R1!D92</f>
        <v>0</v>
      </c>
      <c r="AP41" s="475">
        <f>Pressure_2_R1!E92</f>
        <v>0</v>
      </c>
      <c r="AQ41" s="475">
        <f>Pressure_2_R1!F92</f>
        <v>0</v>
      </c>
      <c r="AR41" s="475">
        <f>Pressure_2_R1!G92</f>
        <v>0</v>
      </c>
      <c r="AS41" s="475">
        <f>Pressure_2_R1!H92</f>
        <v>0</v>
      </c>
      <c r="AT41" s="475">
        <f>Pressure_2_R1!I92</f>
        <v>0</v>
      </c>
      <c r="AU41" s="475">
        <f>Pressure_2_R1!J92</f>
        <v>0</v>
      </c>
      <c r="AV41" s="475">
        <f>Pressure_2_R1!K92</f>
        <v>0</v>
      </c>
      <c r="AW41" s="475">
        <f>Pressure_2_R1!L92</f>
        <v>0</v>
      </c>
      <c r="AX41" s="475">
        <f>Pressure_2_R1!M92</f>
        <v>0</v>
      </c>
      <c r="AY41" s="475">
        <f>Pressure_2_R1!N92</f>
        <v>0</v>
      </c>
      <c r="AZ41" s="475">
        <f>Pressure_2_R1!O92</f>
        <v>0</v>
      </c>
      <c r="BA41" s="66">
        <f>Pressure_2_R1!P92</f>
        <v>0</v>
      </c>
    </row>
    <row r="42" spans="2:53" ht="15" customHeight="1">
      <c r="B42" s="433">
        <f t="shared" si="33"/>
        <v>0</v>
      </c>
      <c r="C42" s="416" t="str">
        <f>IFERROR(표준압력!F27,"")</f>
        <v/>
      </c>
      <c r="D42" s="440">
        <f>표준압력!G27</f>
        <v>0</v>
      </c>
      <c r="E42" s="418" t="str">
        <f t="shared" si="12"/>
        <v/>
      </c>
      <c r="F42" s="453" t="e">
        <f t="shared" ca="1" si="33"/>
        <v>#N/A</v>
      </c>
      <c r="G42" s="454" t="e">
        <f t="shared" ca="1" si="33"/>
        <v>#VALUE!</v>
      </c>
      <c r="H42" s="463" t="e">
        <f t="shared" ca="1" si="13"/>
        <v>#N/A</v>
      </c>
      <c r="I42" s="430" t="s">
        <v>749</v>
      </c>
      <c r="J42" s="391">
        <f t="shared" si="14"/>
        <v>1</v>
      </c>
      <c r="K42" s="448" t="e">
        <f t="shared" ca="1" si="15"/>
        <v>#N/A</v>
      </c>
      <c r="L42" s="454">
        <f t="shared" si="16"/>
        <v>0</v>
      </c>
      <c r="N42" s="391">
        <f t="shared" si="8"/>
        <v>0</v>
      </c>
      <c r="O42" s="476">
        <f t="shared" si="29"/>
        <v>9.7989820000000005</v>
      </c>
      <c r="P42" s="476" t="e">
        <f t="shared" si="29"/>
        <v>#DIV/0!</v>
      </c>
      <c r="Q42" s="476">
        <f t="shared" si="29"/>
        <v>8000</v>
      </c>
      <c r="R42" s="476">
        <f t="shared" si="29"/>
        <v>1</v>
      </c>
      <c r="S42" s="476">
        <f t="shared" si="29"/>
        <v>0</v>
      </c>
      <c r="T42" s="476" t="e">
        <f t="shared" ca="1" si="29"/>
        <v>#N/A</v>
      </c>
      <c r="U42" s="466" t="e">
        <f t="shared" ca="1" si="18"/>
        <v>#DIV/0!</v>
      </c>
      <c r="V42" s="476" t="e">
        <f t="shared" ca="1" si="30"/>
        <v>#N/A</v>
      </c>
      <c r="W42" s="476" t="e">
        <f t="shared" ca="1" si="30"/>
        <v>#N/A</v>
      </c>
      <c r="X42" s="468" t="e">
        <f t="shared" ca="1" si="9"/>
        <v>#DIV/0!</v>
      </c>
      <c r="Y42" s="476">
        <f t="shared" si="31"/>
        <v>9.0000000000000002E-6</v>
      </c>
      <c r="Z42" s="476" t="e">
        <f t="shared" ca="1" si="31"/>
        <v>#DIV/0!</v>
      </c>
      <c r="AA42" s="470" t="e">
        <f t="shared" ca="1" si="28"/>
        <v>#N/A</v>
      </c>
      <c r="AB42" s="471" t="e">
        <f t="shared" ca="1" si="10"/>
        <v>#DIV/0!</v>
      </c>
      <c r="AC42" s="476" t="e">
        <f t="shared" si="32"/>
        <v>#DIV/0!</v>
      </c>
      <c r="AD42" s="454" t="str">
        <f t="shared" si="32"/>
        <v>기체</v>
      </c>
      <c r="AE42" s="469" t="e">
        <f t="shared" ca="1" si="11"/>
        <v>#DIV/0!</v>
      </c>
      <c r="AF42" s="476">
        <f t="shared" si="22"/>
        <v>0.03</v>
      </c>
      <c r="AG42" s="473" t="e">
        <f t="shared" ca="1" si="23"/>
        <v>#DIV/0!</v>
      </c>
      <c r="AH42" s="473" t="e">
        <f t="shared" ca="1" si="24"/>
        <v>#DIV/0!</v>
      </c>
      <c r="AI42" s="449" t="e">
        <f t="shared" si="25"/>
        <v>#N/A</v>
      </c>
      <c r="AJ42" s="474" t="e">
        <f t="shared" ca="1" si="26"/>
        <v>#DIV/0!</v>
      </c>
      <c r="AK42" s="64"/>
      <c r="AL42" s="67">
        <f>Pressure_2_R1!A93</f>
        <v>0</v>
      </c>
      <c r="AM42" s="477">
        <f>Pressure_2_R1!B93</f>
        <v>0</v>
      </c>
      <c r="AN42" s="477">
        <f>Pressure_2_R1!C93</f>
        <v>0</v>
      </c>
      <c r="AO42" s="477">
        <f>Pressure_2_R1!D93</f>
        <v>0</v>
      </c>
      <c r="AP42" s="477">
        <f>Pressure_2_R1!E93</f>
        <v>0</v>
      </c>
      <c r="AQ42" s="477">
        <f>Pressure_2_R1!F93</f>
        <v>0</v>
      </c>
      <c r="AR42" s="477">
        <f>Pressure_2_R1!G93</f>
        <v>0</v>
      </c>
      <c r="AS42" s="477">
        <f>Pressure_2_R1!H93</f>
        <v>0</v>
      </c>
      <c r="AT42" s="477">
        <f>Pressure_2_R1!I93</f>
        <v>0</v>
      </c>
      <c r="AU42" s="477">
        <f>Pressure_2_R1!J93</f>
        <v>0</v>
      </c>
      <c r="AV42" s="477">
        <f>Pressure_2_R1!K93</f>
        <v>0</v>
      </c>
      <c r="AW42" s="477">
        <f>Pressure_2_R1!L93</f>
        <v>0</v>
      </c>
      <c r="AX42" s="477">
        <f>Pressure_2_R1!M93</f>
        <v>0</v>
      </c>
      <c r="AY42" s="477">
        <f>Pressure_2_R1!N93</f>
        <v>0</v>
      </c>
      <c r="AZ42" s="477">
        <f>Pressure_2_R1!O93</f>
        <v>0</v>
      </c>
      <c r="BA42" s="68">
        <f>Pressure_2_R1!P93</f>
        <v>0</v>
      </c>
    </row>
    <row r="43" spans="2:53" ht="15" customHeight="1">
      <c r="B43" s="433">
        <f t="shared" si="33"/>
        <v>0</v>
      </c>
      <c r="C43" s="416" t="str">
        <f>IFERROR(표준압력!F28,"")</f>
        <v/>
      </c>
      <c r="D43" s="440">
        <f>표준압력!G28</f>
        <v>0</v>
      </c>
      <c r="E43" s="418" t="str">
        <f t="shared" si="12"/>
        <v/>
      </c>
      <c r="F43" s="453" t="e">
        <f t="shared" ca="1" si="33"/>
        <v>#N/A</v>
      </c>
      <c r="G43" s="454" t="e">
        <f t="shared" ca="1" si="33"/>
        <v>#VALUE!</v>
      </c>
      <c r="H43" s="463" t="e">
        <f t="shared" ca="1" si="13"/>
        <v>#N/A</v>
      </c>
      <c r="I43" s="430" t="s">
        <v>749</v>
      </c>
      <c r="J43" s="391">
        <f t="shared" si="14"/>
        <v>1</v>
      </c>
      <c r="K43" s="448" t="e">
        <f t="shared" ca="1" si="15"/>
        <v>#N/A</v>
      </c>
      <c r="L43" s="454">
        <f t="shared" si="16"/>
        <v>0</v>
      </c>
      <c r="N43" s="391">
        <f t="shared" si="8"/>
        <v>0</v>
      </c>
      <c r="O43" s="476">
        <f t="shared" si="29"/>
        <v>9.7989820000000005</v>
      </c>
      <c r="P43" s="476" t="e">
        <f t="shared" si="29"/>
        <v>#DIV/0!</v>
      </c>
      <c r="Q43" s="476">
        <f t="shared" si="29"/>
        <v>8000</v>
      </c>
      <c r="R43" s="476">
        <f t="shared" si="29"/>
        <v>1</v>
      </c>
      <c r="S43" s="476">
        <f t="shared" si="29"/>
        <v>0</v>
      </c>
      <c r="T43" s="476" t="e">
        <f t="shared" ca="1" si="29"/>
        <v>#N/A</v>
      </c>
      <c r="U43" s="466" t="e">
        <f t="shared" ca="1" si="18"/>
        <v>#DIV/0!</v>
      </c>
      <c r="V43" s="476" t="e">
        <f t="shared" ca="1" si="30"/>
        <v>#N/A</v>
      </c>
      <c r="W43" s="476" t="e">
        <f t="shared" ca="1" si="30"/>
        <v>#N/A</v>
      </c>
      <c r="X43" s="468" t="e">
        <f t="shared" ca="1" si="9"/>
        <v>#DIV/0!</v>
      </c>
      <c r="Y43" s="476">
        <f t="shared" si="31"/>
        <v>9.0000000000000002E-6</v>
      </c>
      <c r="Z43" s="476" t="e">
        <f t="shared" ca="1" si="31"/>
        <v>#DIV/0!</v>
      </c>
      <c r="AA43" s="470" t="e">
        <f t="shared" ca="1" si="28"/>
        <v>#N/A</v>
      </c>
      <c r="AB43" s="471" t="e">
        <f t="shared" ca="1" si="10"/>
        <v>#DIV/0!</v>
      </c>
      <c r="AC43" s="476" t="e">
        <f t="shared" si="32"/>
        <v>#DIV/0!</v>
      </c>
      <c r="AD43" s="454" t="str">
        <f t="shared" si="32"/>
        <v>기체</v>
      </c>
      <c r="AE43" s="469" t="e">
        <f t="shared" ca="1" si="11"/>
        <v>#DIV/0!</v>
      </c>
      <c r="AF43" s="476">
        <f t="shared" si="22"/>
        <v>0.03</v>
      </c>
      <c r="AG43" s="473" t="e">
        <f t="shared" ca="1" si="23"/>
        <v>#DIV/0!</v>
      </c>
      <c r="AH43" s="473" t="e">
        <f t="shared" ca="1" si="24"/>
        <v>#DIV/0!</v>
      </c>
      <c r="AI43" s="449" t="e">
        <f t="shared" si="25"/>
        <v>#N/A</v>
      </c>
      <c r="AJ43" s="474" t="e">
        <f t="shared" ca="1" si="26"/>
        <v>#DIV/0!</v>
      </c>
      <c r="AK43" s="64"/>
      <c r="AL43" s="65">
        <f>Pressure_2_R1!A94</f>
        <v>0</v>
      </c>
      <c r="AM43" s="475">
        <f>Pressure_2_R1!B94</f>
        <v>0</v>
      </c>
      <c r="AN43" s="475">
        <f>Pressure_2_R1!C94</f>
        <v>0</v>
      </c>
      <c r="AO43" s="475">
        <f>Pressure_2_R1!D94</f>
        <v>0</v>
      </c>
      <c r="AP43" s="475">
        <f>Pressure_2_R1!E94</f>
        <v>0</v>
      </c>
      <c r="AQ43" s="475">
        <f>Pressure_2_R1!F94</f>
        <v>0</v>
      </c>
      <c r="AR43" s="475">
        <f>Pressure_2_R1!G94</f>
        <v>0</v>
      </c>
      <c r="AS43" s="475">
        <f>Pressure_2_R1!H94</f>
        <v>0</v>
      </c>
      <c r="AT43" s="475">
        <f>Pressure_2_R1!I94</f>
        <v>0</v>
      </c>
      <c r="AU43" s="475">
        <f>Pressure_2_R1!J94</f>
        <v>0</v>
      </c>
      <c r="AV43" s="475">
        <f>Pressure_2_R1!K94</f>
        <v>0</v>
      </c>
      <c r="AW43" s="475">
        <f>Pressure_2_R1!L94</f>
        <v>0</v>
      </c>
      <c r="AX43" s="475">
        <f>Pressure_2_R1!M94</f>
        <v>0</v>
      </c>
      <c r="AY43" s="475">
        <f>Pressure_2_R1!N94</f>
        <v>0</v>
      </c>
      <c r="AZ43" s="475">
        <f>Pressure_2_R1!O94</f>
        <v>0</v>
      </c>
      <c r="BA43" s="66">
        <f>Pressure_2_R1!P94</f>
        <v>0</v>
      </c>
    </row>
    <row r="44" spans="2:53" ht="15" customHeight="1">
      <c r="B44" s="433">
        <f t="shared" si="33"/>
        <v>0</v>
      </c>
      <c r="C44" s="416" t="str">
        <f>IFERROR(표준압력!F29,"")</f>
        <v/>
      </c>
      <c r="D44" s="440">
        <f>표준압력!G29</f>
        <v>0</v>
      </c>
      <c r="E44" s="418" t="str">
        <f t="shared" si="12"/>
        <v/>
      </c>
      <c r="F44" s="453" t="e">
        <f t="shared" ca="1" si="33"/>
        <v>#N/A</v>
      </c>
      <c r="G44" s="454" t="e">
        <f t="shared" ca="1" si="33"/>
        <v>#VALUE!</v>
      </c>
      <c r="H44" s="463" t="e">
        <f t="shared" ca="1" si="13"/>
        <v>#N/A</v>
      </c>
      <c r="I44" s="430" t="s">
        <v>749</v>
      </c>
      <c r="J44" s="391">
        <f t="shared" si="14"/>
        <v>1</v>
      </c>
      <c r="K44" s="448" t="e">
        <f t="shared" ca="1" si="15"/>
        <v>#N/A</v>
      </c>
      <c r="L44" s="454">
        <f t="shared" si="16"/>
        <v>0</v>
      </c>
      <c r="N44" s="391">
        <f t="shared" si="8"/>
        <v>0</v>
      </c>
      <c r="O44" s="476">
        <f t="shared" si="29"/>
        <v>9.7989820000000005</v>
      </c>
      <c r="P44" s="476" t="e">
        <f t="shared" si="29"/>
        <v>#DIV/0!</v>
      </c>
      <c r="Q44" s="476">
        <f t="shared" si="29"/>
        <v>8000</v>
      </c>
      <c r="R44" s="476">
        <f t="shared" si="29"/>
        <v>1</v>
      </c>
      <c r="S44" s="476">
        <f t="shared" si="29"/>
        <v>0</v>
      </c>
      <c r="T44" s="476" t="e">
        <f t="shared" ca="1" si="29"/>
        <v>#N/A</v>
      </c>
      <c r="U44" s="466" t="e">
        <f t="shared" ca="1" si="18"/>
        <v>#DIV/0!</v>
      </c>
      <c r="V44" s="476" t="e">
        <f t="shared" ca="1" si="30"/>
        <v>#N/A</v>
      </c>
      <c r="W44" s="476" t="e">
        <f t="shared" ca="1" si="30"/>
        <v>#N/A</v>
      </c>
      <c r="X44" s="468" t="e">
        <f t="shared" ca="1" si="9"/>
        <v>#DIV/0!</v>
      </c>
      <c r="Y44" s="476">
        <f t="shared" si="31"/>
        <v>9.0000000000000002E-6</v>
      </c>
      <c r="Z44" s="476" t="e">
        <f t="shared" ca="1" si="31"/>
        <v>#DIV/0!</v>
      </c>
      <c r="AA44" s="470" t="e">
        <f t="shared" ca="1" si="28"/>
        <v>#N/A</v>
      </c>
      <c r="AB44" s="471" t="e">
        <f t="shared" ca="1" si="10"/>
        <v>#DIV/0!</v>
      </c>
      <c r="AC44" s="476" t="e">
        <f t="shared" si="32"/>
        <v>#DIV/0!</v>
      </c>
      <c r="AD44" s="454" t="str">
        <f t="shared" si="32"/>
        <v>기체</v>
      </c>
      <c r="AE44" s="469" t="e">
        <f t="shared" ca="1" si="11"/>
        <v>#DIV/0!</v>
      </c>
      <c r="AF44" s="476">
        <f t="shared" si="22"/>
        <v>0.03</v>
      </c>
      <c r="AG44" s="473" t="e">
        <f t="shared" ca="1" si="23"/>
        <v>#DIV/0!</v>
      </c>
      <c r="AH44" s="473" t="e">
        <f t="shared" ca="1" si="24"/>
        <v>#DIV/0!</v>
      </c>
      <c r="AI44" s="449" t="e">
        <f t="shared" si="25"/>
        <v>#N/A</v>
      </c>
      <c r="AJ44" s="474" t="e">
        <f t="shared" ca="1" si="26"/>
        <v>#DIV/0!</v>
      </c>
      <c r="AK44" s="64"/>
      <c r="AL44" s="67">
        <f>Pressure_2_R1!A95</f>
        <v>0</v>
      </c>
      <c r="AM44" s="477">
        <f>Pressure_2_R1!B95</f>
        <v>0</v>
      </c>
      <c r="AN44" s="477">
        <f>Pressure_2_R1!C95</f>
        <v>0</v>
      </c>
      <c r="AO44" s="477">
        <f>Pressure_2_R1!D95</f>
        <v>0</v>
      </c>
      <c r="AP44" s="477">
        <f>Pressure_2_R1!E95</f>
        <v>0</v>
      </c>
      <c r="AQ44" s="477">
        <f>Pressure_2_R1!F95</f>
        <v>0</v>
      </c>
      <c r="AR44" s="477">
        <f>Pressure_2_R1!G95</f>
        <v>0</v>
      </c>
      <c r="AS44" s="477">
        <f>Pressure_2_R1!H95</f>
        <v>0</v>
      </c>
      <c r="AT44" s="477">
        <f>Pressure_2_R1!I95</f>
        <v>0</v>
      </c>
      <c r="AU44" s="477">
        <f>Pressure_2_R1!J95</f>
        <v>0</v>
      </c>
      <c r="AV44" s="477">
        <f>Pressure_2_R1!K95</f>
        <v>0</v>
      </c>
      <c r="AW44" s="477">
        <f>Pressure_2_R1!L95</f>
        <v>0</v>
      </c>
      <c r="AX44" s="477">
        <f>Pressure_2_R1!M95</f>
        <v>0</v>
      </c>
      <c r="AY44" s="477">
        <f>Pressure_2_R1!N95</f>
        <v>0</v>
      </c>
      <c r="AZ44" s="477">
        <f>Pressure_2_R1!O95</f>
        <v>0</v>
      </c>
      <c r="BA44" s="68">
        <f>Pressure_2_R1!P95</f>
        <v>0</v>
      </c>
    </row>
    <row r="45" spans="2:53" ht="15" customHeight="1">
      <c r="B45" s="433">
        <f t="shared" si="33"/>
        <v>0</v>
      </c>
      <c r="C45" s="416" t="str">
        <f>IFERROR(표준압력!F30,"")</f>
        <v/>
      </c>
      <c r="D45" s="440">
        <f>표준압력!G30</f>
        <v>0</v>
      </c>
      <c r="E45" s="418" t="str">
        <f t="shared" si="12"/>
        <v/>
      </c>
      <c r="F45" s="453" t="e">
        <f t="shared" ca="1" si="33"/>
        <v>#N/A</v>
      </c>
      <c r="G45" s="454" t="e">
        <f t="shared" ca="1" si="33"/>
        <v>#VALUE!</v>
      </c>
      <c r="H45" s="463" t="e">
        <f t="shared" ca="1" si="13"/>
        <v>#N/A</v>
      </c>
      <c r="I45" s="430" t="s">
        <v>749</v>
      </c>
      <c r="J45" s="391">
        <f t="shared" si="14"/>
        <v>1</v>
      </c>
      <c r="K45" s="448" t="e">
        <f t="shared" ca="1" si="15"/>
        <v>#N/A</v>
      </c>
      <c r="L45" s="454">
        <f t="shared" si="16"/>
        <v>0</v>
      </c>
      <c r="N45" s="391">
        <f t="shared" si="8"/>
        <v>0</v>
      </c>
      <c r="O45" s="476">
        <f t="shared" si="29"/>
        <v>9.7989820000000005</v>
      </c>
      <c r="P45" s="476" t="e">
        <f t="shared" si="29"/>
        <v>#DIV/0!</v>
      </c>
      <c r="Q45" s="476">
        <f t="shared" si="29"/>
        <v>8000</v>
      </c>
      <c r="R45" s="476">
        <f t="shared" si="29"/>
        <v>1</v>
      </c>
      <c r="S45" s="476">
        <f t="shared" si="29"/>
        <v>0</v>
      </c>
      <c r="T45" s="476" t="e">
        <f t="shared" ca="1" si="29"/>
        <v>#N/A</v>
      </c>
      <c r="U45" s="466" t="e">
        <f t="shared" ca="1" si="18"/>
        <v>#DIV/0!</v>
      </c>
      <c r="V45" s="476" t="e">
        <f t="shared" ca="1" si="30"/>
        <v>#N/A</v>
      </c>
      <c r="W45" s="476" t="e">
        <f t="shared" ca="1" si="30"/>
        <v>#N/A</v>
      </c>
      <c r="X45" s="468" t="e">
        <f t="shared" ca="1" si="9"/>
        <v>#DIV/0!</v>
      </c>
      <c r="Y45" s="476">
        <f t="shared" si="31"/>
        <v>9.0000000000000002E-6</v>
      </c>
      <c r="Z45" s="476" t="e">
        <f t="shared" ca="1" si="31"/>
        <v>#DIV/0!</v>
      </c>
      <c r="AA45" s="470" t="e">
        <f t="shared" ca="1" si="28"/>
        <v>#N/A</v>
      </c>
      <c r="AB45" s="471" t="e">
        <f t="shared" ca="1" si="10"/>
        <v>#DIV/0!</v>
      </c>
      <c r="AC45" s="476" t="e">
        <f t="shared" si="32"/>
        <v>#DIV/0!</v>
      </c>
      <c r="AD45" s="454" t="str">
        <f t="shared" si="32"/>
        <v>기체</v>
      </c>
      <c r="AE45" s="469" t="e">
        <f t="shared" ca="1" si="11"/>
        <v>#DIV/0!</v>
      </c>
      <c r="AF45" s="476">
        <f t="shared" si="22"/>
        <v>0.03</v>
      </c>
      <c r="AG45" s="473" t="e">
        <f t="shared" ca="1" si="23"/>
        <v>#DIV/0!</v>
      </c>
      <c r="AH45" s="473" t="e">
        <f t="shared" ca="1" si="24"/>
        <v>#DIV/0!</v>
      </c>
      <c r="AI45" s="449" t="e">
        <f t="shared" si="25"/>
        <v>#N/A</v>
      </c>
      <c r="AJ45" s="474" t="e">
        <f t="shared" ca="1" si="26"/>
        <v>#DIV/0!</v>
      </c>
      <c r="AK45" s="64"/>
      <c r="AL45" s="65">
        <f>Pressure_2_R1!A96</f>
        <v>0</v>
      </c>
      <c r="AM45" s="475">
        <f>Pressure_2_R1!B96</f>
        <v>0</v>
      </c>
      <c r="AN45" s="475">
        <f>Pressure_2_R1!C96</f>
        <v>0</v>
      </c>
      <c r="AO45" s="475">
        <f>Pressure_2_R1!D96</f>
        <v>0</v>
      </c>
      <c r="AP45" s="475">
        <f>Pressure_2_R1!E96</f>
        <v>0</v>
      </c>
      <c r="AQ45" s="475">
        <f>Pressure_2_R1!F96</f>
        <v>0</v>
      </c>
      <c r="AR45" s="475">
        <f>Pressure_2_R1!G96</f>
        <v>0</v>
      </c>
      <c r="AS45" s="475">
        <f>Pressure_2_R1!H96</f>
        <v>0</v>
      </c>
      <c r="AT45" s="475">
        <f>Pressure_2_R1!I96</f>
        <v>0</v>
      </c>
      <c r="AU45" s="475">
        <f>Pressure_2_R1!J96</f>
        <v>0</v>
      </c>
      <c r="AV45" s="475">
        <f>Pressure_2_R1!K96</f>
        <v>0</v>
      </c>
      <c r="AW45" s="475">
        <f>Pressure_2_R1!L96</f>
        <v>0</v>
      </c>
      <c r="AX45" s="475">
        <f>Pressure_2_R1!M96</f>
        <v>0</v>
      </c>
      <c r="AY45" s="475">
        <f>Pressure_2_R1!N96</f>
        <v>0</v>
      </c>
      <c r="AZ45" s="475">
        <f>Pressure_2_R1!O96</f>
        <v>0</v>
      </c>
      <c r="BA45" s="66">
        <f>Pressure_2_R1!P96</f>
        <v>0</v>
      </c>
    </row>
    <row r="46" spans="2:53" ht="15" customHeight="1">
      <c r="B46" s="433">
        <f t="shared" si="33"/>
        <v>0</v>
      </c>
      <c r="C46" s="416" t="str">
        <f>IFERROR(표준압력!F31,"")</f>
        <v/>
      </c>
      <c r="D46" s="440">
        <f>표준압력!G31</f>
        <v>0</v>
      </c>
      <c r="E46" s="418" t="str">
        <f t="shared" si="12"/>
        <v/>
      </c>
      <c r="F46" s="453" t="e">
        <f t="shared" ca="1" si="33"/>
        <v>#N/A</v>
      </c>
      <c r="G46" s="454" t="e">
        <f t="shared" ca="1" si="33"/>
        <v>#VALUE!</v>
      </c>
      <c r="H46" s="463" t="e">
        <f t="shared" ca="1" si="13"/>
        <v>#N/A</v>
      </c>
      <c r="I46" s="430" t="s">
        <v>749</v>
      </c>
      <c r="J46" s="391">
        <f t="shared" si="14"/>
        <v>1</v>
      </c>
      <c r="K46" s="448" t="e">
        <f t="shared" ca="1" si="15"/>
        <v>#N/A</v>
      </c>
      <c r="L46" s="454">
        <f t="shared" si="16"/>
        <v>0</v>
      </c>
      <c r="N46" s="391">
        <f t="shared" si="8"/>
        <v>0</v>
      </c>
      <c r="O46" s="476">
        <f t="shared" si="29"/>
        <v>9.7989820000000005</v>
      </c>
      <c r="P46" s="476" t="e">
        <f t="shared" si="29"/>
        <v>#DIV/0!</v>
      </c>
      <c r="Q46" s="476">
        <f t="shared" si="29"/>
        <v>8000</v>
      </c>
      <c r="R46" s="476">
        <f t="shared" si="29"/>
        <v>1</v>
      </c>
      <c r="S46" s="476">
        <f t="shared" si="29"/>
        <v>0</v>
      </c>
      <c r="T46" s="476" t="e">
        <f t="shared" ca="1" si="29"/>
        <v>#N/A</v>
      </c>
      <c r="U46" s="466" t="e">
        <f t="shared" ca="1" si="18"/>
        <v>#DIV/0!</v>
      </c>
      <c r="V46" s="476" t="e">
        <f t="shared" ca="1" si="30"/>
        <v>#N/A</v>
      </c>
      <c r="W46" s="476" t="e">
        <f t="shared" ca="1" si="30"/>
        <v>#N/A</v>
      </c>
      <c r="X46" s="468" t="e">
        <f t="shared" ca="1" si="9"/>
        <v>#DIV/0!</v>
      </c>
      <c r="Y46" s="476">
        <f t="shared" si="31"/>
        <v>9.0000000000000002E-6</v>
      </c>
      <c r="Z46" s="476" t="e">
        <f t="shared" ca="1" si="31"/>
        <v>#DIV/0!</v>
      </c>
      <c r="AA46" s="470" t="e">
        <f t="shared" ca="1" si="28"/>
        <v>#N/A</v>
      </c>
      <c r="AB46" s="471" t="e">
        <f t="shared" ca="1" si="10"/>
        <v>#DIV/0!</v>
      </c>
      <c r="AC46" s="476" t="e">
        <f t="shared" si="32"/>
        <v>#DIV/0!</v>
      </c>
      <c r="AD46" s="454" t="str">
        <f t="shared" si="32"/>
        <v>기체</v>
      </c>
      <c r="AE46" s="469" t="e">
        <f t="shared" ca="1" si="11"/>
        <v>#DIV/0!</v>
      </c>
      <c r="AF46" s="476">
        <f t="shared" si="22"/>
        <v>0.03</v>
      </c>
      <c r="AG46" s="473" t="e">
        <f t="shared" ca="1" si="23"/>
        <v>#DIV/0!</v>
      </c>
      <c r="AH46" s="473" t="e">
        <f t="shared" ca="1" si="24"/>
        <v>#DIV/0!</v>
      </c>
      <c r="AI46" s="449" t="e">
        <f t="shared" si="25"/>
        <v>#N/A</v>
      </c>
      <c r="AJ46" s="474" t="e">
        <f t="shared" ca="1" si="26"/>
        <v>#DIV/0!</v>
      </c>
      <c r="AK46" s="64"/>
      <c r="AL46" s="67">
        <f>Pressure_2_R1!A97</f>
        <v>0</v>
      </c>
      <c r="AM46" s="477">
        <f>Pressure_2_R1!B97</f>
        <v>0</v>
      </c>
      <c r="AN46" s="477">
        <f>Pressure_2_R1!C97</f>
        <v>0</v>
      </c>
      <c r="AO46" s="477">
        <f>Pressure_2_R1!D97</f>
        <v>0</v>
      </c>
      <c r="AP46" s="477">
        <f>Pressure_2_R1!E97</f>
        <v>0</v>
      </c>
      <c r="AQ46" s="477">
        <f>Pressure_2_R1!F97</f>
        <v>0</v>
      </c>
      <c r="AR46" s="477">
        <f>Pressure_2_R1!G97</f>
        <v>0</v>
      </c>
      <c r="AS46" s="477">
        <f>Pressure_2_R1!H97</f>
        <v>0</v>
      </c>
      <c r="AT46" s="477">
        <f>Pressure_2_R1!I97</f>
        <v>0</v>
      </c>
      <c r="AU46" s="477">
        <f>Pressure_2_R1!J97</f>
        <v>0</v>
      </c>
      <c r="AV46" s="477">
        <f>Pressure_2_R1!K97</f>
        <v>0</v>
      </c>
      <c r="AW46" s="477">
        <f>Pressure_2_R1!L97</f>
        <v>0</v>
      </c>
      <c r="AX46" s="477">
        <f>Pressure_2_R1!M97</f>
        <v>0</v>
      </c>
      <c r="AY46" s="477">
        <f>Pressure_2_R1!N97</f>
        <v>0</v>
      </c>
      <c r="AZ46" s="477">
        <f>Pressure_2_R1!O97</f>
        <v>0</v>
      </c>
      <c r="BA46" s="68">
        <f>Pressure_2_R1!P97</f>
        <v>0</v>
      </c>
    </row>
    <row r="47" spans="2:53" ht="15" customHeight="1">
      <c r="B47" s="433">
        <f t="shared" si="33"/>
        <v>0</v>
      </c>
      <c r="C47" s="416" t="str">
        <f>IFERROR(표준압력!F32,"")</f>
        <v/>
      </c>
      <c r="D47" s="440">
        <f>표준압력!G32</f>
        <v>0</v>
      </c>
      <c r="E47" s="418" t="str">
        <f t="shared" si="12"/>
        <v/>
      </c>
      <c r="F47" s="453" t="e">
        <f t="shared" ca="1" si="33"/>
        <v>#N/A</v>
      </c>
      <c r="G47" s="454" t="e">
        <f t="shared" ca="1" si="33"/>
        <v>#VALUE!</v>
      </c>
      <c r="H47" s="463" t="e">
        <f t="shared" ca="1" si="13"/>
        <v>#N/A</v>
      </c>
      <c r="I47" s="430" t="s">
        <v>749</v>
      </c>
      <c r="J47" s="391">
        <f t="shared" si="14"/>
        <v>1</v>
      </c>
      <c r="K47" s="448" t="e">
        <f t="shared" ca="1" si="15"/>
        <v>#N/A</v>
      </c>
      <c r="L47" s="454">
        <f t="shared" si="16"/>
        <v>0</v>
      </c>
      <c r="N47" s="391">
        <f t="shared" si="8"/>
        <v>0</v>
      </c>
      <c r="O47" s="476">
        <f t="shared" si="29"/>
        <v>9.7989820000000005</v>
      </c>
      <c r="P47" s="476" t="e">
        <f t="shared" si="29"/>
        <v>#DIV/0!</v>
      </c>
      <c r="Q47" s="476">
        <f t="shared" si="29"/>
        <v>8000</v>
      </c>
      <c r="R47" s="476">
        <f t="shared" si="29"/>
        <v>1</v>
      </c>
      <c r="S47" s="476">
        <f t="shared" si="29"/>
        <v>0</v>
      </c>
      <c r="T47" s="476" t="e">
        <f t="shared" ca="1" si="29"/>
        <v>#N/A</v>
      </c>
      <c r="U47" s="466" t="e">
        <f t="shared" ca="1" si="18"/>
        <v>#DIV/0!</v>
      </c>
      <c r="V47" s="476" t="e">
        <f t="shared" ca="1" si="30"/>
        <v>#N/A</v>
      </c>
      <c r="W47" s="476" t="e">
        <f t="shared" ca="1" si="30"/>
        <v>#N/A</v>
      </c>
      <c r="X47" s="468" t="e">
        <f t="shared" ca="1" si="9"/>
        <v>#DIV/0!</v>
      </c>
      <c r="Y47" s="476">
        <f t="shared" si="31"/>
        <v>9.0000000000000002E-6</v>
      </c>
      <c r="Z47" s="476" t="e">
        <f t="shared" ca="1" si="31"/>
        <v>#DIV/0!</v>
      </c>
      <c r="AA47" s="470" t="e">
        <f t="shared" ca="1" si="28"/>
        <v>#N/A</v>
      </c>
      <c r="AB47" s="471" t="e">
        <f t="shared" ca="1" si="10"/>
        <v>#DIV/0!</v>
      </c>
      <c r="AC47" s="476" t="e">
        <f t="shared" si="32"/>
        <v>#DIV/0!</v>
      </c>
      <c r="AD47" s="454" t="str">
        <f t="shared" si="32"/>
        <v>기체</v>
      </c>
      <c r="AE47" s="469" t="e">
        <f t="shared" ca="1" si="11"/>
        <v>#DIV/0!</v>
      </c>
      <c r="AF47" s="476">
        <f t="shared" si="22"/>
        <v>0.03</v>
      </c>
      <c r="AG47" s="473" t="e">
        <f t="shared" ca="1" si="23"/>
        <v>#DIV/0!</v>
      </c>
      <c r="AH47" s="473" t="e">
        <f t="shared" ca="1" si="24"/>
        <v>#DIV/0!</v>
      </c>
      <c r="AI47" s="449" t="e">
        <f t="shared" si="25"/>
        <v>#N/A</v>
      </c>
      <c r="AJ47" s="474" t="e">
        <f t="shared" ca="1" si="26"/>
        <v>#DIV/0!</v>
      </c>
      <c r="AK47" s="64"/>
      <c r="AL47" s="65">
        <f>Pressure_2_R1!A98</f>
        <v>0</v>
      </c>
      <c r="AM47" s="475">
        <f>Pressure_2_R1!B98</f>
        <v>0</v>
      </c>
      <c r="AN47" s="475">
        <f>Pressure_2_R1!C98</f>
        <v>0</v>
      </c>
      <c r="AO47" s="475">
        <f>Pressure_2_R1!D98</f>
        <v>0</v>
      </c>
      <c r="AP47" s="475">
        <f>Pressure_2_R1!E98</f>
        <v>0</v>
      </c>
      <c r="AQ47" s="475">
        <f>Pressure_2_R1!F98</f>
        <v>0</v>
      </c>
      <c r="AR47" s="475">
        <f>Pressure_2_R1!G98</f>
        <v>0</v>
      </c>
      <c r="AS47" s="475">
        <f>Pressure_2_R1!H98</f>
        <v>0</v>
      </c>
      <c r="AT47" s="475">
        <f>Pressure_2_R1!I98</f>
        <v>0</v>
      </c>
      <c r="AU47" s="475">
        <f>Pressure_2_R1!J98</f>
        <v>0</v>
      </c>
      <c r="AV47" s="475">
        <f>Pressure_2_R1!K98</f>
        <v>0</v>
      </c>
      <c r="AW47" s="475">
        <f>Pressure_2_R1!L98</f>
        <v>0</v>
      </c>
      <c r="AX47" s="475">
        <f>Pressure_2_R1!M98</f>
        <v>0</v>
      </c>
      <c r="AY47" s="475">
        <f>Pressure_2_R1!N98</f>
        <v>0</v>
      </c>
      <c r="AZ47" s="475">
        <f>Pressure_2_R1!O98</f>
        <v>0</v>
      </c>
      <c r="BA47" s="66">
        <f>Pressure_2_R1!P98</f>
        <v>0</v>
      </c>
    </row>
    <row r="48" spans="2:53" ht="15" customHeight="1" thickBot="1">
      <c r="B48" s="433">
        <f t="shared" si="33"/>
        <v>0</v>
      </c>
      <c r="C48" s="416" t="str">
        <f>IFERROR(표준압력!F33,"")</f>
        <v/>
      </c>
      <c r="D48" s="440">
        <f>표준압력!G33</f>
        <v>0</v>
      </c>
      <c r="E48" s="418" t="str">
        <f t="shared" si="12"/>
        <v/>
      </c>
      <c r="F48" s="453" t="e">
        <f t="shared" ca="1" si="33"/>
        <v>#N/A</v>
      </c>
      <c r="G48" s="454" t="e">
        <f t="shared" ca="1" si="33"/>
        <v>#VALUE!</v>
      </c>
      <c r="H48" s="463" t="e">
        <f t="shared" ca="1" si="13"/>
        <v>#N/A</v>
      </c>
      <c r="I48" s="430" t="s">
        <v>749</v>
      </c>
      <c r="J48" s="391">
        <f t="shared" si="14"/>
        <v>1</v>
      </c>
      <c r="K48" s="448" t="e">
        <f t="shared" ca="1" si="15"/>
        <v>#N/A</v>
      </c>
      <c r="L48" s="454">
        <f t="shared" si="16"/>
        <v>0</v>
      </c>
      <c r="N48" s="391">
        <f t="shared" si="8"/>
        <v>0</v>
      </c>
      <c r="O48" s="476">
        <f t="shared" si="29"/>
        <v>9.7989820000000005</v>
      </c>
      <c r="P48" s="476" t="e">
        <f t="shared" si="29"/>
        <v>#DIV/0!</v>
      </c>
      <c r="Q48" s="476">
        <f t="shared" si="29"/>
        <v>8000</v>
      </c>
      <c r="R48" s="476">
        <f t="shared" si="29"/>
        <v>1</v>
      </c>
      <c r="S48" s="476">
        <f t="shared" si="29"/>
        <v>0</v>
      </c>
      <c r="T48" s="476" t="e">
        <f t="shared" ca="1" si="29"/>
        <v>#N/A</v>
      </c>
      <c r="U48" s="466" t="e">
        <f t="shared" ca="1" si="18"/>
        <v>#DIV/0!</v>
      </c>
      <c r="V48" s="476" t="e">
        <f t="shared" ca="1" si="30"/>
        <v>#N/A</v>
      </c>
      <c r="W48" s="476" t="e">
        <f t="shared" ca="1" si="30"/>
        <v>#N/A</v>
      </c>
      <c r="X48" s="468" t="e">
        <f t="shared" ca="1" si="9"/>
        <v>#DIV/0!</v>
      </c>
      <c r="Y48" s="476">
        <f t="shared" si="31"/>
        <v>9.0000000000000002E-6</v>
      </c>
      <c r="Z48" s="476" t="e">
        <f t="shared" ca="1" si="31"/>
        <v>#DIV/0!</v>
      </c>
      <c r="AA48" s="470" t="e">
        <f t="shared" ca="1" si="28"/>
        <v>#N/A</v>
      </c>
      <c r="AB48" s="471" t="e">
        <f t="shared" ca="1" si="10"/>
        <v>#DIV/0!</v>
      </c>
      <c r="AC48" s="476" t="e">
        <f t="shared" si="32"/>
        <v>#DIV/0!</v>
      </c>
      <c r="AD48" s="454" t="str">
        <f t="shared" si="32"/>
        <v>기체</v>
      </c>
      <c r="AE48" s="469" t="e">
        <f t="shared" ca="1" si="11"/>
        <v>#DIV/0!</v>
      </c>
      <c r="AF48" s="476">
        <f t="shared" si="22"/>
        <v>0.03</v>
      </c>
      <c r="AG48" s="473" t="e">
        <f t="shared" ca="1" si="23"/>
        <v>#DIV/0!</v>
      </c>
      <c r="AH48" s="473" t="e">
        <f t="shared" ca="1" si="24"/>
        <v>#DIV/0!</v>
      </c>
      <c r="AI48" s="449" t="e">
        <f t="shared" si="25"/>
        <v>#N/A</v>
      </c>
      <c r="AJ48" s="474" t="e">
        <f t="shared" ca="1" si="26"/>
        <v>#DIV/0!</v>
      </c>
      <c r="AK48" s="64"/>
      <c r="AL48" s="69">
        <f>Pressure_2_R1!A99</f>
        <v>0</v>
      </c>
      <c r="AM48" s="70">
        <f>Pressure_2_R1!B99</f>
        <v>0</v>
      </c>
      <c r="AN48" s="70">
        <f>Pressure_2_R1!C99</f>
        <v>0</v>
      </c>
      <c r="AO48" s="70">
        <f>Pressure_2_R1!D99</f>
        <v>0</v>
      </c>
      <c r="AP48" s="70">
        <f>Pressure_2_R1!E99</f>
        <v>0</v>
      </c>
      <c r="AQ48" s="70">
        <f>Pressure_2_R1!F99</f>
        <v>0</v>
      </c>
      <c r="AR48" s="70">
        <f>Pressure_2_R1!G99</f>
        <v>0</v>
      </c>
      <c r="AS48" s="70">
        <f>Pressure_2_R1!H99</f>
        <v>0</v>
      </c>
      <c r="AT48" s="70">
        <f>Pressure_2_R1!I99</f>
        <v>0</v>
      </c>
      <c r="AU48" s="70">
        <f>Pressure_2_R1!J99</f>
        <v>0</v>
      </c>
      <c r="AV48" s="70">
        <f>Pressure_2_R1!K99</f>
        <v>0</v>
      </c>
      <c r="AW48" s="70">
        <f>Pressure_2_R1!L99</f>
        <v>0</v>
      </c>
      <c r="AX48" s="70">
        <f>Pressure_2_R1!M99</f>
        <v>0</v>
      </c>
      <c r="AY48" s="70">
        <f>Pressure_2_R1!N99</f>
        <v>0</v>
      </c>
      <c r="AZ48" s="70">
        <f>Pressure_2_R1!O99</f>
        <v>0</v>
      </c>
      <c r="BA48" s="71">
        <f>Pressure_2_R1!P99</f>
        <v>0</v>
      </c>
    </row>
    <row r="49" spans="1:23" s="64" customFormat="1" ht="15" customHeight="1"/>
    <row r="50" spans="1:23" s="64" customFormat="1" ht="15" customHeight="1">
      <c r="B50" s="225" t="s">
        <v>210</v>
      </c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</row>
    <row r="51" spans="1:23" s="64" customFormat="1" ht="15" customHeight="1">
      <c r="A51" s="44"/>
      <c r="B51" s="409" t="s">
        <v>211</v>
      </c>
      <c r="C51" s="478" t="s">
        <v>212</v>
      </c>
      <c r="D51" s="478" t="s">
        <v>213</v>
      </c>
      <c r="E51" s="478" t="s">
        <v>214</v>
      </c>
      <c r="F51" s="478" t="s">
        <v>215</v>
      </c>
      <c r="G51" s="478" t="s">
        <v>213</v>
      </c>
      <c r="H51" s="478" t="s">
        <v>214</v>
      </c>
      <c r="I51" s="911" t="s">
        <v>216</v>
      </c>
      <c r="J51" s="912"/>
      <c r="K51" s="478" t="s">
        <v>217</v>
      </c>
      <c r="L51" s="478" t="s">
        <v>214</v>
      </c>
      <c r="M51" s="911" t="s">
        <v>218</v>
      </c>
      <c r="N51" s="912"/>
      <c r="O51" s="478" t="s">
        <v>214</v>
      </c>
      <c r="P51" s="478" t="s">
        <v>219</v>
      </c>
      <c r="Q51" s="478" t="s">
        <v>220</v>
      </c>
      <c r="R51" s="478" t="s">
        <v>221</v>
      </c>
      <c r="S51" s="479" t="s">
        <v>222</v>
      </c>
      <c r="T51" s="44"/>
      <c r="U51" s="480" t="s">
        <v>286</v>
      </c>
      <c r="V51" s="481" t="e">
        <f ca="1">SUM(S52:S66)</f>
        <v>#N/A</v>
      </c>
    </row>
    <row r="52" spans="1:23" s="64" customFormat="1" ht="15" customHeight="1">
      <c r="A52" s="44"/>
      <c r="B52" s="89" t="s">
        <v>223</v>
      </c>
      <c r="C52" s="482" t="s">
        <v>224</v>
      </c>
      <c r="D52" s="483" t="e">
        <f ca="1">G15</f>
        <v>#N/A</v>
      </c>
      <c r="E52" s="484" t="s">
        <v>225</v>
      </c>
      <c r="F52" s="482" t="s">
        <v>226</v>
      </c>
      <c r="G52" s="485" t="e">
        <f ca="1">D52*J15%</f>
        <v>#N/A</v>
      </c>
      <c r="H52" s="484"/>
      <c r="I52" s="486" t="s">
        <v>227</v>
      </c>
      <c r="J52" s="487">
        <v>2</v>
      </c>
      <c r="K52" s="488" t="e">
        <f t="shared" ref="K52:K66" ca="1" si="34">G52/J52</f>
        <v>#N/A</v>
      </c>
      <c r="L52" s="484" t="s">
        <v>225</v>
      </c>
      <c r="M52" s="482" t="s">
        <v>228</v>
      </c>
      <c r="N52" s="488" t="e">
        <f ca="1">1/D52</f>
        <v>#N/A</v>
      </c>
      <c r="O52" s="484" t="s">
        <v>229</v>
      </c>
      <c r="P52" s="488" t="e">
        <f t="shared" ref="P52:P66" ca="1" si="35">K52*N52</f>
        <v>#N/A</v>
      </c>
      <c r="Q52" s="484">
        <v>13</v>
      </c>
      <c r="R52" s="489">
        <f t="shared" ref="R52:R66" si="36">1/2*(100/Q52)^2</f>
        <v>29.585798816568047</v>
      </c>
      <c r="S52" s="490" t="e">
        <f t="shared" ref="S52:S66" ca="1" si="37">P52^4/R52</f>
        <v>#N/A</v>
      </c>
      <c r="T52" s="44"/>
      <c r="U52" s="90" t="s">
        <v>285</v>
      </c>
      <c r="V52" s="491" t="e">
        <f ca="1">SQRT(SUMSQ(P52:P66))</f>
        <v>#N/A</v>
      </c>
    </row>
    <row r="53" spans="1:23" s="64" customFormat="1" ht="15" customHeight="1">
      <c r="A53" s="44"/>
      <c r="B53" s="89" t="s">
        <v>230</v>
      </c>
      <c r="C53" s="492" t="s">
        <v>231</v>
      </c>
      <c r="D53" s="493" t="e">
        <f ca="1">O$3-I15</f>
        <v>#DIV/0!</v>
      </c>
      <c r="E53" s="481" t="s">
        <v>108</v>
      </c>
      <c r="F53" s="484" t="s">
        <v>232</v>
      </c>
      <c r="G53" s="494">
        <v>0.5</v>
      </c>
      <c r="H53" s="481" t="s">
        <v>108</v>
      </c>
      <c r="I53" s="490" t="s">
        <v>233</v>
      </c>
      <c r="J53" s="487">
        <f>SQRT(3)</f>
        <v>1.7320508075688772</v>
      </c>
      <c r="K53" s="488">
        <f t="shared" si="34"/>
        <v>0.28867513459481292</v>
      </c>
      <c r="L53" s="481" t="s">
        <v>108</v>
      </c>
      <c r="M53" s="492" t="s">
        <v>234</v>
      </c>
      <c r="N53" s="488">
        <f>D54</f>
        <v>9.0000000000000002E-6</v>
      </c>
      <c r="O53" s="481" t="s">
        <v>235</v>
      </c>
      <c r="P53" s="488">
        <f t="shared" si="35"/>
        <v>2.5980762113533164E-6</v>
      </c>
      <c r="Q53" s="481">
        <v>10</v>
      </c>
      <c r="R53" s="489">
        <f t="shared" si="36"/>
        <v>50</v>
      </c>
      <c r="S53" s="490">
        <f t="shared" si="37"/>
        <v>9.1125000000000059E-25</v>
      </c>
      <c r="T53" s="44"/>
      <c r="U53" s="90" t="s">
        <v>287</v>
      </c>
      <c r="V53" s="495" t="e">
        <f ca="1">V52^4/V51</f>
        <v>#N/A</v>
      </c>
    </row>
    <row r="54" spans="1:23" s="64" customFormat="1" ht="15" customHeight="1">
      <c r="A54" s="44"/>
      <c r="B54" s="89" t="s">
        <v>236</v>
      </c>
      <c r="C54" s="492" t="s">
        <v>234</v>
      </c>
      <c r="D54" s="496">
        <v>9.0000000000000002E-6</v>
      </c>
      <c r="E54" s="481" t="s">
        <v>235</v>
      </c>
      <c r="F54" s="497">
        <v>0.1</v>
      </c>
      <c r="G54" s="488">
        <f>D54*F54</f>
        <v>9.0000000000000007E-7</v>
      </c>
      <c r="H54" s="481" t="s">
        <v>235</v>
      </c>
      <c r="I54" s="490" t="s">
        <v>233</v>
      </c>
      <c r="J54" s="487">
        <f>SQRT(3)</f>
        <v>1.7320508075688772</v>
      </c>
      <c r="K54" s="488">
        <f t="shared" si="34"/>
        <v>5.1961524227066323E-7</v>
      </c>
      <c r="L54" s="481" t="s">
        <v>235</v>
      </c>
      <c r="M54" s="492" t="s">
        <v>231</v>
      </c>
      <c r="N54" s="498" t="e">
        <f ca="1">D53</f>
        <v>#DIV/0!</v>
      </c>
      <c r="O54" s="481" t="s">
        <v>108</v>
      </c>
      <c r="P54" s="488" t="e">
        <f t="shared" ca="1" si="35"/>
        <v>#DIV/0!</v>
      </c>
      <c r="Q54" s="481">
        <v>20</v>
      </c>
      <c r="R54" s="499">
        <f t="shared" si="36"/>
        <v>12.5</v>
      </c>
      <c r="S54" s="490" t="e">
        <f t="shared" ca="1" si="37"/>
        <v>#DIV/0!</v>
      </c>
      <c r="T54" s="44"/>
      <c r="U54" s="90" t="s">
        <v>227</v>
      </c>
      <c r="V54" s="500" t="e">
        <f ca="1">1.95996+2.37356/V53+2.818745/V53^2+2.546662/V53^3+1.761829/V53^4+0.245458/V53^5+1.000764/V53^6</f>
        <v>#N/A</v>
      </c>
      <c r="W54" s="79"/>
    </row>
    <row r="55" spans="1:23" s="64" customFormat="1" ht="15" customHeight="1">
      <c r="A55" s="44"/>
      <c r="B55" s="89" t="s">
        <v>237</v>
      </c>
      <c r="C55" s="482" t="s">
        <v>238</v>
      </c>
      <c r="D55" s="501">
        <v>9.7989820000000005</v>
      </c>
      <c r="E55" s="502" t="s">
        <v>239</v>
      </c>
      <c r="F55" s="503" t="s">
        <v>226</v>
      </c>
      <c r="G55" s="488">
        <f>0.0002/100</f>
        <v>1.9999999999999999E-6</v>
      </c>
      <c r="H55" s="502" t="s">
        <v>239</v>
      </c>
      <c r="I55" s="486" t="s">
        <v>227</v>
      </c>
      <c r="J55" s="487">
        <v>2</v>
      </c>
      <c r="K55" s="488">
        <f t="shared" si="34"/>
        <v>9.9999999999999995E-7</v>
      </c>
      <c r="L55" s="502" t="s">
        <v>239</v>
      </c>
      <c r="M55" s="492" t="s">
        <v>240</v>
      </c>
      <c r="N55" s="498">
        <f>1/D55</f>
        <v>0.1020514171778252</v>
      </c>
      <c r="O55" s="502" t="s">
        <v>241</v>
      </c>
      <c r="P55" s="488">
        <f t="shared" si="35"/>
        <v>1.0205141717782521E-7</v>
      </c>
      <c r="Q55" s="481">
        <v>10</v>
      </c>
      <c r="R55" s="489">
        <f t="shared" si="36"/>
        <v>50</v>
      </c>
      <c r="S55" s="490">
        <f t="shared" si="37"/>
        <v>2.1692327673842511E-30</v>
      </c>
      <c r="T55" s="44"/>
      <c r="U55" s="90" t="s">
        <v>288</v>
      </c>
      <c r="V55" s="504" t="e">
        <f ca="1">V52*V54*100</f>
        <v>#N/A</v>
      </c>
      <c r="W55" s="505" t="s">
        <v>289</v>
      </c>
    </row>
    <row r="56" spans="1:23" s="64" customFormat="1" ht="15" customHeight="1">
      <c r="A56" s="44"/>
      <c r="B56" s="89" t="s">
        <v>242</v>
      </c>
      <c r="C56" s="482" t="s">
        <v>243</v>
      </c>
      <c r="D56" s="506">
        <v>5</v>
      </c>
      <c r="E56" s="502" t="s">
        <v>244</v>
      </c>
      <c r="F56" s="497" t="s">
        <v>245</v>
      </c>
      <c r="G56" s="488">
        <f>RADIANS(D56/60)</f>
        <v>1.454441043328608E-3</v>
      </c>
      <c r="H56" s="502"/>
      <c r="I56" s="490" t="s">
        <v>233</v>
      </c>
      <c r="J56" s="487">
        <f>SQRT(3)</f>
        <v>1.7320508075688772</v>
      </c>
      <c r="K56" s="488">
        <f t="shared" si="34"/>
        <v>8.3972192788621196E-4</v>
      </c>
      <c r="L56" s="502"/>
      <c r="M56" s="482" t="s">
        <v>246</v>
      </c>
      <c r="N56" s="488">
        <f>TAN(G56)</f>
        <v>1.45444206890373E-3</v>
      </c>
      <c r="O56" s="502"/>
      <c r="P56" s="488">
        <f t="shared" si="35"/>
        <v>1.2213268980986508E-6</v>
      </c>
      <c r="Q56" s="481">
        <v>30</v>
      </c>
      <c r="R56" s="489">
        <f t="shared" si="36"/>
        <v>5.5555555555555562</v>
      </c>
      <c r="S56" s="490">
        <f t="shared" si="37"/>
        <v>4.0049785364825227E-25</v>
      </c>
      <c r="T56" s="44"/>
      <c r="U56" s="507" t="s">
        <v>750</v>
      </c>
      <c r="V56" s="481" t="e">
        <f ca="1">OFFSET(R$3,COUNTIF(Q$4:Q$10,"&lt;="&amp;V55),0)+1</f>
        <v>#VALUE!</v>
      </c>
    </row>
    <row r="57" spans="1:23" s="64" customFormat="1" ht="15" customHeight="1">
      <c r="A57" s="44"/>
      <c r="B57" s="89" t="s">
        <v>247</v>
      </c>
      <c r="C57" s="482" t="s">
        <v>248</v>
      </c>
      <c r="D57" s="506">
        <f>IF(MAX(E19:E48)&lt;=L$8,50,10)</f>
        <v>50</v>
      </c>
      <c r="E57" s="502" t="s">
        <v>249</v>
      </c>
      <c r="F57" s="497"/>
      <c r="G57" s="488">
        <f>D57*10^-6</f>
        <v>4.9999999999999996E-5</v>
      </c>
      <c r="H57" s="502"/>
      <c r="I57" s="490" t="s">
        <v>233</v>
      </c>
      <c r="J57" s="487">
        <f>SQRT(3)</f>
        <v>1.7320508075688772</v>
      </c>
      <c r="K57" s="488">
        <f t="shared" si="34"/>
        <v>2.8867513459481286E-5</v>
      </c>
      <c r="L57" s="502"/>
      <c r="M57" s="482"/>
      <c r="N57" s="498">
        <v>1</v>
      </c>
      <c r="O57" s="502"/>
      <c r="P57" s="488">
        <f t="shared" si="35"/>
        <v>2.8867513459481286E-5</v>
      </c>
      <c r="Q57" s="481">
        <v>10</v>
      </c>
      <c r="R57" s="489">
        <f t="shared" si="36"/>
        <v>50</v>
      </c>
      <c r="S57" s="490">
        <f t="shared" si="37"/>
        <v>1.3888888888888882E-20</v>
      </c>
      <c r="T57" s="44"/>
    </row>
    <row r="58" spans="1:23" s="64" customFormat="1" ht="15" customHeight="1">
      <c r="A58" s="44"/>
      <c r="B58" s="89" t="s">
        <v>250</v>
      </c>
      <c r="C58" s="482" t="s">
        <v>251</v>
      </c>
      <c r="D58" s="483" t="e">
        <f ca="1">D61*D55/D52</f>
        <v>#N/A</v>
      </c>
      <c r="E58" s="502" t="s">
        <v>252</v>
      </c>
      <c r="F58" s="497" t="s">
        <v>253</v>
      </c>
      <c r="G58" s="485" t="e">
        <f ca="1">D58*(50*10^-6)</f>
        <v>#N/A</v>
      </c>
      <c r="H58" s="502" t="s">
        <v>252</v>
      </c>
      <c r="I58" s="490" t="s">
        <v>233</v>
      </c>
      <c r="J58" s="487">
        <f>SQRT(3)</f>
        <v>1.7320508075688772</v>
      </c>
      <c r="K58" s="488" t="e">
        <f t="shared" ca="1" si="34"/>
        <v>#N/A</v>
      </c>
      <c r="L58" s="502" t="s">
        <v>252</v>
      </c>
      <c r="M58" s="482" t="s">
        <v>254</v>
      </c>
      <c r="N58" s="485" t="e">
        <f ca="1">D59</f>
        <v>#N/A</v>
      </c>
      <c r="O58" s="502" t="s">
        <v>255</v>
      </c>
      <c r="P58" s="488" t="e">
        <f t="shared" ca="1" si="35"/>
        <v>#N/A</v>
      </c>
      <c r="Q58" s="481">
        <v>10</v>
      </c>
      <c r="R58" s="489">
        <f t="shared" si="36"/>
        <v>50</v>
      </c>
      <c r="S58" s="490" t="e">
        <f t="shared" ca="1" si="37"/>
        <v>#N/A</v>
      </c>
      <c r="T58" s="44"/>
    </row>
    <row r="59" spans="1:23" s="64" customFormat="1" ht="15" customHeight="1">
      <c r="A59" s="44"/>
      <c r="B59" s="89" t="s">
        <v>256</v>
      </c>
      <c r="C59" s="482" t="s">
        <v>254</v>
      </c>
      <c r="D59" s="483" t="e">
        <f ca="1">H15*10^-6</f>
        <v>#N/A</v>
      </c>
      <c r="E59" s="481" t="s">
        <v>255</v>
      </c>
      <c r="F59" s="497">
        <v>0.2</v>
      </c>
      <c r="G59" s="485" t="e">
        <f ca="1">D59*F59</f>
        <v>#N/A</v>
      </c>
      <c r="H59" s="481" t="s">
        <v>255</v>
      </c>
      <c r="I59" s="490" t="s">
        <v>233</v>
      </c>
      <c r="J59" s="487">
        <f>SQRT(3)</f>
        <v>1.7320508075688772</v>
      </c>
      <c r="K59" s="488" t="e">
        <f t="shared" ca="1" si="34"/>
        <v>#N/A</v>
      </c>
      <c r="L59" s="481" t="s">
        <v>255</v>
      </c>
      <c r="M59" s="482" t="s">
        <v>251</v>
      </c>
      <c r="N59" s="485" t="e">
        <f ca="1">D58</f>
        <v>#N/A</v>
      </c>
      <c r="O59" s="502" t="s">
        <v>252</v>
      </c>
      <c r="P59" s="488" t="e">
        <f t="shared" ca="1" si="35"/>
        <v>#N/A</v>
      </c>
      <c r="Q59" s="481">
        <v>10</v>
      </c>
      <c r="R59" s="489">
        <f t="shared" si="36"/>
        <v>50</v>
      </c>
      <c r="S59" s="490" t="e">
        <f t="shared" ca="1" si="37"/>
        <v>#N/A</v>
      </c>
      <c r="T59" s="44"/>
    </row>
    <row r="60" spans="1:23" s="64" customFormat="1" ht="15" customHeight="1">
      <c r="A60" s="44"/>
      <c r="B60" s="89" t="s">
        <v>109</v>
      </c>
      <c r="C60" s="482" t="s">
        <v>257</v>
      </c>
      <c r="D60" s="501" t="e">
        <f>O$5</f>
        <v>#DIV/0!</v>
      </c>
      <c r="E60" s="502" t="s">
        <v>110</v>
      </c>
      <c r="F60" s="502" t="s">
        <v>258</v>
      </c>
      <c r="G60" s="494">
        <v>0.05</v>
      </c>
      <c r="H60" s="502" t="s">
        <v>110</v>
      </c>
      <c r="I60" s="490" t="s">
        <v>233</v>
      </c>
      <c r="J60" s="487">
        <f>SQRT(3)</f>
        <v>1.7320508075688772</v>
      </c>
      <c r="K60" s="488">
        <f t="shared" si="34"/>
        <v>2.8867513459481291E-2</v>
      </c>
      <c r="L60" s="502" t="s">
        <v>110</v>
      </c>
      <c r="M60" s="482" t="s">
        <v>259</v>
      </c>
      <c r="N60" s="485">
        <f>1/D62</f>
        <v>1.25E-4</v>
      </c>
      <c r="O60" s="502" t="s">
        <v>260</v>
      </c>
      <c r="P60" s="488">
        <f t="shared" si="35"/>
        <v>3.6084391824351616E-6</v>
      </c>
      <c r="Q60" s="481">
        <v>10</v>
      </c>
      <c r="R60" s="489">
        <f t="shared" si="36"/>
        <v>50</v>
      </c>
      <c r="S60" s="490">
        <f t="shared" si="37"/>
        <v>3.3908420138888909E-24</v>
      </c>
      <c r="T60" s="44"/>
      <c r="U60" s="44"/>
      <c r="V60" s="44"/>
    </row>
    <row r="61" spans="1:23" s="64" customFormat="1" ht="15" customHeight="1">
      <c r="A61" s="44"/>
      <c r="B61" s="89" t="s">
        <v>261</v>
      </c>
      <c r="C61" s="482" t="s">
        <v>262</v>
      </c>
      <c r="D61" s="508">
        <f>MAX(N19:N48)</f>
        <v>0</v>
      </c>
      <c r="E61" s="502" t="s">
        <v>263</v>
      </c>
      <c r="F61" s="482" t="s">
        <v>226</v>
      </c>
      <c r="G61" s="509">
        <f>SUM(Pressure_2_R1!T38:T83)/10^6</f>
        <v>0</v>
      </c>
      <c r="H61" s="484" t="s">
        <v>263</v>
      </c>
      <c r="I61" s="486" t="s">
        <v>227</v>
      </c>
      <c r="J61" s="487">
        <v>2</v>
      </c>
      <c r="K61" s="488">
        <f t="shared" si="34"/>
        <v>0</v>
      </c>
      <c r="L61" s="502" t="s">
        <v>263</v>
      </c>
      <c r="M61" s="482" t="s">
        <v>264</v>
      </c>
      <c r="N61" s="485" t="e">
        <f>1/D61</f>
        <v>#DIV/0!</v>
      </c>
      <c r="O61" s="502" t="s">
        <v>265</v>
      </c>
      <c r="P61" s="488" t="e">
        <f t="shared" si="35"/>
        <v>#DIV/0!</v>
      </c>
      <c r="Q61" s="481">
        <v>13</v>
      </c>
      <c r="R61" s="489">
        <f t="shared" si="36"/>
        <v>29.585798816568047</v>
      </c>
      <c r="S61" s="490" t="e">
        <f t="shared" si="37"/>
        <v>#DIV/0!</v>
      </c>
      <c r="T61" s="44"/>
    </row>
    <row r="62" spans="1:23" s="64" customFormat="1" ht="15" customHeight="1">
      <c r="A62" s="44"/>
      <c r="B62" s="89" t="s">
        <v>266</v>
      </c>
      <c r="C62" s="482" t="s">
        <v>267</v>
      </c>
      <c r="D62" s="508">
        <f>Q19</f>
        <v>8000</v>
      </c>
      <c r="E62" s="502" t="s">
        <v>110</v>
      </c>
      <c r="F62" s="510">
        <v>0.05</v>
      </c>
      <c r="G62" s="485">
        <f>D62*F62</f>
        <v>400</v>
      </c>
      <c r="H62" s="502" t="s">
        <v>110</v>
      </c>
      <c r="I62" s="490" t="s">
        <v>233</v>
      </c>
      <c r="J62" s="487">
        <f>SQRT(3)</f>
        <v>1.7320508075688772</v>
      </c>
      <c r="K62" s="488">
        <f t="shared" si="34"/>
        <v>230.94010767585033</v>
      </c>
      <c r="L62" s="502" t="s">
        <v>110</v>
      </c>
      <c r="M62" s="482" t="s">
        <v>268</v>
      </c>
      <c r="N62" s="485" t="e">
        <f>D60/(D62^2)</f>
        <v>#DIV/0!</v>
      </c>
      <c r="O62" s="502" t="s">
        <v>260</v>
      </c>
      <c r="P62" s="488" t="e">
        <f t="shared" si="35"/>
        <v>#DIV/0!</v>
      </c>
      <c r="Q62" s="481">
        <v>10</v>
      </c>
      <c r="R62" s="489">
        <f t="shared" si="36"/>
        <v>50</v>
      </c>
      <c r="S62" s="490" t="e">
        <f t="shared" si="37"/>
        <v>#DIV/0!</v>
      </c>
      <c r="T62" s="44"/>
      <c r="U62" s="44"/>
      <c r="V62" s="44"/>
    </row>
    <row r="63" spans="1:23" s="64" customFormat="1" ht="15" customHeight="1">
      <c r="A63" s="44"/>
      <c r="B63" s="89" t="s">
        <v>269</v>
      </c>
      <c r="C63" s="492" t="s">
        <v>270</v>
      </c>
      <c r="D63" s="508" t="e">
        <f ca="1">MAX(AE19:AE48)</f>
        <v>#DIV/0!</v>
      </c>
      <c r="E63" s="502" t="s">
        <v>110</v>
      </c>
      <c r="F63" s="510">
        <v>0.01</v>
      </c>
      <c r="G63" s="498" t="e">
        <f ca="1">D63*F63</f>
        <v>#DIV/0!</v>
      </c>
      <c r="H63" s="502" t="s">
        <v>110</v>
      </c>
      <c r="I63" s="490" t="s">
        <v>233</v>
      </c>
      <c r="J63" s="487">
        <f>SQRT(3)</f>
        <v>1.7320508075688772</v>
      </c>
      <c r="K63" s="488" t="e">
        <f t="shared" ca="1" si="34"/>
        <v>#DIV/0!</v>
      </c>
      <c r="L63" s="502" t="s">
        <v>110</v>
      </c>
      <c r="M63" s="482" t="s">
        <v>271</v>
      </c>
      <c r="N63" s="511" t="e">
        <f ca="1">D55*D64/D58</f>
        <v>#N/A</v>
      </c>
      <c r="O63" s="502" t="s">
        <v>260</v>
      </c>
      <c r="P63" s="488" t="e">
        <f t="shared" ca="1" si="35"/>
        <v>#DIV/0!</v>
      </c>
      <c r="Q63" s="481">
        <v>20</v>
      </c>
      <c r="R63" s="499">
        <f t="shared" si="36"/>
        <v>12.5</v>
      </c>
      <c r="S63" s="490" t="e">
        <f t="shared" ca="1" si="37"/>
        <v>#DIV/0!</v>
      </c>
      <c r="T63" s="44"/>
      <c r="U63" s="44"/>
      <c r="V63" s="44"/>
    </row>
    <row r="64" spans="1:23" s="64" customFormat="1" ht="15" customHeight="1">
      <c r="A64" s="44"/>
      <c r="B64" s="89" t="s">
        <v>272</v>
      </c>
      <c r="C64" s="492" t="s">
        <v>273</v>
      </c>
      <c r="D64" s="512">
        <f>AF19</f>
        <v>0.03</v>
      </c>
      <c r="E64" s="502" t="s">
        <v>274</v>
      </c>
      <c r="F64" s="510"/>
      <c r="G64" s="498">
        <f>D64</f>
        <v>0.03</v>
      </c>
      <c r="H64" s="502" t="s">
        <v>274</v>
      </c>
      <c r="I64" s="490" t="s">
        <v>233</v>
      </c>
      <c r="J64" s="487">
        <f>SQRT(3)</f>
        <v>1.7320508075688772</v>
      </c>
      <c r="K64" s="488">
        <f t="shared" si="34"/>
        <v>1.7320508075688773E-2</v>
      </c>
      <c r="L64" s="502" t="s">
        <v>274</v>
      </c>
      <c r="M64" s="482" t="s">
        <v>275</v>
      </c>
      <c r="N64" s="485" t="e">
        <f ca="1">D55*D63/D58</f>
        <v>#DIV/0!</v>
      </c>
      <c r="O64" s="502" t="s">
        <v>276</v>
      </c>
      <c r="P64" s="488" t="e">
        <f t="shared" ca="1" si="35"/>
        <v>#DIV/0!</v>
      </c>
      <c r="Q64" s="481">
        <v>30</v>
      </c>
      <c r="R64" s="489">
        <f t="shared" si="36"/>
        <v>5.5555555555555562</v>
      </c>
      <c r="S64" s="490" t="e">
        <f t="shared" ca="1" si="37"/>
        <v>#DIV/0!</v>
      </c>
      <c r="T64" s="44"/>
      <c r="U64" s="44"/>
      <c r="V64" s="44"/>
    </row>
    <row r="65" spans="1:22" s="64" customFormat="1" ht="15" customHeight="1">
      <c r="A65" s="44"/>
      <c r="B65" s="89" t="s">
        <v>277</v>
      </c>
      <c r="C65" s="482" t="s">
        <v>278</v>
      </c>
      <c r="D65" s="513" t="e">
        <f ca="1">T19</f>
        <v>#N/A</v>
      </c>
      <c r="E65" s="502" t="s">
        <v>274</v>
      </c>
      <c r="F65" s="510">
        <v>0.1</v>
      </c>
      <c r="G65" s="498" t="e">
        <f ca="1">D65*F65</f>
        <v>#N/A</v>
      </c>
      <c r="H65" s="502" t="s">
        <v>274</v>
      </c>
      <c r="I65" s="490" t="s">
        <v>233</v>
      </c>
      <c r="J65" s="487">
        <f>SQRT(3)</f>
        <v>1.7320508075688772</v>
      </c>
      <c r="K65" s="488" t="e">
        <f t="shared" ca="1" si="34"/>
        <v>#N/A</v>
      </c>
      <c r="L65" s="502" t="s">
        <v>274</v>
      </c>
      <c r="M65" s="482" t="s">
        <v>279</v>
      </c>
      <c r="N65" s="485" t="e">
        <f>D66/D55/D61</f>
        <v>#DIV/0!</v>
      </c>
      <c r="O65" s="502" t="s">
        <v>276</v>
      </c>
      <c r="P65" s="488" t="e">
        <f t="shared" ca="1" si="35"/>
        <v>#N/A</v>
      </c>
      <c r="Q65" s="481">
        <v>10</v>
      </c>
      <c r="R65" s="489">
        <f t="shared" si="36"/>
        <v>50</v>
      </c>
      <c r="S65" s="490" t="e">
        <f t="shared" ca="1" si="37"/>
        <v>#N/A</v>
      </c>
      <c r="T65" s="44"/>
      <c r="U65" s="44"/>
      <c r="V65" s="44"/>
    </row>
    <row r="66" spans="1:22" s="64" customFormat="1" ht="15" customHeight="1">
      <c r="A66" s="44"/>
      <c r="B66" s="89" t="s">
        <v>280</v>
      </c>
      <c r="C66" s="482" t="s">
        <v>281</v>
      </c>
      <c r="D66" s="508">
        <f>S19</f>
        <v>0</v>
      </c>
      <c r="E66" s="502" t="s">
        <v>282</v>
      </c>
      <c r="F66" s="510">
        <v>0.1</v>
      </c>
      <c r="G66" s="498">
        <f>D66*F66</f>
        <v>0</v>
      </c>
      <c r="H66" s="502" t="s">
        <v>282</v>
      </c>
      <c r="I66" s="490" t="s">
        <v>233</v>
      </c>
      <c r="J66" s="487">
        <f>SQRT(3)</f>
        <v>1.7320508075688772</v>
      </c>
      <c r="K66" s="488">
        <f t="shared" si="34"/>
        <v>0</v>
      </c>
      <c r="L66" s="502" t="s">
        <v>282</v>
      </c>
      <c r="M66" s="482" t="s">
        <v>283</v>
      </c>
      <c r="N66" s="485" t="e">
        <f ca="1">D65/D55/D61</f>
        <v>#N/A</v>
      </c>
      <c r="O66" s="502" t="s">
        <v>284</v>
      </c>
      <c r="P66" s="488" t="e">
        <f t="shared" ca="1" si="35"/>
        <v>#N/A</v>
      </c>
      <c r="Q66" s="481">
        <v>10</v>
      </c>
      <c r="R66" s="489">
        <f t="shared" si="36"/>
        <v>50</v>
      </c>
      <c r="S66" s="490" t="e">
        <f t="shared" ca="1" si="37"/>
        <v>#N/A</v>
      </c>
      <c r="T66" s="44"/>
      <c r="U66" s="44"/>
      <c r="V66" s="44"/>
    </row>
  </sheetData>
  <mergeCells count="12">
    <mergeCell ref="B14:C14"/>
    <mergeCell ref="J14:K14"/>
    <mergeCell ref="B15:C15"/>
    <mergeCell ref="N17:U17"/>
    <mergeCell ref="V17:AA17"/>
    <mergeCell ref="AH17:AJ17"/>
    <mergeCell ref="C18:D18"/>
    <mergeCell ref="F18:G18"/>
    <mergeCell ref="H18:I18"/>
    <mergeCell ref="I51:J51"/>
    <mergeCell ref="M51:N51"/>
    <mergeCell ref="AC17:AG17"/>
  </mergeCells>
  <phoneticPr fontId="5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N131"/>
  <sheetViews>
    <sheetView showGridLines="0" workbookViewId="0"/>
  </sheetViews>
  <sheetFormatPr defaultColWidth="10" defaultRowHeight="15" customHeight="1"/>
  <cols>
    <col min="1" max="1" width="3.88671875" style="180" customWidth="1"/>
    <col min="2" max="2" width="10" style="195"/>
    <col min="3" max="3" width="10.44140625" style="195" bestFit="1" customWidth="1"/>
    <col min="4" max="4" width="10" style="195"/>
    <col min="5" max="20" width="10" style="193"/>
    <col min="21" max="16384" width="10" style="180"/>
  </cols>
  <sheetData>
    <row r="1" spans="1:40" ht="15" customHeight="1">
      <c r="A1" s="177" t="s">
        <v>136</v>
      </c>
      <c r="B1" s="178"/>
      <c r="C1" s="178"/>
      <c r="D1" s="178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80"/>
      <c r="T1" s="180"/>
    </row>
    <row r="2" spans="1:40" ht="15" customHeight="1" thickBot="1">
      <c r="B2" s="266" t="s">
        <v>332</v>
      </c>
      <c r="C2" s="238" t="s">
        <v>362</v>
      </c>
      <c r="D2" s="238" t="s">
        <v>323</v>
      </c>
      <c r="E2" s="238" t="s">
        <v>319</v>
      </c>
      <c r="F2" s="238" t="s">
        <v>320</v>
      </c>
      <c r="G2" s="238" t="s">
        <v>321</v>
      </c>
      <c r="H2" s="242" t="s">
        <v>52</v>
      </c>
      <c r="I2" s="242" t="s">
        <v>516</v>
      </c>
      <c r="J2" s="242" t="s">
        <v>183</v>
      </c>
      <c r="K2" s="330" t="s">
        <v>640</v>
      </c>
      <c r="M2" s="179"/>
      <c r="N2" s="179"/>
      <c r="O2" s="179"/>
      <c r="P2" s="179"/>
      <c r="Q2" s="179"/>
      <c r="R2" s="180"/>
      <c r="S2" s="180"/>
      <c r="T2" s="180"/>
    </row>
    <row r="3" spans="1:40" ht="15" customHeight="1" thickBot="1">
      <c r="B3" s="211" t="str">
        <f>IF(SUM(Y45:Y59)=0,"","초과")</f>
        <v/>
      </c>
      <c r="C3" s="239">
        <f>COUNTIF(B9:B38,TRUE)/2</f>
        <v>0</v>
      </c>
      <c r="D3" s="239">
        <f>Pressure_2_R1!H$4</f>
        <v>0</v>
      </c>
      <c r="E3" s="239">
        <f>Pressure_2_R1!I$4</f>
        <v>0</v>
      </c>
      <c r="F3" s="239">
        <f>Pressure_2_R1!J$4</f>
        <v>0</v>
      </c>
      <c r="G3" s="239">
        <f>Pressure_2_R1!K$4</f>
        <v>0</v>
      </c>
      <c r="H3" s="250">
        <f>Pressure_2_R1!Q4</f>
        <v>0</v>
      </c>
      <c r="I3" s="250">
        <f>IF(TYPE(FIND(".",H3))=16,0,LEN(H3)-2)</f>
        <v>0</v>
      </c>
      <c r="J3" s="250">
        <f ca="1">OFFSET(V63,MATCH(I3,W64:W73,0),0)</f>
        <v>0</v>
      </c>
      <c r="K3" s="329" t="str">
        <f>D9</f>
        <v/>
      </c>
      <c r="M3" s="179"/>
      <c r="N3" s="179"/>
      <c r="O3" s="179"/>
      <c r="P3" s="179"/>
      <c r="Q3" s="179"/>
      <c r="R3" s="180"/>
      <c r="S3" s="180"/>
      <c r="T3" s="180"/>
    </row>
    <row r="4" spans="1:40" ht="15" customHeight="1">
      <c r="C4" s="178"/>
      <c r="D4" s="179"/>
      <c r="E4" s="179"/>
      <c r="F4" s="179"/>
      <c r="G4" s="179"/>
      <c r="I4" s="179"/>
      <c r="J4" s="179"/>
      <c r="K4" s="179"/>
      <c r="L4" s="179"/>
      <c r="M4" s="179"/>
      <c r="N4" s="179"/>
      <c r="O4" s="179"/>
      <c r="P4" s="180"/>
      <c r="Q4" s="180"/>
      <c r="R4" s="180"/>
      <c r="S4" s="180"/>
      <c r="T4" s="180"/>
    </row>
    <row r="5" spans="1:40" s="185" customFormat="1" ht="15" customHeight="1">
      <c r="B5" s="184" t="s">
        <v>333</v>
      </c>
      <c r="C5" s="182"/>
      <c r="D5" s="182"/>
      <c r="E5" s="183"/>
      <c r="F5" s="182"/>
      <c r="G5" s="178"/>
      <c r="H5" s="182"/>
      <c r="I5" s="182"/>
      <c r="J5" s="182"/>
      <c r="K5" s="182"/>
      <c r="L5" s="182"/>
      <c r="M5" s="182"/>
      <c r="N5" s="182"/>
      <c r="O5" s="182"/>
      <c r="P5" s="182"/>
      <c r="Q5" s="182"/>
      <c r="R5" s="182"/>
      <c r="S5" s="184" t="s">
        <v>517</v>
      </c>
    </row>
    <row r="6" spans="1:40" s="179" customFormat="1" ht="15" customHeight="1">
      <c r="B6" s="921" t="s">
        <v>518</v>
      </c>
      <c r="C6" s="921" t="s">
        <v>137</v>
      </c>
      <c r="D6" s="921" t="s">
        <v>182</v>
      </c>
      <c r="E6" s="932" t="s">
        <v>519</v>
      </c>
      <c r="F6" s="921" t="s">
        <v>334</v>
      </c>
      <c r="G6" s="921"/>
      <c r="H6" s="921"/>
      <c r="I6" s="921" t="s">
        <v>335</v>
      </c>
      <c r="J6" s="921" t="s">
        <v>336</v>
      </c>
      <c r="K6" s="932" t="s">
        <v>337</v>
      </c>
      <c r="L6" s="932"/>
      <c r="M6" s="932"/>
      <c r="N6" s="932" t="s">
        <v>520</v>
      </c>
      <c r="O6" s="932"/>
      <c r="P6" s="932"/>
      <c r="Q6" s="932"/>
      <c r="R6" s="182"/>
      <c r="S6" s="936" t="s">
        <v>518</v>
      </c>
      <c r="T6" s="936" t="s">
        <v>338</v>
      </c>
      <c r="U6" s="936" t="s">
        <v>416</v>
      </c>
      <c r="V6" s="939" t="s">
        <v>339</v>
      </c>
      <c r="W6" s="940"/>
      <c r="X6" s="940"/>
      <c r="Y6" s="940"/>
      <c r="Z6" s="941"/>
      <c r="AA6" s="939" t="s">
        <v>363</v>
      </c>
      <c r="AB6" s="940"/>
      <c r="AC6" s="940"/>
      <c r="AD6" s="941"/>
      <c r="AF6" s="338" t="s">
        <v>71</v>
      </c>
      <c r="AG6" s="337" t="s">
        <v>306</v>
      </c>
      <c r="AH6" s="337" t="s">
        <v>308</v>
      </c>
      <c r="AI6" s="337" t="s">
        <v>133</v>
      </c>
      <c r="AJ6" s="337" t="s">
        <v>134</v>
      </c>
      <c r="AK6" s="337" t="s">
        <v>311</v>
      </c>
      <c r="AL6" s="337" t="s">
        <v>312</v>
      </c>
      <c r="AM6" s="337" t="s">
        <v>313</v>
      </c>
      <c r="AN6" s="337" t="s">
        <v>314</v>
      </c>
    </row>
    <row r="7" spans="1:40" s="179" customFormat="1" ht="15" customHeight="1">
      <c r="B7" s="921"/>
      <c r="C7" s="921"/>
      <c r="D7" s="921"/>
      <c r="E7" s="932"/>
      <c r="F7" s="248" t="s">
        <v>65</v>
      </c>
      <c r="G7" s="248" t="s">
        <v>66</v>
      </c>
      <c r="H7" s="248" t="s">
        <v>0</v>
      </c>
      <c r="I7" s="921"/>
      <c r="J7" s="921"/>
      <c r="K7" s="237" t="s">
        <v>65</v>
      </c>
      <c r="L7" s="237" t="s">
        <v>364</v>
      </c>
      <c r="M7" s="237" t="s">
        <v>94</v>
      </c>
      <c r="N7" s="248" t="s">
        <v>340</v>
      </c>
      <c r="O7" s="189" t="e">
        <f>SUM(O9:Q38)/(SUM(N9:N38)*3)</f>
        <v>#DIV/0!</v>
      </c>
      <c r="P7" s="248" t="s">
        <v>521</v>
      </c>
      <c r="Q7" s="189" t="e">
        <f>1/O7</f>
        <v>#DIV/0!</v>
      </c>
      <c r="R7" s="182"/>
      <c r="S7" s="937"/>
      <c r="T7" s="937"/>
      <c r="U7" s="937"/>
      <c r="V7" s="237" t="s">
        <v>65</v>
      </c>
      <c r="W7" s="237" t="s">
        <v>66</v>
      </c>
      <c r="X7" s="237" t="s">
        <v>94</v>
      </c>
      <c r="Y7" s="237" t="s">
        <v>341</v>
      </c>
      <c r="Z7" s="237" t="s">
        <v>342</v>
      </c>
      <c r="AA7" s="237" t="s">
        <v>65</v>
      </c>
      <c r="AB7" s="237" t="s">
        <v>66</v>
      </c>
      <c r="AC7" s="237" t="s">
        <v>94</v>
      </c>
      <c r="AD7" s="237" t="s">
        <v>343</v>
      </c>
      <c r="AF7" s="337" t="s">
        <v>306</v>
      </c>
      <c r="AG7" s="339">
        <f t="shared" ref="AG7:AG21" si="0">AI7*1000</f>
        <v>1</v>
      </c>
      <c r="AH7" s="339">
        <f>AI7*10</f>
        <v>0.01</v>
      </c>
      <c r="AI7" s="339">
        <f t="shared" ref="AI7:AI21" si="1">AJ7*1000</f>
        <v>1E-3</v>
      </c>
      <c r="AJ7" s="339">
        <v>9.9999999999999995E-7</v>
      </c>
      <c r="AK7" s="339">
        <f t="shared" ref="AK7:AK21" si="2">AM7*1000</f>
        <v>1</v>
      </c>
      <c r="AL7" s="339">
        <f>AM7*10</f>
        <v>0.01</v>
      </c>
      <c r="AM7" s="339">
        <f t="shared" ref="AM7:AM21" si="3">AN7*1000</f>
        <v>1E-3</v>
      </c>
      <c r="AN7" s="339">
        <v>9.9999999999999995E-7</v>
      </c>
    </row>
    <row r="8" spans="1:40" s="179" customFormat="1" ht="15" customHeight="1">
      <c r="B8" s="921"/>
      <c r="C8" s="921"/>
      <c r="D8" s="411">
        <f>표준압력!G4</f>
        <v>0</v>
      </c>
      <c r="E8" s="411">
        <f>D8</f>
        <v>0</v>
      </c>
      <c r="F8" s="237">
        <f>IF(D3="mV/V","mV",D3)</f>
        <v>0</v>
      </c>
      <c r="G8" s="237">
        <f>F8</f>
        <v>0</v>
      </c>
      <c r="H8" s="237">
        <f>G8</f>
        <v>0</v>
      </c>
      <c r="I8" s="921"/>
      <c r="J8" s="248">
        <f>Pressure_2_R1!E136</f>
        <v>0</v>
      </c>
      <c r="K8" s="248">
        <f>D3</f>
        <v>0</v>
      </c>
      <c r="L8" s="248">
        <f>K8</f>
        <v>0</v>
      </c>
      <c r="M8" s="248">
        <f>L8</f>
        <v>0</v>
      </c>
      <c r="N8" s="248" t="s">
        <v>522</v>
      </c>
      <c r="O8" s="248" t="s">
        <v>344</v>
      </c>
      <c r="P8" s="248" t="s">
        <v>523</v>
      </c>
      <c r="Q8" s="248" t="s">
        <v>331</v>
      </c>
      <c r="R8" s="182"/>
      <c r="S8" s="938"/>
      <c r="T8" s="938"/>
      <c r="U8" s="938"/>
      <c r="V8" s="248">
        <f>K8</f>
        <v>0</v>
      </c>
      <c r="W8" s="248">
        <f>V8</f>
        <v>0</v>
      </c>
      <c r="X8" s="248">
        <f>W8</f>
        <v>0</v>
      </c>
      <c r="Y8" s="248">
        <f>K8</f>
        <v>0</v>
      </c>
      <c r="Z8" s="248">
        <f>E8</f>
        <v>0</v>
      </c>
      <c r="AA8" s="248">
        <f>V8</f>
        <v>0</v>
      </c>
      <c r="AB8" s="248">
        <f>AA8</f>
        <v>0</v>
      </c>
      <c r="AC8" s="248">
        <f>AB8</f>
        <v>0</v>
      </c>
      <c r="AD8" s="248">
        <f>AC8</f>
        <v>0</v>
      </c>
      <c r="AF8" s="337" t="s">
        <v>308</v>
      </c>
      <c r="AG8" s="339">
        <f t="shared" si="0"/>
        <v>100</v>
      </c>
      <c r="AH8" s="339">
        <f t="shared" ref="AH8:AH29" si="4">AI8*10</f>
        <v>1</v>
      </c>
      <c r="AI8" s="339">
        <f t="shared" si="1"/>
        <v>0.1</v>
      </c>
      <c r="AJ8" s="339">
        <v>1E-4</v>
      </c>
      <c r="AK8" s="339">
        <f t="shared" si="2"/>
        <v>100</v>
      </c>
      <c r="AL8" s="339">
        <f t="shared" ref="AL8:AL29" si="5">AM8*10</f>
        <v>1</v>
      </c>
      <c r="AM8" s="339">
        <f t="shared" si="3"/>
        <v>0.1</v>
      </c>
      <c r="AN8" s="339">
        <v>1E-4</v>
      </c>
    </row>
    <row r="9" spans="1:40" s="179" customFormat="1" ht="15" customHeight="1">
      <c r="B9" s="186" t="b">
        <f>IF(Pressure_2_R1!A4="",FALSE,TRUE)</f>
        <v>0</v>
      </c>
      <c r="C9" s="187">
        <v>1</v>
      </c>
      <c r="D9" s="514" t="str">
        <f>IF($B9=FALSE,"",표준압력!F4)</f>
        <v/>
      </c>
      <c r="E9" s="188" t="str">
        <f>IF($B9=FALSE,"",표준압력!H4)</f>
        <v/>
      </c>
      <c r="F9" s="188" t="str">
        <f>IF($B9=FALSE,"",Pressure_2_R1!V4)</f>
        <v/>
      </c>
      <c r="G9" s="189" t="str">
        <f>IF($B9=FALSE,"",Pressure_2_R1!W4)</f>
        <v/>
      </c>
      <c r="H9" s="268" t="str">
        <f>IF($B9=FALSE,"",Pressure_2_R1!X4)</f>
        <v/>
      </c>
      <c r="I9" s="270" t="b">
        <f>TYPE(G9)=1</f>
        <v>0</v>
      </c>
      <c r="J9" s="269" t="str">
        <f>IF($B9=FALSE,"",IF(Pressure_2_R1!D136="","기준기값없음",IF(Pressure_2_R1!L136="ok",Pressure_2_R1!D136,"파워선택안함")))</f>
        <v/>
      </c>
      <c r="K9" s="190" t="str">
        <f t="shared" ref="K9:K38" si="6">IF($B9=FALSE,"",IF(D$3="mV/V",F9/G$3+J9,F9+J9))</f>
        <v/>
      </c>
      <c r="L9" s="191" t="str">
        <f t="shared" ref="L9:L38" si="7">IF($B9=FALSE,"",IF(G9="ⅹ",K9,IF(D$3="mV/V",G9/G$3+J9,G9+J9)))</f>
        <v/>
      </c>
      <c r="M9" s="271" t="str">
        <f t="shared" ref="M9:M38" si="8">IF($B9=FALSE,"",IF(H9="ⅹ",L9,IF(D$3="mV/V",H9/G$3+J9,H9+J9)))</f>
        <v/>
      </c>
      <c r="N9" s="188" t="str">
        <f>IF($B9=FALSE,"",(E9-K$3)^2)</f>
        <v/>
      </c>
      <c r="O9" s="189" t="str">
        <f>IF($B9=FALSE,"",(E9-K$3)*(K9-E$3))</f>
        <v/>
      </c>
      <c r="P9" s="189" t="str">
        <f>IF($B9=FALSE,"",(E9-K$3)*(L9-E$3))</f>
        <v/>
      </c>
      <c r="Q9" s="272" t="str">
        <f>IF($B9=FALSE,"",(E9-K$3)*(M9-E$3))</f>
        <v/>
      </c>
      <c r="R9" s="182"/>
      <c r="S9" s="192" t="b">
        <f t="shared" ref="S9:S38" si="9">IF($U9&gt;$C$3,FALSE,TRUE)</f>
        <v>0</v>
      </c>
      <c r="T9" s="396" t="s">
        <v>704</v>
      </c>
      <c r="U9" s="397">
        <v>1</v>
      </c>
      <c r="V9" s="192" t="str">
        <f t="shared" ref="V9:V23" ca="1" si="10">IF($S9=FALSE,"",IF($T9="가압",K9,OFFSET(K$8,$C$3*2-($U9-1),0)))</f>
        <v/>
      </c>
      <c r="W9" s="192" t="str">
        <f t="shared" ref="W9:W38" ca="1" si="11">IF($S9=FALSE,"",IF($T9="가압",L9,OFFSET(L$8,$C$3*2-($U9-1),0)))</f>
        <v/>
      </c>
      <c r="X9" s="192" t="str">
        <f t="shared" ref="X9:X38" ca="1" si="12">IF($S9=FALSE,"",IF($T9="가압",M9,OFFSET(M$8,$C$3*2-($U9-1),0)))</f>
        <v/>
      </c>
      <c r="Y9" s="401" t="str">
        <f>IF($S9=FALSE,"",AVERAGE(V9:X9))</f>
        <v/>
      </c>
      <c r="Z9" s="249" t="str">
        <f t="shared" ref="Z9:Z38" si="13">IF($S9=FALSE,"",K$3+Q$7*(Y9-E$3))</f>
        <v/>
      </c>
      <c r="AA9" s="190" t="str">
        <f>IF($S9=FALSE,"",V9-V$9)</f>
        <v/>
      </c>
      <c r="AB9" s="192" t="str">
        <f>IF($S9=FALSE,"",W9-W$9)</f>
        <v/>
      </c>
      <c r="AC9" s="192" t="str">
        <f>IF($S9=FALSE,"",X9-X$9)</f>
        <v/>
      </c>
      <c r="AD9" s="400" t="str">
        <f t="shared" ref="AD9:AD38" si="14">IF($S9=FALSE,"",MAX(AA9:AC9)-MIN(AA9:AC9))</f>
        <v/>
      </c>
      <c r="AF9" s="337" t="s">
        <v>651</v>
      </c>
      <c r="AG9" s="339">
        <f t="shared" si="0"/>
        <v>1000</v>
      </c>
      <c r="AH9" s="339">
        <f t="shared" si="4"/>
        <v>10</v>
      </c>
      <c r="AI9" s="339">
        <f t="shared" si="1"/>
        <v>1</v>
      </c>
      <c r="AJ9" s="339">
        <v>1E-3</v>
      </c>
      <c r="AK9" s="339">
        <f t="shared" si="2"/>
        <v>1000</v>
      </c>
      <c r="AL9" s="339">
        <f t="shared" si="5"/>
        <v>10</v>
      </c>
      <c r="AM9" s="339">
        <f t="shared" si="3"/>
        <v>1</v>
      </c>
      <c r="AN9" s="339">
        <v>1E-3</v>
      </c>
    </row>
    <row r="10" spans="1:40" s="179" customFormat="1" ht="15" customHeight="1">
      <c r="B10" s="186" t="b">
        <f>IF(Pressure_2_R1!A5="",FALSE,TRUE)</f>
        <v>0</v>
      </c>
      <c r="C10" s="187">
        <v>2</v>
      </c>
      <c r="D10" s="514" t="str">
        <f>IF($B10=FALSE,"",표준압력!F5)</f>
        <v/>
      </c>
      <c r="E10" s="188" t="str">
        <f>IF($B10=FALSE,"",표준압력!H5)</f>
        <v/>
      </c>
      <c r="F10" s="188" t="str">
        <f>IF($B10=FALSE,"",Pressure_2_R1!V5)</f>
        <v/>
      </c>
      <c r="G10" s="189" t="str">
        <f>IF($B10=FALSE,"",Pressure_2_R1!W5)</f>
        <v/>
      </c>
      <c r="H10" s="268" t="str">
        <f>IF($B10=FALSE,"",Pressure_2_R1!X5)</f>
        <v/>
      </c>
      <c r="I10" s="270" t="b">
        <f t="shared" ref="I10:I38" si="15">TYPE(G10)=1</f>
        <v>0</v>
      </c>
      <c r="J10" s="269" t="str">
        <f>IF($B10=FALSE,"",IF(Pressure_2_R1!D137="","기준기값없음",IF(Pressure_2_R1!L137="ok",Pressure_2_R1!D137,"파워선택안함")))</f>
        <v/>
      </c>
      <c r="K10" s="190" t="str">
        <f t="shared" si="6"/>
        <v/>
      </c>
      <c r="L10" s="191" t="str">
        <f t="shared" si="7"/>
        <v/>
      </c>
      <c r="M10" s="271" t="str">
        <f t="shared" si="8"/>
        <v/>
      </c>
      <c r="N10" s="188" t="str">
        <f t="shared" ref="N10:N38" si="16">IF($B10=FALSE,"",(E10-K$3)^2)</f>
        <v/>
      </c>
      <c r="O10" s="189" t="str">
        <f t="shared" ref="O10:O38" si="17">IF($B10=FALSE,"",(E10-K$3)*(K10-E$3))</f>
        <v/>
      </c>
      <c r="P10" s="189" t="str">
        <f t="shared" ref="P10:P38" si="18">IF($B10=FALSE,"",(E10-K$3)*(L10-E$3))</f>
        <v/>
      </c>
      <c r="Q10" s="272" t="str">
        <f t="shared" ref="Q10:Q38" si="19">IF($B10=FALSE,"",(E10-K$3)*(M10-E$3))</f>
        <v/>
      </c>
      <c r="R10" s="182"/>
      <c r="S10" s="192" t="b">
        <f t="shared" si="9"/>
        <v>0</v>
      </c>
      <c r="T10" s="396" t="s">
        <v>705</v>
      </c>
      <c r="U10" s="397">
        <v>2</v>
      </c>
      <c r="V10" s="192" t="str">
        <f t="shared" ca="1" si="10"/>
        <v/>
      </c>
      <c r="W10" s="192" t="str">
        <f t="shared" ca="1" si="11"/>
        <v/>
      </c>
      <c r="X10" s="192" t="str">
        <f t="shared" ca="1" si="12"/>
        <v/>
      </c>
      <c r="Y10" s="401" t="str">
        <f t="shared" ref="Y10:Y38" si="20">IF($S10=FALSE,"",AVERAGE(V10:X10))</f>
        <v/>
      </c>
      <c r="Z10" s="249" t="str">
        <f t="shared" si="13"/>
        <v/>
      </c>
      <c r="AA10" s="190" t="str">
        <f t="shared" ref="AA10:AC23" si="21">IF($S10=FALSE,"",V10-V$9)</f>
        <v/>
      </c>
      <c r="AB10" s="192" t="str">
        <f t="shared" si="21"/>
        <v/>
      </c>
      <c r="AC10" s="192" t="str">
        <f t="shared" si="21"/>
        <v/>
      </c>
      <c r="AD10" s="400" t="str">
        <f t="shared" si="14"/>
        <v/>
      </c>
      <c r="AF10" s="337" t="s">
        <v>134</v>
      </c>
      <c r="AG10" s="339">
        <f t="shared" si="0"/>
        <v>1000000</v>
      </c>
      <c r="AH10" s="339">
        <f t="shared" si="4"/>
        <v>10000</v>
      </c>
      <c r="AI10" s="339">
        <f t="shared" si="1"/>
        <v>1000</v>
      </c>
      <c r="AJ10" s="339">
        <v>1</v>
      </c>
      <c r="AK10" s="339">
        <f t="shared" si="2"/>
        <v>1000000</v>
      </c>
      <c r="AL10" s="339">
        <f t="shared" si="5"/>
        <v>10000</v>
      </c>
      <c r="AM10" s="339">
        <f t="shared" si="3"/>
        <v>1000</v>
      </c>
      <c r="AN10" s="339">
        <v>1</v>
      </c>
    </row>
    <row r="11" spans="1:40" s="179" customFormat="1" ht="15" customHeight="1">
      <c r="B11" s="186" t="b">
        <f>IF(Pressure_2_R1!A6="",FALSE,TRUE)</f>
        <v>0</v>
      </c>
      <c r="C11" s="187">
        <v>3</v>
      </c>
      <c r="D11" s="514" t="str">
        <f>IF($B11=FALSE,"",표준압력!F6)</f>
        <v/>
      </c>
      <c r="E11" s="188" t="str">
        <f>IF($B11=FALSE,"",표준압력!H6)</f>
        <v/>
      </c>
      <c r="F11" s="188" t="str">
        <f>IF($B11=FALSE,"",Pressure_2_R1!V6)</f>
        <v/>
      </c>
      <c r="G11" s="189" t="str">
        <f>IF($B11=FALSE,"",Pressure_2_R1!W6)</f>
        <v/>
      </c>
      <c r="H11" s="268" t="str">
        <f>IF($B11=FALSE,"",Pressure_2_R1!X6)</f>
        <v/>
      </c>
      <c r="I11" s="270" t="b">
        <f t="shared" si="15"/>
        <v>0</v>
      </c>
      <c r="J11" s="269" t="str">
        <f>IF($B11=FALSE,"",IF(Pressure_2_R1!D138="","기준기값없음",IF(Pressure_2_R1!L138="ok",Pressure_2_R1!D138,"파워선택안함")))</f>
        <v/>
      </c>
      <c r="K11" s="190" t="str">
        <f t="shared" si="6"/>
        <v/>
      </c>
      <c r="L11" s="191" t="str">
        <f t="shared" si="7"/>
        <v/>
      </c>
      <c r="M11" s="271" t="str">
        <f t="shared" si="8"/>
        <v/>
      </c>
      <c r="N11" s="188" t="str">
        <f t="shared" si="16"/>
        <v/>
      </c>
      <c r="O11" s="189" t="str">
        <f t="shared" si="17"/>
        <v/>
      </c>
      <c r="P11" s="189" t="str">
        <f t="shared" si="18"/>
        <v/>
      </c>
      <c r="Q11" s="272" t="str">
        <f t="shared" si="19"/>
        <v/>
      </c>
      <c r="R11" s="182"/>
      <c r="S11" s="192" t="b">
        <f t="shared" si="9"/>
        <v>0</v>
      </c>
      <c r="T11" s="396" t="s">
        <v>524</v>
      </c>
      <c r="U11" s="397">
        <v>3</v>
      </c>
      <c r="V11" s="192" t="str">
        <f t="shared" ca="1" si="10"/>
        <v/>
      </c>
      <c r="W11" s="192" t="str">
        <f t="shared" ca="1" si="11"/>
        <v/>
      </c>
      <c r="X11" s="192" t="str">
        <f t="shared" ca="1" si="12"/>
        <v/>
      </c>
      <c r="Y11" s="401" t="str">
        <f t="shared" si="20"/>
        <v/>
      </c>
      <c r="Z11" s="249" t="str">
        <f t="shared" si="13"/>
        <v/>
      </c>
      <c r="AA11" s="190" t="str">
        <f t="shared" si="21"/>
        <v/>
      </c>
      <c r="AB11" s="192" t="str">
        <f t="shared" si="21"/>
        <v/>
      </c>
      <c r="AC11" s="192" t="str">
        <f t="shared" si="21"/>
        <v/>
      </c>
      <c r="AD11" s="400" t="str">
        <f t="shared" si="14"/>
        <v/>
      </c>
      <c r="AF11" s="337" t="s">
        <v>345</v>
      </c>
      <c r="AG11" s="339">
        <f t="shared" si="0"/>
        <v>100</v>
      </c>
      <c r="AH11" s="339">
        <f t="shared" si="4"/>
        <v>1</v>
      </c>
      <c r="AI11" s="339">
        <f t="shared" si="1"/>
        <v>0.1</v>
      </c>
      <c r="AJ11" s="339">
        <v>1E-4</v>
      </c>
      <c r="AK11" s="339">
        <f t="shared" si="2"/>
        <v>100</v>
      </c>
      <c r="AL11" s="339">
        <f t="shared" si="5"/>
        <v>1</v>
      </c>
      <c r="AM11" s="339">
        <f t="shared" si="3"/>
        <v>0.1</v>
      </c>
      <c r="AN11" s="339">
        <v>1E-4</v>
      </c>
    </row>
    <row r="12" spans="1:40" s="179" customFormat="1" ht="15" customHeight="1">
      <c r="B12" s="186" t="b">
        <f>IF(Pressure_2_R1!A7="",FALSE,TRUE)</f>
        <v>0</v>
      </c>
      <c r="C12" s="187">
        <v>4</v>
      </c>
      <c r="D12" s="514" t="str">
        <f>IF($B12=FALSE,"",표준압력!F7)</f>
        <v/>
      </c>
      <c r="E12" s="188" t="str">
        <f>IF($B12=FALSE,"",표준압력!H7)</f>
        <v/>
      </c>
      <c r="F12" s="188" t="str">
        <f>IF($B12=FALSE,"",Pressure_2_R1!V7)</f>
        <v/>
      </c>
      <c r="G12" s="189" t="str">
        <f>IF($B12=FALSE,"",Pressure_2_R1!W7)</f>
        <v/>
      </c>
      <c r="H12" s="268" t="str">
        <f>IF($B12=FALSE,"",Pressure_2_R1!X7)</f>
        <v/>
      </c>
      <c r="I12" s="270" t="b">
        <f t="shared" si="15"/>
        <v>0</v>
      </c>
      <c r="J12" s="269" t="str">
        <f>IF($B12=FALSE,"",IF(Pressure_2_R1!D139="","기준기값없음",IF(Pressure_2_R1!L139="ok",Pressure_2_R1!D139,"파워선택안함")))</f>
        <v/>
      </c>
      <c r="K12" s="190" t="str">
        <f t="shared" si="6"/>
        <v/>
      </c>
      <c r="L12" s="191" t="str">
        <f t="shared" si="7"/>
        <v/>
      </c>
      <c r="M12" s="271" t="str">
        <f t="shared" si="8"/>
        <v/>
      </c>
      <c r="N12" s="188" t="str">
        <f t="shared" si="16"/>
        <v/>
      </c>
      <c r="O12" s="189" t="str">
        <f t="shared" si="17"/>
        <v/>
      </c>
      <c r="P12" s="189" t="str">
        <f t="shared" si="18"/>
        <v/>
      </c>
      <c r="Q12" s="272" t="str">
        <f t="shared" si="19"/>
        <v/>
      </c>
      <c r="R12" s="182"/>
      <c r="S12" s="192" t="b">
        <f t="shared" si="9"/>
        <v>0</v>
      </c>
      <c r="T12" s="396" t="s">
        <v>706</v>
      </c>
      <c r="U12" s="397">
        <v>4</v>
      </c>
      <c r="V12" s="192" t="str">
        <f t="shared" ca="1" si="10"/>
        <v/>
      </c>
      <c r="W12" s="192" t="str">
        <f t="shared" ca="1" si="11"/>
        <v/>
      </c>
      <c r="X12" s="192" t="str">
        <f t="shared" ca="1" si="12"/>
        <v/>
      </c>
      <c r="Y12" s="401" t="str">
        <f t="shared" si="20"/>
        <v/>
      </c>
      <c r="Z12" s="249" t="str">
        <f t="shared" si="13"/>
        <v/>
      </c>
      <c r="AA12" s="190" t="str">
        <f t="shared" si="21"/>
        <v/>
      </c>
      <c r="AB12" s="192" t="str">
        <f t="shared" si="21"/>
        <v/>
      </c>
      <c r="AC12" s="192" t="str">
        <f t="shared" si="21"/>
        <v/>
      </c>
      <c r="AD12" s="400" t="str">
        <f t="shared" si="14"/>
        <v/>
      </c>
      <c r="AF12" s="337" t="s">
        <v>652</v>
      </c>
      <c r="AG12" s="339">
        <f t="shared" si="0"/>
        <v>100000</v>
      </c>
      <c r="AH12" s="339">
        <f t="shared" si="4"/>
        <v>1000</v>
      </c>
      <c r="AI12" s="339">
        <f t="shared" si="1"/>
        <v>100</v>
      </c>
      <c r="AJ12" s="339">
        <v>0.1</v>
      </c>
      <c r="AK12" s="339">
        <f t="shared" si="2"/>
        <v>100000</v>
      </c>
      <c r="AL12" s="339">
        <f t="shared" si="5"/>
        <v>1000</v>
      </c>
      <c r="AM12" s="339">
        <f t="shared" si="3"/>
        <v>100</v>
      </c>
      <c r="AN12" s="339">
        <v>0.1</v>
      </c>
    </row>
    <row r="13" spans="1:40" s="179" customFormat="1" ht="15" customHeight="1">
      <c r="B13" s="186" t="b">
        <f>IF(Pressure_2_R1!A8="",FALSE,TRUE)</f>
        <v>0</v>
      </c>
      <c r="C13" s="187">
        <v>5</v>
      </c>
      <c r="D13" s="514" t="str">
        <f>IF($B13=FALSE,"",표준압력!F8)</f>
        <v/>
      </c>
      <c r="E13" s="188" t="str">
        <f>IF($B13=FALSE,"",표준압력!H8)</f>
        <v/>
      </c>
      <c r="F13" s="188" t="str">
        <f>IF($B13=FALSE,"",Pressure_2_R1!V8)</f>
        <v/>
      </c>
      <c r="G13" s="189" t="str">
        <f>IF($B13=FALSE,"",Pressure_2_R1!W8)</f>
        <v/>
      </c>
      <c r="H13" s="268" t="str">
        <f>IF($B13=FALSE,"",Pressure_2_R1!X8)</f>
        <v/>
      </c>
      <c r="I13" s="270" t="b">
        <f t="shared" si="15"/>
        <v>0</v>
      </c>
      <c r="J13" s="269" t="str">
        <f>IF($B13=FALSE,"",IF(Pressure_2_R1!D140="","기준기값없음",IF(Pressure_2_R1!L140="ok",Pressure_2_R1!D140,"파워선택안함")))</f>
        <v/>
      </c>
      <c r="K13" s="190" t="str">
        <f t="shared" si="6"/>
        <v/>
      </c>
      <c r="L13" s="191" t="str">
        <f t="shared" si="7"/>
        <v/>
      </c>
      <c r="M13" s="271" t="str">
        <f t="shared" si="8"/>
        <v/>
      </c>
      <c r="N13" s="188" t="str">
        <f t="shared" si="16"/>
        <v/>
      </c>
      <c r="O13" s="189" t="str">
        <f t="shared" si="17"/>
        <v/>
      </c>
      <c r="P13" s="189" t="str">
        <f t="shared" si="18"/>
        <v/>
      </c>
      <c r="Q13" s="272" t="str">
        <f t="shared" si="19"/>
        <v/>
      </c>
      <c r="R13" s="182"/>
      <c r="S13" s="192" t="b">
        <f t="shared" si="9"/>
        <v>0</v>
      </c>
      <c r="T13" s="396" t="s">
        <v>704</v>
      </c>
      <c r="U13" s="397">
        <v>5</v>
      </c>
      <c r="V13" s="192" t="str">
        <f t="shared" ca="1" si="10"/>
        <v/>
      </c>
      <c r="W13" s="192" t="str">
        <f t="shared" ca="1" si="11"/>
        <v/>
      </c>
      <c r="X13" s="192" t="str">
        <f t="shared" ca="1" si="12"/>
        <v/>
      </c>
      <c r="Y13" s="401" t="str">
        <f t="shared" si="20"/>
        <v/>
      </c>
      <c r="Z13" s="249" t="str">
        <f t="shared" si="13"/>
        <v/>
      </c>
      <c r="AA13" s="190" t="str">
        <f t="shared" si="21"/>
        <v/>
      </c>
      <c r="AB13" s="192" t="str">
        <f t="shared" si="21"/>
        <v/>
      </c>
      <c r="AC13" s="192" t="str">
        <f t="shared" si="21"/>
        <v/>
      </c>
      <c r="AD13" s="400" t="str">
        <f t="shared" si="14"/>
        <v/>
      </c>
      <c r="AF13" s="337" t="s">
        <v>653</v>
      </c>
      <c r="AG13" s="339">
        <f t="shared" si="0"/>
        <v>6894.7569999999996</v>
      </c>
      <c r="AH13" s="339">
        <f t="shared" si="4"/>
        <v>68.947569999999999</v>
      </c>
      <c r="AI13" s="339">
        <f t="shared" si="1"/>
        <v>6.8947569999999994</v>
      </c>
      <c r="AJ13" s="339">
        <v>6.8947569999999996E-3</v>
      </c>
      <c r="AK13" s="339">
        <f t="shared" si="2"/>
        <v>6894.7569999999996</v>
      </c>
      <c r="AL13" s="339">
        <f t="shared" si="5"/>
        <v>68.947569999999999</v>
      </c>
      <c r="AM13" s="339">
        <f t="shared" si="3"/>
        <v>6.8947569999999994</v>
      </c>
      <c r="AN13" s="339">
        <v>6.8947569999999996E-3</v>
      </c>
    </row>
    <row r="14" spans="1:40" s="179" customFormat="1" ht="15" customHeight="1">
      <c r="B14" s="186" t="b">
        <f>IF(Pressure_2_R1!A9="",FALSE,TRUE)</f>
        <v>0</v>
      </c>
      <c r="C14" s="187">
        <v>6</v>
      </c>
      <c r="D14" s="514" t="str">
        <f>IF($B14=FALSE,"",표준압력!F9)</f>
        <v/>
      </c>
      <c r="E14" s="188" t="str">
        <f>IF($B14=FALSE,"",표준압력!H9)</f>
        <v/>
      </c>
      <c r="F14" s="188" t="str">
        <f>IF($B14=FALSE,"",Pressure_2_R1!V9)</f>
        <v/>
      </c>
      <c r="G14" s="189" t="str">
        <f>IF($B14=FALSE,"",Pressure_2_R1!W9)</f>
        <v/>
      </c>
      <c r="H14" s="268" t="str">
        <f>IF($B14=FALSE,"",Pressure_2_R1!X9)</f>
        <v/>
      </c>
      <c r="I14" s="270" t="b">
        <f t="shared" si="15"/>
        <v>0</v>
      </c>
      <c r="J14" s="269" t="str">
        <f>IF($B14=FALSE,"",IF(Pressure_2_R1!D141="","기준기값없음",IF(Pressure_2_R1!L141="ok",Pressure_2_R1!D141,"파워선택안함")))</f>
        <v/>
      </c>
      <c r="K14" s="190" t="str">
        <f t="shared" si="6"/>
        <v/>
      </c>
      <c r="L14" s="191" t="str">
        <f t="shared" si="7"/>
        <v/>
      </c>
      <c r="M14" s="271" t="str">
        <f t="shared" si="8"/>
        <v/>
      </c>
      <c r="N14" s="188" t="str">
        <f t="shared" si="16"/>
        <v/>
      </c>
      <c r="O14" s="189" t="str">
        <f t="shared" si="17"/>
        <v/>
      </c>
      <c r="P14" s="189" t="str">
        <f t="shared" si="18"/>
        <v/>
      </c>
      <c r="Q14" s="272" t="str">
        <f t="shared" si="19"/>
        <v/>
      </c>
      <c r="R14" s="182"/>
      <c r="S14" s="192" t="b">
        <f t="shared" si="9"/>
        <v>0</v>
      </c>
      <c r="T14" s="396" t="s">
        <v>704</v>
      </c>
      <c r="U14" s="397">
        <v>6</v>
      </c>
      <c r="V14" s="192" t="str">
        <f t="shared" ca="1" si="10"/>
        <v/>
      </c>
      <c r="W14" s="192" t="str">
        <f t="shared" ca="1" si="11"/>
        <v/>
      </c>
      <c r="X14" s="192" t="str">
        <f t="shared" ca="1" si="12"/>
        <v/>
      </c>
      <c r="Y14" s="401" t="str">
        <f t="shared" si="20"/>
        <v/>
      </c>
      <c r="Z14" s="249" t="str">
        <f t="shared" si="13"/>
        <v/>
      </c>
      <c r="AA14" s="190" t="str">
        <f t="shared" si="21"/>
        <v/>
      </c>
      <c r="AB14" s="192" t="str">
        <f t="shared" si="21"/>
        <v/>
      </c>
      <c r="AC14" s="192" t="str">
        <f t="shared" si="21"/>
        <v/>
      </c>
      <c r="AD14" s="400" t="str">
        <f t="shared" si="14"/>
        <v/>
      </c>
      <c r="AF14" s="337" t="s">
        <v>654</v>
      </c>
      <c r="AG14" s="339">
        <f t="shared" si="0"/>
        <v>98066.5</v>
      </c>
      <c r="AH14" s="339">
        <f t="shared" si="4"/>
        <v>980.66500000000008</v>
      </c>
      <c r="AI14" s="339">
        <f t="shared" si="1"/>
        <v>98.066500000000005</v>
      </c>
      <c r="AJ14" s="339">
        <v>9.8066500000000001E-2</v>
      </c>
      <c r="AK14" s="339">
        <f t="shared" si="2"/>
        <v>98066.5</v>
      </c>
      <c r="AL14" s="339">
        <f t="shared" si="5"/>
        <v>980.66500000000008</v>
      </c>
      <c r="AM14" s="339">
        <f t="shared" si="3"/>
        <v>98.066500000000005</v>
      </c>
      <c r="AN14" s="339">
        <v>9.8066500000000001E-2</v>
      </c>
    </row>
    <row r="15" spans="1:40" s="179" customFormat="1" ht="15" customHeight="1">
      <c r="B15" s="186" t="b">
        <f>IF(Pressure_2_R1!A10="",FALSE,TRUE)</f>
        <v>0</v>
      </c>
      <c r="C15" s="187">
        <v>7</v>
      </c>
      <c r="D15" s="514" t="str">
        <f>IF($B15=FALSE,"",표준압력!F10)</f>
        <v/>
      </c>
      <c r="E15" s="188" t="str">
        <f>IF($B15=FALSE,"",표준압력!H10)</f>
        <v/>
      </c>
      <c r="F15" s="188" t="str">
        <f>IF($B15=FALSE,"",Pressure_2_R1!V10)</f>
        <v/>
      </c>
      <c r="G15" s="189" t="str">
        <f>IF($B15=FALSE,"",Pressure_2_R1!W10)</f>
        <v/>
      </c>
      <c r="H15" s="268" t="str">
        <f>IF($B15=FALSE,"",Pressure_2_R1!X10)</f>
        <v/>
      </c>
      <c r="I15" s="270" t="b">
        <f t="shared" si="15"/>
        <v>0</v>
      </c>
      <c r="J15" s="269" t="str">
        <f>IF($B15=FALSE,"",IF(Pressure_2_R1!D142="","기준기값없음",IF(Pressure_2_R1!L142="ok",Pressure_2_R1!D142,"파워선택안함")))</f>
        <v/>
      </c>
      <c r="K15" s="190" t="str">
        <f t="shared" si="6"/>
        <v/>
      </c>
      <c r="L15" s="191" t="str">
        <f t="shared" si="7"/>
        <v/>
      </c>
      <c r="M15" s="271" t="str">
        <f t="shared" si="8"/>
        <v/>
      </c>
      <c r="N15" s="188" t="str">
        <f t="shared" si="16"/>
        <v/>
      </c>
      <c r="O15" s="189" t="str">
        <f t="shared" si="17"/>
        <v/>
      </c>
      <c r="P15" s="189" t="str">
        <f t="shared" si="18"/>
        <v/>
      </c>
      <c r="Q15" s="272" t="str">
        <f t="shared" si="19"/>
        <v/>
      </c>
      <c r="R15" s="182"/>
      <c r="S15" s="192" t="b">
        <f t="shared" si="9"/>
        <v>0</v>
      </c>
      <c r="T15" s="396" t="s">
        <v>704</v>
      </c>
      <c r="U15" s="397">
        <v>7</v>
      </c>
      <c r="V15" s="192" t="str">
        <f t="shared" ca="1" si="10"/>
        <v/>
      </c>
      <c r="W15" s="192" t="str">
        <f t="shared" ca="1" si="11"/>
        <v/>
      </c>
      <c r="X15" s="192" t="str">
        <f t="shared" ca="1" si="12"/>
        <v/>
      </c>
      <c r="Y15" s="401" t="str">
        <f t="shared" si="20"/>
        <v/>
      </c>
      <c r="Z15" s="249" t="str">
        <f t="shared" si="13"/>
        <v/>
      </c>
      <c r="AA15" s="190" t="str">
        <f t="shared" si="21"/>
        <v/>
      </c>
      <c r="AB15" s="192" t="str">
        <f t="shared" si="21"/>
        <v/>
      </c>
      <c r="AC15" s="192" t="str">
        <f t="shared" si="21"/>
        <v/>
      </c>
      <c r="AD15" s="400" t="str">
        <f t="shared" si="14"/>
        <v/>
      </c>
      <c r="AF15" s="337" t="s">
        <v>112</v>
      </c>
      <c r="AG15" s="339">
        <f t="shared" si="0"/>
        <v>9.8066499999999994</v>
      </c>
      <c r="AH15" s="339">
        <f t="shared" si="4"/>
        <v>9.8066500000000001E-2</v>
      </c>
      <c r="AI15" s="339">
        <f t="shared" si="1"/>
        <v>9.8066500000000001E-3</v>
      </c>
      <c r="AJ15" s="340">
        <v>9.8066500000000004E-6</v>
      </c>
      <c r="AK15" s="339">
        <f t="shared" si="2"/>
        <v>9.8066499999999994</v>
      </c>
      <c r="AL15" s="339">
        <f t="shared" si="5"/>
        <v>9.8066500000000001E-2</v>
      </c>
      <c r="AM15" s="339">
        <f t="shared" si="3"/>
        <v>9.8066500000000001E-3</v>
      </c>
      <c r="AN15" s="340">
        <v>9.8066500000000004E-6</v>
      </c>
    </row>
    <row r="16" spans="1:40" s="179" customFormat="1" ht="15" customHeight="1">
      <c r="B16" s="186" t="b">
        <f>IF(Pressure_2_R1!A11="",FALSE,TRUE)</f>
        <v>0</v>
      </c>
      <c r="C16" s="187">
        <v>8</v>
      </c>
      <c r="D16" s="514" t="str">
        <f>IF($B16=FALSE,"",표준압력!F11)</f>
        <v/>
      </c>
      <c r="E16" s="188" t="str">
        <f>IF($B16=FALSE,"",표준압력!H11)</f>
        <v/>
      </c>
      <c r="F16" s="188" t="str">
        <f>IF($B16=FALSE,"",Pressure_2_R1!V11)</f>
        <v/>
      </c>
      <c r="G16" s="189" t="str">
        <f>IF($B16=FALSE,"",Pressure_2_R1!W11)</f>
        <v/>
      </c>
      <c r="H16" s="268" t="str">
        <f>IF($B16=FALSE,"",Pressure_2_R1!X11)</f>
        <v/>
      </c>
      <c r="I16" s="270" t="b">
        <f t="shared" si="15"/>
        <v>0</v>
      </c>
      <c r="J16" s="269" t="str">
        <f>IF($B16=FALSE,"",IF(Pressure_2_R1!D143="","기준기값없음",IF(Pressure_2_R1!L143="ok",Pressure_2_R1!D143,"파워선택안함")))</f>
        <v/>
      </c>
      <c r="K16" s="190" t="str">
        <f t="shared" si="6"/>
        <v/>
      </c>
      <c r="L16" s="191" t="str">
        <f t="shared" si="7"/>
        <v/>
      </c>
      <c r="M16" s="271" t="str">
        <f t="shared" si="8"/>
        <v/>
      </c>
      <c r="N16" s="188" t="str">
        <f t="shared" si="16"/>
        <v/>
      </c>
      <c r="O16" s="189" t="str">
        <f t="shared" si="17"/>
        <v/>
      </c>
      <c r="P16" s="189" t="str">
        <f t="shared" si="18"/>
        <v/>
      </c>
      <c r="Q16" s="272" t="str">
        <f t="shared" si="19"/>
        <v/>
      </c>
      <c r="R16" s="182"/>
      <c r="S16" s="192" t="b">
        <f t="shared" si="9"/>
        <v>0</v>
      </c>
      <c r="T16" s="396" t="s">
        <v>524</v>
      </c>
      <c r="U16" s="397">
        <v>8</v>
      </c>
      <c r="V16" s="192" t="str">
        <f t="shared" ca="1" si="10"/>
        <v/>
      </c>
      <c r="W16" s="192" t="str">
        <f t="shared" ca="1" si="11"/>
        <v/>
      </c>
      <c r="X16" s="192" t="str">
        <f t="shared" ca="1" si="12"/>
        <v/>
      </c>
      <c r="Y16" s="401" t="str">
        <f t="shared" si="20"/>
        <v/>
      </c>
      <c r="Z16" s="249" t="str">
        <f t="shared" si="13"/>
        <v/>
      </c>
      <c r="AA16" s="190" t="str">
        <f t="shared" si="21"/>
        <v/>
      </c>
      <c r="AB16" s="192" t="str">
        <f t="shared" si="21"/>
        <v/>
      </c>
      <c r="AC16" s="192" t="str">
        <f t="shared" si="21"/>
        <v/>
      </c>
      <c r="AD16" s="400" t="str">
        <f t="shared" si="14"/>
        <v/>
      </c>
      <c r="AF16" s="337" t="s">
        <v>655</v>
      </c>
      <c r="AG16" s="339">
        <f t="shared" si="0"/>
        <v>3386.3889999999997</v>
      </c>
      <c r="AH16" s="339">
        <f t="shared" si="4"/>
        <v>33.863889999999998</v>
      </c>
      <c r="AI16" s="339">
        <f t="shared" si="1"/>
        <v>3.3863889999999999</v>
      </c>
      <c r="AJ16" s="339">
        <v>3.3863890000000001E-3</v>
      </c>
      <c r="AK16" s="339">
        <f t="shared" si="2"/>
        <v>3386.3889999999997</v>
      </c>
      <c r="AL16" s="339">
        <f t="shared" si="5"/>
        <v>33.863889999999998</v>
      </c>
      <c r="AM16" s="339">
        <f t="shared" si="3"/>
        <v>3.3863889999999999</v>
      </c>
      <c r="AN16" s="339">
        <v>3.3863890000000001E-3</v>
      </c>
    </row>
    <row r="17" spans="2:40" s="179" customFormat="1" ht="15" customHeight="1">
      <c r="B17" s="186" t="b">
        <f>IF(Pressure_2_R1!A12="",FALSE,TRUE)</f>
        <v>0</v>
      </c>
      <c r="C17" s="187">
        <v>9</v>
      </c>
      <c r="D17" s="514" t="str">
        <f>IF($B17=FALSE,"",표준압력!F12)</f>
        <v/>
      </c>
      <c r="E17" s="188" t="str">
        <f>IF($B17=FALSE,"",표준압력!H12)</f>
        <v/>
      </c>
      <c r="F17" s="188" t="str">
        <f>IF($B17=FALSE,"",Pressure_2_R1!V12)</f>
        <v/>
      </c>
      <c r="G17" s="189" t="str">
        <f>IF($B17=FALSE,"",Pressure_2_R1!W12)</f>
        <v/>
      </c>
      <c r="H17" s="268" t="str">
        <f>IF($B17=FALSE,"",Pressure_2_R1!X12)</f>
        <v/>
      </c>
      <c r="I17" s="270" t="b">
        <f t="shared" si="15"/>
        <v>0</v>
      </c>
      <c r="J17" s="269" t="str">
        <f>IF($B17=FALSE,"",IF(Pressure_2_R1!D144="","기준기값없음",IF(Pressure_2_R1!L144="ok",Pressure_2_R1!D144,"파워선택안함")))</f>
        <v/>
      </c>
      <c r="K17" s="190" t="str">
        <f t="shared" si="6"/>
        <v/>
      </c>
      <c r="L17" s="191" t="str">
        <f t="shared" si="7"/>
        <v/>
      </c>
      <c r="M17" s="271" t="str">
        <f t="shared" si="8"/>
        <v/>
      </c>
      <c r="N17" s="188" t="str">
        <f t="shared" si="16"/>
        <v/>
      </c>
      <c r="O17" s="189" t="str">
        <f t="shared" si="17"/>
        <v/>
      </c>
      <c r="P17" s="189" t="str">
        <f t="shared" si="18"/>
        <v/>
      </c>
      <c r="Q17" s="272" t="str">
        <f t="shared" si="19"/>
        <v/>
      </c>
      <c r="R17" s="182"/>
      <c r="S17" s="192" t="b">
        <f t="shared" si="9"/>
        <v>0</v>
      </c>
      <c r="T17" s="396" t="s">
        <v>524</v>
      </c>
      <c r="U17" s="397">
        <v>9</v>
      </c>
      <c r="V17" s="192" t="str">
        <f t="shared" ca="1" si="10"/>
        <v/>
      </c>
      <c r="W17" s="192" t="str">
        <f t="shared" ca="1" si="11"/>
        <v/>
      </c>
      <c r="X17" s="192" t="str">
        <f t="shared" ca="1" si="12"/>
        <v/>
      </c>
      <c r="Y17" s="401" t="str">
        <f t="shared" si="20"/>
        <v/>
      </c>
      <c r="Z17" s="249" t="str">
        <f t="shared" si="13"/>
        <v/>
      </c>
      <c r="AA17" s="190" t="str">
        <f t="shared" si="21"/>
        <v/>
      </c>
      <c r="AB17" s="192" t="str">
        <f t="shared" si="21"/>
        <v/>
      </c>
      <c r="AC17" s="192" t="str">
        <f t="shared" si="21"/>
        <v/>
      </c>
      <c r="AD17" s="400" t="str">
        <f t="shared" si="14"/>
        <v/>
      </c>
      <c r="AF17" s="337" t="s">
        <v>656</v>
      </c>
      <c r="AG17" s="339">
        <f t="shared" si="0"/>
        <v>133.32240000000002</v>
      </c>
      <c r="AH17" s="339">
        <f t="shared" si="4"/>
        <v>1.333224</v>
      </c>
      <c r="AI17" s="339">
        <f t="shared" si="1"/>
        <v>0.13332240000000001</v>
      </c>
      <c r="AJ17" s="339">
        <v>1.3332240000000001E-4</v>
      </c>
      <c r="AK17" s="339">
        <f t="shared" si="2"/>
        <v>133.32240000000002</v>
      </c>
      <c r="AL17" s="339">
        <f t="shared" si="5"/>
        <v>1.333224</v>
      </c>
      <c r="AM17" s="339">
        <f t="shared" si="3"/>
        <v>0.13332240000000001</v>
      </c>
      <c r="AN17" s="339">
        <v>1.3332240000000001E-4</v>
      </c>
    </row>
    <row r="18" spans="2:40" s="179" customFormat="1" ht="15" customHeight="1">
      <c r="B18" s="186" t="b">
        <f>IF(Pressure_2_R1!A13="",FALSE,TRUE)</f>
        <v>0</v>
      </c>
      <c r="C18" s="187">
        <v>10</v>
      </c>
      <c r="D18" s="514" t="str">
        <f>IF($B18=FALSE,"",표준압력!F13)</f>
        <v/>
      </c>
      <c r="E18" s="188" t="str">
        <f>IF($B18=FALSE,"",표준압력!H13)</f>
        <v/>
      </c>
      <c r="F18" s="188" t="str">
        <f>IF($B18=FALSE,"",Pressure_2_R1!V13)</f>
        <v/>
      </c>
      <c r="G18" s="189" t="str">
        <f>IF($B18=FALSE,"",Pressure_2_R1!W13)</f>
        <v/>
      </c>
      <c r="H18" s="268" t="str">
        <f>IF($B18=FALSE,"",Pressure_2_R1!X13)</f>
        <v/>
      </c>
      <c r="I18" s="270" t="b">
        <f t="shared" si="15"/>
        <v>0</v>
      </c>
      <c r="J18" s="269" t="str">
        <f>IF($B18=FALSE,"",IF(Pressure_2_R1!D145="","기준기값없음",IF(Pressure_2_R1!L145="ok",Pressure_2_R1!D145,"파워선택안함")))</f>
        <v/>
      </c>
      <c r="K18" s="190" t="str">
        <f t="shared" si="6"/>
        <v/>
      </c>
      <c r="L18" s="191" t="str">
        <f t="shared" si="7"/>
        <v/>
      </c>
      <c r="M18" s="271" t="str">
        <f t="shared" si="8"/>
        <v/>
      </c>
      <c r="N18" s="188" t="str">
        <f t="shared" si="16"/>
        <v/>
      </c>
      <c r="O18" s="189" t="str">
        <f t="shared" si="17"/>
        <v/>
      </c>
      <c r="P18" s="189" t="str">
        <f t="shared" si="18"/>
        <v/>
      </c>
      <c r="Q18" s="272" t="str">
        <f t="shared" si="19"/>
        <v/>
      </c>
      <c r="R18" s="182"/>
      <c r="S18" s="192" t="b">
        <f t="shared" si="9"/>
        <v>0</v>
      </c>
      <c r="T18" s="396" t="s">
        <v>524</v>
      </c>
      <c r="U18" s="397">
        <v>10</v>
      </c>
      <c r="V18" s="192" t="str">
        <f t="shared" ca="1" si="10"/>
        <v/>
      </c>
      <c r="W18" s="192" t="str">
        <f t="shared" ca="1" si="11"/>
        <v/>
      </c>
      <c r="X18" s="192" t="str">
        <f t="shared" ca="1" si="12"/>
        <v/>
      </c>
      <c r="Y18" s="401" t="str">
        <f t="shared" si="20"/>
        <v/>
      </c>
      <c r="Z18" s="249" t="str">
        <f t="shared" si="13"/>
        <v/>
      </c>
      <c r="AA18" s="190" t="str">
        <f t="shared" si="21"/>
        <v/>
      </c>
      <c r="AB18" s="192" t="str">
        <f t="shared" si="21"/>
        <v/>
      </c>
      <c r="AC18" s="192" t="str">
        <f t="shared" si="21"/>
        <v/>
      </c>
      <c r="AD18" s="400" t="str">
        <f t="shared" si="14"/>
        <v/>
      </c>
      <c r="AF18" s="337" t="s">
        <v>657</v>
      </c>
      <c r="AG18" s="339">
        <f t="shared" si="0"/>
        <v>1333.2239999999999</v>
      </c>
      <c r="AH18" s="339">
        <f t="shared" si="4"/>
        <v>13.332239999999999</v>
      </c>
      <c r="AI18" s="339">
        <f t="shared" si="1"/>
        <v>1.333224</v>
      </c>
      <c r="AJ18" s="339">
        <v>1.333224E-3</v>
      </c>
      <c r="AK18" s="339">
        <f t="shared" si="2"/>
        <v>1333.2239999999999</v>
      </c>
      <c r="AL18" s="339">
        <f t="shared" si="5"/>
        <v>13.332239999999999</v>
      </c>
      <c r="AM18" s="339">
        <f t="shared" si="3"/>
        <v>1.333224</v>
      </c>
      <c r="AN18" s="339">
        <v>1.333224E-3</v>
      </c>
    </row>
    <row r="19" spans="2:40" s="179" customFormat="1" ht="15" customHeight="1">
      <c r="B19" s="186" t="b">
        <f>IF(Pressure_2_R1!A14="",FALSE,TRUE)</f>
        <v>0</v>
      </c>
      <c r="C19" s="187">
        <v>11</v>
      </c>
      <c r="D19" s="514" t="str">
        <f>IF($B19=FALSE,"",표준압력!F14)</f>
        <v/>
      </c>
      <c r="E19" s="188" t="str">
        <f>IF($B19=FALSE,"",표준압력!H14)</f>
        <v/>
      </c>
      <c r="F19" s="188" t="str">
        <f>IF($B19=FALSE,"",Pressure_2_R1!V14)</f>
        <v/>
      </c>
      <c r="G19" s="189" t="str">
        <f>IF($B19=FALSE,"",Pressure_2_R1!W14)</f>
        <v/>
      </c>
      <c r="H19" s="268" t="str">
        <f>IF($B19=FALSE,"",Pressure_2_R1!X14)</f>
        <v/>
      </c>
      <c r="I19" s="270" t="b">
        <f t="shared" si="15"/>
        <v>0</v>
      </c>
      <c r="J19" s="269" t="str">
        <f>IF($B19=FALSE,"",IF(Pressure_2_R1!D146="","기준기값없음",IF(Pressure_2_R1!L146="ok",Pressure_2_R1!D146,"파워선택안함")))</f>
        <v/>
      </c>
      <c r="K19" s="190" t="str">
        <f t="shared" si="6"/>
        <v/>
      </c>
      <c r="L19" s="191" t="str">
        <f t="shared" si="7"/>
        <v/>
      </c>
      <c r="M19" s="271" t="str">
        <f t="shared" si="8"/>
        <v/>
      </c>
      <c r="N19" s="188" t="str">
        <f t="shared" si="16"/>
        <v/>
      </c>
      <c r="O19" s="189" t="str">
        <f t="shared" si="17"/>
        <v/>
      </c>
      <c r="P19" s="189" t="str">
        <f t="shared" si="18"/>
        <v/>
      </c>
      <c r="Q19" s="272" t="str">
        <f t="shared" si="19"/>
        <v/>
      </c>
      <c r="R19" s="182"/>
      <c r="S19" s="192" t="b">
        <f t="shared" si="9"/>
        <v>0</v>
      </c>
      <c r="T19" s="396" t="s">
        <v>704</v>
      </c>
      <c r="U19" s="397">
        <v>11</v>
      </c>
      <c r="V19" s="192" t="str">
        <f t="shared" ca="1" si="10"/>
        <v/>
      </c>
      <c r="W19" s="192" t="str">
        <f t="shared" ca="1" si="11"/>
        <v/>
      </c>
      <c r="X19" s="192" t="str">
        <f t="shared" ca="1" si="12"/>
        <v/>
      </c>
      <c r="Y19" s="401" t="str">
        <f t="shared" si="20"/>
        <v/>
      </c>
      <c r="Z19" s="249" t="str">
        <f t="shared" si="13"/>
        <v/>
      </c>
      <c r="AA19" s="190" t="str">
        <f t="shared" si="21"/>
        <v/>
      </c>
      <c r="AB19" s="192" t="str">
        <f t="shared" si="21"/>
        <v/>
      </c>
      <c r="AC19" s="192" t="str">
        <f t="shared" si="21"/>
        <v/>
      </c>
      <c r="AD19" s="400" t="str">
        <f t="shared" si="14"/>
        <v/>
      </c>
      <c r="AF19" s="337" t="s">
        <v>658</v>
      </c>
      <c r="AG19" s="339">
        <f t="shared" si="0"/>
        <v>249.0889</v>
      </c>
      <c r="AH19" s="339">
        <f t="shared" si="4"/>
        <v>2.4908890000000001</v>
      </c>
      <c r="AI19" s="339">
        <f t="shared" si="1"/>
        <v>0.2490889</v>
      </c>
      <c r="AJ19" s="339">
        <v>2.4908889999999999E-4</v>
      </c>
      <c r="AK19" s="339">
        <f t="shared" si="2"/>
        <v>249.0889</v>
      </c>
      <c r="AL19" s="339">
        <f t="shared" si="5"/>
        <v>2.4908890000000001</v>
      </c>
      <c r="AM19" s="339">
        <f t="shared" si="3"/>
        <v>0.2490889</v>
      </c>
      <c r="AN19" s="339">
        <v>2.4908889999999999E-4</v>
      </c>
    </row>
    <row r="20" spans="2:40" s="179" customFormat="1" ht="15" customHeight="1">
      <c r="B20" s="186" t="b">
        <f>IF(Pressure_2_R1!A15="",FALSE,TRUE)</f>
        <v>0</v>
      </c>
      <c r="C20" s="187">
        <v>12</v>
      </c>
      <c r="D20" s="514" t="str">
        <f>IF($B20=FALSE,"",표준압력!F15)</f>
        <v/>
      </c>
      <c r="E20" s="188" t="str">
        <f>IF($B20=FALSE,"",표준압력!H15)</f>
        <v/>
      </c>
      <c r="F20" s="188" t="str">
        <f>IF($B20=FALSE,"",Pressure_2_R1!V15)</f>
        <v/>
      </c>
      <c r="G20" s="189" t="str">
        <f>IF($B20=FALSE,"",Pressure_2_R1!W15)</f>
        <v/>
      </c>
      <c r="H20" s="268" t="str">
        <f>IF($B20=FALSE,"",Pressure_2_R1!X15)</f>
        <v/>
      </c>
      <c r="I20" s="270" t="b">
        <f t="shared" si="15"/>
        <v>0</v>
      </c>
      <c r="J20" s="269" t="str">
        <f>IF($B20=FALSE,"",IF(Pressure_2_R1!D147="","기준기값없음",IF(Pressure_2_R1!L147="ok",Pressure_2_R1!D147,"파워선택안함")))</f>
        <v/>
      </c>
      <c r="K20" s="190" t="str">
        <f t="shared" si="6"/>
        <v/>
      </c>
      <c r="L20" s="191" t="str">
        <f t="shared" si="7"/>
        <v/>
      </c>
      <c r="M20" s="271" t="str">
        <f t="shared" si="8"/>
        <v/>
      </c>
      <c r="N20" s="188" t="str">
        <f t="shared" si="16"/>
        <v/>
      </c>
      <c r="O20" s="189" t="str">
        <f t="shared" si="17"/>
        <v/>
      </c>
      <c r="P20" s="189" t="str">
        <f t="shared" si="18"/>
        <v/>
      </c>
      <c r="Q20" s="272" t="str">
        <f t="shared" si="19"/>
        <v/>
      </c>
      <c r="R20" s="182"/>
      <c r="S20" s="192" t="b">
        <f t="shared" si="9"/>
        <v>0</v>
      </c>
      <c r="T20" s="396" t="s">
        <v>705</v>
      </c>
      <c r="U20" s="397">
        <v>12</v>
      </c>
      <c r="V20" s="192" t="str">
        <f t="shared" ca="1" si="10"/>
        <v/>
      </c>
      <c r="W20" s="192" t="str">
        <f t="shared" ca="1" si="11"/>
        <v/>
      </c>
      <c r="X20" s="192" t="str">
        <f t="shared" ca="1" si="12"/>
        <v/>
      </c>
      <c r="Y20" s="401" t="str">
        <f t="shared" si="20"/>
        <v/>
      </c>
      <c r="Z20" s="249" t="str">
        <f t="shared" si="13"/>
        <v/>
      </c>
      <c r="AA20" s="190" t="str">
        <f t="shared" si="21"/>
        <v/>
      </c>
      <c r="AB20" s="192" t="str">
        <f t="shared" si="21"/>
        <v/>
      </c>
      <c r="AC20" s="192" t="str">
        <f t="shared" si="21"/>
        <v/>
      </c>
      <c r="AD20" s="400" t="str">
        <f t="shared" si="14"/>
        <v/>
      </c>
      <c r="AF20" s="337" t="s">
        <v>659</v>
      </c>
      <c r="AG20" s="339">
        <f t="shared" si="0"/>
        <v>9.8066499999999994</v>
      </c>
      <c r="AH20" s="339">
        <f t="shared" si="4"/>
        <v>9.8066500000000001E-2</v>
      </c>
      <c r="AI20" s="339">
        <f t="shared" si="1"/>
        <v>9.8066500000000001E-3</v>
      </c>
      <c r="AJ20" s="339">
        <v>9.8066500000000004E-6</v>
      </c>
      <c r="AK20" s="339">
        <f t="shared" si="2"/>
        <v>9.8066499999999994</v>
      </c>
      <c r="AL20" s="339">
        <f t="shared" si="5"/>
        <v>9.8066500000000001E-2</v>
      </c>
      <c r="AM20" s="339">
        <f t="shared" si="3"/>
        <v>9.8066500000000001E-3</v>
      </c>
      <c r="AN20" s="339">
        <v>9.8066500000000004E-6</v>
      </c>
    </row>
    <row r="21" spans="2:40" s="179" customFormat="1" ht="15" customHeight="1">
      <c r="B21" s="186" t="b">
        <f>IF(Pressure_2_R1!A16="",FALSE,TRUE)</f>
        <v>0</v>
      </c>
      <c r="C21" s="187">
        <v>13</v>
      </c>
      <c r="D21" s="514" t="str">
        <f>IF($B21=FALSE,"",표준압력!F16)</f>
        <v/>
      </c>
      <c r="E21" s="188" t="str">
        <f>IF($B21=FALSE,"",표준압력!H16)</f>
        <v/>
      </c>
      <c r="F21" s="188" t="str">
        <f>IF($B21=FALSE,"",Pressure_2_R1!V16)</f>
        <v/>
      </c>
      <c r="G21" s="189" t="str">
        <f>IF($B21=FALSE,"",Pressure_2_R1!W16)</f>
        <v/>
      </c>
      <c r="H21" s="268" t="str">
        <f>IF($B21=FALSE,"",Pressure_2_R1!X16)</f>
        <v/>
      </c>
      <c r="I21" s="270" t="b">
        <f t="shared" si="15"/>
        <v>0</v>
      </c>
      <c r="J21" s="269" t="str">
        <f>IF($B21=FALSE,"",IF(Pressure_2_R1!D148="","기준기값없음",IF(Pressure_2_R1!L148="ok",Pressure_2_R1!D148,"파워선택안함")))</f>
        <v/>
      </c>
      <c r="K21" s="190" t="str">
        <f t="shared" si="6"/>
        <v/>
      </c>
      <c r="L21" s="191" t="str">
        <f t="shared" si="7"/>
        <v/>
      </c>
      <c r="M21" s="271" t="str">
        <f t="shared" si="8"/>
        <v/>
      </c>
      <c r="N21" s="188" t="str">
        <f t="shared" si="16"/>
        <v/>
      </c>
      <c r="O21" s="189" t="str">
        <f t="shared" si="17"/>
        <v/>
      </c>
      <c r="P21" s="189" t="str">
        <f t="shared" si="18"/>
        <v/>
      </c>
      <c r="Q21" s="272" t="str">
        <f t="shared" si="19"/>
        <v/>
      </c>
      <c r="R21" s="182"/>
      <c r="S21" s="192" t="b">
        <f t="shared" si="9"/>
        <v>0</v>
      </c>
      <c r="T21" s="396" t="s">
        <v>524</v>
      </c>
      <c r="U21" s="397">
        <v>13</v>
      </c>
      <c r="V21" s="192" t="str">
        <f t="shared" ca="1" si="10"/>
        <v/>
      </c>
      <c r="W21" s="192" t="str">
        <f t="shared" ca="1" si="11"/>
        <v/>
      </c>
      <c r="X21" s="192" t="str">
        <f t="shared" ca="1" si="12"/>
        <v/>
      </c>
      <c r="Y21" s="401" t="str">
        <f t="shared" si="20"/>
        <v/>
      </c>
      <c r="Z21" s="249" t="str">
        <f t="shared" si="13"/>
        <v/>
      </c>
      <c r="AA21" s="190" t="str">
        <f t="shared" si="21"/>
        <v/>
      </c>
      <c r="AB21" s="192" t="str">
        <f t="shared" si="21"/>
        <v/>
      </c>
      <c r="AC21" s="192" t="str">
        <f t="shared" si="21"/>
        <v/>
      </c>
      <c r="AD21" s="400" t="str">
        <f t="shared" si="14"/>
        <v/>
      </c>
      <c r="AF21" s="337" t="s">
        <v>660</v>
      </c>
      <c r="AG21" s="339">
        <f t="shared" si="0"/>
        <v>98.066500000000005</v>
      </c>
      <c r="AH21" s="339">
        <f t="shared" si="4"/>
        <v>0.98066500000000001</v>
      </c>
      <c r="AI21" s="339">
        <f t="shared" si="1"/>
        <v>9.8066500000000001E-2</v>
      </c>
      <c r="AJ21" s="340">
        <v>9.80665E-5</v>
      </c>
      <c r="AK21" s="339">
        <f t="shared" si="2"/>
        <v>98.066500000000005</v>
      </c>
      <c r="AL21" s="339">
        <f t="shared" si="5"/>
        <v>0.98066500000000001</v>
      </c>
      <c r="AM21" s="339">
        <f t="shared" si="3"/>
        <v>9.8066500000000001E-2</v>
      </c>
      <c r="AN21" s="340">
        <v>9.80665E-5</v>
      </c>
    </row>
    <row r="22" spans="2:40" s="179" customFormat="1" ht="15" customHeight="1">
      <c r="B22" s="186" t="b">
        <f>IF(Pressure_2_R1!A17="",FALSE,TRUE)</f>
        <v>0</v>
      </c>
      <c r="C22" s="187">
        <v>14</v>
      </c>
      <c r="D22" s="514" t="str">
        <f>IF($B22=FALSE,"",표준압력!F17)</f>
        <v/>
      </c>
      <c r="E22" s="188" t="str">
        <f>IF($B22=FALSE,"",표준압력!H17)</f>
        <v/>
      </c>
      <c r="F22" s="188" t="str">
        <f>IF($B22=FALSE,"",Pressure_2_R1!V17)</f>
        <v/>
      </c>
      <c r="G22" s="189" t="str">
        <f>IF($B22=FALSE,"",Pressure_2_R1!W17)</f>
        <v/>
      </c>
      <c r="H22" s="268" t="str">
        <f>IF($B22=FALSE,"",Pressure_2_R1!X17)</f>
        <v/>
      </c>
      <c r="I22" s="270" t="b">
        <f t="shared" si="15"/>
        <v>0</v>
      </c>
      <c r="J22" s="269" t="str">
        <f>IF($B22=FALSE,"",IF(Pressure_2_R1!D149="","기준기값없음",IF(Pressure_2_R1!L149="ok",Pressure_2_R1!D149,"파워선택안함")))</f>
        <v/>
      </c>
      <c r="K22" s="190" t="str">
        <f t="shared" si="6"/>
        <v/>
      </c>
      <c r="L22" s="191" t="str">
        <f t="shared" si="7"/>
        <v/>
      </c>
      <c r="M22" s="271" t="str">
        <f t="shared" si="8"/>
        <v/>
      </c>
      <c r="N22" s="188" t="str">
        <f t="shared" si="16"/>
        <v/>
      </c>
      <c r="O22" s="189" t="str">
        <f t="shared" si="17"/>
        <v/>
      </c>
      <c r="P22" s="189" t="str">
        <f t="shared" si="18"/>
        <v/>
      </c>
      <c r="Q22" s="272" t="str">
        <f t="shared" si="19"/>
        <v/>
      </c>
      <c r="R22" s="182"/>
      <c r="S22" s="192" t="b">
        <f t="shared" si="9"/>
        <v>0</v>
      </c>
      <c r="T22" s="396" t="s">
        <v>524</v>
      </c>
      <c r="U22" s="397">
        <v>14</v>
      </c>
      <c r="V22" s="192" t="str">
        <f t="shared" ca="1" si="10"/>
        <v/>
      </c>
      <c r="W22" s="192" t="str">
        <f t="shared" ca="1" si="11"/>
        <v/>
      </c>
      <c r="X22" s="192" t="str">
        <f t="shared" ca="1" si="12"/>
        <v/>
      </c>
      <c r="Y22" s="401" t="str">
        <f t="shared" si="20"/>
        <v/>
      </c>
      <c r="Z22" s="249" t="str">
        <f t="shared" si="13"/>
        <v/>
      </c>
      <c r="AA22" s="190" t="str">
        <f t="shared" si="21"/>
        <v/>
      </c>
      <c r="AB22" s="192" t="str">
        <f t="shared" si="21"/>
        <v/>
      </c>
      <c r="AC22" s="192" t="str">
        <f t="shared" si="21"/>
        <v/>
      </c>
      <c r="AD22" s="400" t="str">
        <f t="shared" si="14"/>
        <v/>
      </c>
      <c r="AF22" s="337" t="s">
        <v>661</v>
      </c>
      <c r="AG22" s="339">
        <v>10000</v>
      </c>
      <c r="AH22" s="339">
        <f t="shared" si="4"/>
        <v>100</v>
      </c>
      <c r="AI22" s="339">
        <v>10</v>
      </c>
      <c r="AJ22" s="340">
        <v>0.01</v>
      </c>
      <c r="AK22" s="339">
        <v>10000</v>
      </c>
      <c r="AL22" s="339">
        <f t="shared" si="5"/>
        <v>100</v>
      </c>
      <c r="AM22" s="339">
        <v>10</v>
      </c>
      <c r="AN22" s="340">
        <v>0.01</v>
      </c>
    </row>
    <row r="23" spans="2:40" s="179" customFormat="1" ht="15" customHeight="1">
      <c r="B23" s="186" t="b">
        <f>IF(Pressure_2_R1!A18="",FALSE,TRUE)</f>
        <v>0</v>
      </c>
      <c r="C23" s="187">
        <v>15</v>
      </c>
      <c r="D23" s="514" t="str">
        <f>IF($B23=FALSE,"",표준압력!F18)</f>
        <v/>
      </c>
      <c r="E23" s="188" t="str">
        <f>IF($B23=FALSE,"",표준압력!H18)</f>
        <v/>
      </c>
      <c r="F23" s="188" t="str">
        <f>IF($B23=FALSE,"",Pressure_2_R1!V18)</f>
        <v/>
      </c>
      <c r="G23" s="189" t="str">
        <f>IF($B23=FALSE,"",Pressure_2_R1!W18)</f>
        <v/>
      </c>
      <c r="H23" s="268" t="str">
        <f>IF($B23=FALSE,"",Pressure_2_R1!X18)</f>
        <v/>
      </c>
      <c r="I23" s="270" t="b">
        <f t="shared" si="15"/>
        <v>0</v>
      </c>
      <c r="J23" s="269" t="str">
        <f>IF($B23=FALSE,"",IF(Pressure_2_R1!D150="","기준기값없음",IF(Pressure_2_R1!L150="ok",Pressure_2_R1!D150,"파워선택안함")))</f>
        <v/>
      </c>
      <c r="K23" s="190" t="str">
        <f t="shared" si="6"/>
        <v/>
      </c>
      <c r="L23" s="191" t="str">
        <f t="shared" si="7"/>
        <v/>
      </c>
      <c r="M23" s="271" t="str">
        <f t="shared" si="8"/>
        <v/>
      </c>
      <c r="N23" s="188" t="str">
        <f t="shared" si="16"/>
        <v/>
      </c>
      <c r="O23" s="189" t="str">
        <f t="shared" si="17"/>
        <v/>
      </c>
      <c r="P23" s="189" t="str">
        <f t="shared" si="18"/>
        <v/>
      </c>
      <c r="Q23" s="272" t="str">
        <f t="shared" si="19"/>
        <v/>
      </c>
      <c r="R23" s="182"/>
      <c r="S23" s="192" t="b">
        <f t="shared" si="9"/>
        <v>0</v>
      </c>
      <c r="T23" s="396" t="s">
        <v>706</v>
      </c>
      <c r="U23" s="397">
        <v>15</v>
      </c>
      <c r="V23" s="192" t="str">
        <f t="shared" ca="1" si="10"/>
        <v/>
      </c>
      <c r="W23" s="192" t="str">
        <f t="shared" ca="1" si="11"/>
        <v/>
      </c>
      <c r="X23" s="192" t="str">
        <f t="shared" ca="1" si="12"/>
        <v/>
      </c>
      <c r="Y23" s="401" t="str">
        <f t="shared" si="20"/>
        <v/>
      </c>
      <c r="Z23" s="249" t="str">
        <f t="shared" si="13"/>
        <v/>
      </c>
      <c r="AA23" s="190" t="str">
        <f t="shared" si="21"/>
        <v/>
      </c>
      <c r="AB23" s="192" t="str">
        <f t="shared" si="21"/>
        <v/>
      </c>
      <c r="AC23" s="192" t="str">
        <f t="shared" si="21"/>
        <v/>
      </c>
      <c r="AD23" s="400" t="str">
        <f t="shared" si="14"/>
        <v/>
      </c>
      <c r="AF23" s="337" t="s">
        <v>662</v>
      </c>
      <c r="AG23" s="339">
        <f t="shared" ref="AG23:AG30" si="22">AI23*1000</f>
        <v>1</v>
      </c>
      <c r="AH23" s="339">
        <f t="shared" si="4"/>
        <v>0.01</v>
      </c>
      <c r="AI23" s="339">
        <f t="shared" ref="AI23:AI30" si="23">AJ23*1000</f>
        <v>1E-3</v>
      </c>
      <c r="AJ23" s="339">
        <v>9.9999999999999995E-7</v>
      </c>
      <c r="AK23" s="339">
        <f t="shared" ref="AK23:AK30" si="24">AM23*1000</f>
        <v>1</v>
      </c>
      <c r="AL23" s="339">
        <f t="shared" si="5"/>
        <v>0.01</v>
      </c>
      <c r="AM23" s="339">
        <f t="shared" ref="AM23:AM30" si="25">AN23*1000</f>
        <v>1E-3</v>
      </c>
      <c r="AN23" s="339">
        <v>9.9999999999999995E-7</v>
      </c>
    </row>
    <row r="24" spans="2:40" s="179" customFormat="1" ht="15" customHeight="1">
      <c r="B24" s="186" t="b">
        <f>IF(Pressure_2_R1!A19="",FALSE,TRUE)</f>
        <v>0</v>
      </c>
      <c r="C24" s="187">
        <v>16</v>
      </c>
      <c r="D24" s="514" t="str">
        <f>IF($B24=FALSE,"",표준압력!F19)</f>
        <v/>
      </c>
      <c r="E24" s="188" t="str">
        <f>IF($B24=FALSE,"",표준압력!H19)</f>
        <v/>
      </c>
      <c r="F24" s="188" t="str">
        <f>IF($B24=FALSE,"",Pressure_2_R1!V19)</f>
        <v/>
      </c>
      <c r="G24" s="189" t="str">
        <f>IF($B24=FALSE,"",Pressure_2_R1!W19)</f>
        <v/>
      </c>
      <c r="H24" s="268" t="str">
        <f>IF($B24=FALSE,"",Pressure_2_R1!X19)</f>
        <v/>
      </c>
      <c r="I24" s="270" t="b">
        <f t="shared" si="15"/>
        <v>0</v>
      </c>
      <c r="J24" s="269" t="str">
        <f>IF($B24=FALSE,"",IF(Pressure_2_R1!D151="","기준기값없음",IF(Pressure_2_R1!L151="ok",Pressure_2_R1!D151,"파워선택안함")))</f>
        <v/>
      </c>
      <c r="K24" s="190" t="str">
        <f t="shared" si="6"/>
        <v/>
      </c>
      <c r="L24" s="191" t="str">
        <f t="shared" si="7"/>
        <v/>
      </c>
      <c r="M24" s="271" t="str">
        <f t="shared" si="8"/>
        <v/>
      </c>
      <c r="N24" s="188" t="str">
        <f t="shared" si="16"/>
        <v/>
      </c>
      <c r="O24" s="189" t="str">
        <f t="shared" si="17"/>
        <v/>
      </c>
      <c r="P24" s="189" t="str">
        <f t="shared" si="18"/>
        <v/>
      </c>
      <c r="Q24" s="272" t="str">
        <f t="shared" si="19"/>
        <v/>
      </c>
      <c r="R24" s="182"/>
      <c r="S24" s="192" t="b">
        <f t="shared" si="9"/>
        <v>0</v>
      </c>
      <c r="T24" s="398" t="s">
        <v>346</v>
      </c>
      <c r="U24" s="399">
        <v>1</v>
      </c>
      <c r="V24" s="192" t="str">
        <f ca="1">IF($S24=FALSE,"",IF($T24="가압",K24,OFFSET(K$8,$C$3*2-($U24-1),0)))</f>
        <v/>
      </c>
      <c r="W24" s="192" t="str">
        <f t="shared" ca="1" si="11"/>
        <v/>
      </c>
      <c r="X24" s="192" t="str">
        <f t="shared" ca="1" si="12"/>
        <v/>
      </c>
      <c r="Y24" s="401" t="str">
        <f t="shared" si="20"/>
        <v/>
      </c>
      <c r="Z24" s="249" t="str">
        <f t="shared" si="13"/>
        <v/>
      </c>
      <c r="AA24" s="402" t="str">
        <f>IF($S24=FALSE,"",V24-V$24)</f>
        <v/>
      </c>
      <c r="AB24" s="191" t="str">
        <f t="shared" ref="AB24:AB38" si="26">IF($S24=FALSE,"",W24-W$24)</f>
        <v/>
      </c>
      <c r="AC24" s="191" t="str">
        <f t="shared" ref="AC24:AC38" si="27">IF($S24=FALSE,"",X24-X$24)</f>
        <v/>
      </c>
      <c r="AD24" s="400" t="str">
        <f t="shared" si="14"/>
        <v/>
      </c>
      <c r="AF24" s="337" t="s">
        <v>663</v>
      </c>
      <c r="AG24" s="339">
        <f t="shared" si="22"/>
        <v>100</v>
      </c>
      <c r="AH24" s="339">
        <f t="shared" si="4"/>
        <v>1</v>
      </c>
      <c r="AI24" s="339">
        <f t="shared" si="23"/>
        <v>0.1</v>
      </c>
      <c r="AJ24" s="339">
        <v>1E-4</v>
      </c>
      <c r="AK24" s="339">
        <f t="shared" si="24"/>
        <v>100</v>
      </c>
      <c r="AL24" s="339">
        <f t="shared" si="5"/>
        <v>1</v>
      </c>
      <c r="AM24" s="339">
        <f t="shared" si="25"/>
        <v>0.1</v>
      </c>
      <c r="AN24" s="339">
        <v>1E-4</v>
      </c>
    </row>
    <row r="25" spans="2:40" s="179" customFormat="1" ht="15" customHeight="1">
      <c r="B25" s="186" t="b">
        <f>IF(Pressure_2_R1!A20="",FALSE,TRUE)</f>
        <v>0</v>
      </c>
      <c r="C25" s="187">
        <v>17</v>
      </c>
      <c r="D25" s="514" t="str">
        <f>IF($B25=FALSE,"",표준압력!F20)</f>
        <v/>
      </c>
      <c r="E25" s="188" t="str">
        <f>IF($B25=FALSE,"",표준압력!H20)</f>
        <v/>
      </c>
      <c r="F25" s="188" t="str">
        <f>IF($B25=FALSE,"",Pressure_2_R1!V20)</f>
        <v/>
      </c>
      <c r="G25" s="189" t="str">
        <f>IF($B25=FALSE,"",Pressure_2_R1!W20)</f>
        <v/>
      </c>
      <c r="H25" s="268" t="str">
        <f>IF($B25=FALSE,"",Pressure_2_R1!X20)</f>
        <v/>
      </c>
      <c r="I25" s="270" t="b">
        <f t="shared" si="15"/>
        <v>0</v>
      </c>
      <c r="J25" s="269" t="str">
        <f>IF($B25=FALSE,"",IF(Pressure_2_R1!D152="","기준기값없음",IF(Pressure_2_R1!L152="ok",Pressure_2_R1!D152,"파워선택안함")))</f>
        <v/>
      </c>
      <c r="K25" s="190" t="str">
        <f t="shared" si="6"/>
        <v/>
      </c>
      <c r="L25" s="191" t="str">
        <f t="shared" si="7"/>
        <v/>
      </c>
      <c r="M25" s="271" t="str">
        <f t="shared" si="8"/>
        <v/>
      </c>
      <c r="N25" s="188" t="str">
        <f t="shared" si="16"/>
        <v/>
      </c>
      <c r="O25" s="189" t="str">
        <f t="shared" si="17"/>
        <v/>
      </c>
      <c r="P25" s="189" t="str">
        <f t="shared" si="18"/>
        <v/>
      </c>
      <c r="Q25" s="272" t="str">
        <f t="shared" si="19"/>
        <v/>
      </c>
      <c r="R25" s="182"/>
      <c r="S25" s="192" t="b">
        <f t="shared" si="9"/>
        <v>0</v>
      </c>
      <c r="T25" s="398" t="s">
        <v>707</v>
      </c>
      <c r="U25" s="399">
        <v>2</v>
      </c>
      <c r="V25" s="192" t="str">
        <f t="shared" ref="V25:V38" ca="1" si="28">IF($S25=FALSE,"",IF($T25="가압",K25,OFFSET(K$8,$C$3*2-($U25-1),0)))</f>
        <v/>
      </c>
      <c r="W25" s="192" t="str">
        <f t="shared" ca="1" si="11"/>
        <v/>
      </c>
      <c r="X25" s="192" t="str">
        <f t="shared" ca="1" si="12"/>
        <v/>
      </c>
      <c r="Y25" s="401" t="str">
        <f t="shared" si="20"/>
        <v/>
      </c>
      <c r="Z25" s="249" t="str">
        <f t="shared" si="13"/>
        <v/>
      </c>
      <c r="AA25" s="402" t="str">
        <f t="shared" ref="AA25:AA38" si="29">IF($S25=FALSE,"",V25-V$24)</f>
        <v/>
      </c>
      <c r="AB25" s="191" t="str">
        <f t="shared" si="26"/>
        <v/>
      </c>
      <c r="AC25" s="191" t="str">
        <f t="shared" si="27"/>
        <v/>
      </c>
      <c r="AD25" s="400" t="str">
        <f t="shared" si="14"/>
        <v/>
      </c>
      <c r="AF25" s="337" t="s">
        <v>664</v>
      </c>
      <c r="AG25" s="339">
        <f t="shared" si="22"/>
        <v>1000</v>
      </c>
      <c r="AH25" s="339">
        <f t="shared" si="4"/>
        <v>10</v>
      </c>
      <c r="AI25" s="339">
        <f t="shared" si="23"/>
        <v>1</v>
      </c>
      <c r="AJ25" s="339">
        <v>1E-3</v>
      </c>
      <c r="AK25" s="339">
        <f t="shared" si="24"/>
        <v>1000</v>
      </c>
      <c r="AL25" s="339">
        <f t="shared" si="5"/>
        <v>10</v>
      </c>
      <c r="AM25" s="339">
        <f t="shared" si="25"/>
        <v>1</v>
      </c>
      <c r="AN25" s="339">
        <v>1E-3</v>
      </c>
    </row>
    <row r="26" spans="2:40" s="179" customFormat="1" ht="15" customHeight="1">
      <c r="B26" s="186" t="b">
        <f>IF(Pressure_2_R1!A21="",FALSE,TRUE)</f>
        <v>0</v>
      </c>
      <c r="C26" s="187">
        <v>18</v>
      </c>
      <c r="D26" s="514" t="str">
        <f>IF($B26=FALSE,"",표준압력!F21)</f>
        <v/>
      </c>
      <c r="E26" s="188" t="str">
        <f>IF($B26=FALSE,"",표준압력!H21)</f>
        <v/>
      </c>
      <c r="F26" s="188" t="str">
        <f>IF($B26=FALSE,"",Pressure_2_R1!V21)</f>
        <v/>
      </c>
      <c r="G26" s="189" t="str">
        <f>IF($B26=FALSE,"",Pressure_2_R1!W21)</f>
        <v/>
      </c>
      <c r="H26" s="268" t="str">
        <f>IF($B26=FALSE,"",Pressure_2_R1!X21)</f>
        <v/>
      </c>
      <c r="I26" s="270" t="b">
        <f t="shared" si="15"/>
        <v>0</v>
      </c>
      <c r="J26" s="269" t="str">
        <f>IF($B26=FALSE,"",IF(Pressure_2_R1!D153="","기준기값없음",IF(Pressure_2_R1!L153="ok",Pressure_2_R1!D153,"파워선택안함")))</f>
        <v/>
      </c>
      <c r="K26" s="190" t="str">
        <f t="shared" si="6"/>
        <v/>
      </c>
      <c r="L26" s="191" t="str">
        <f t="shared" si="7"/>
        <v/>
      </c>
      <c r="M26" s="271" t="str">
        <f t="shared" si="8"/>
        <v/>
      </c>
      <c r="N26" s="188" t="str">
        <f t="shared" si="16"/>
        <v/>
      </c>
      <c r="O26" s="189" t="str">
        <f t="shared" si="17"/>
        <v/>
      </c>
      <c r="P26" s="189" t="str">
        <f t="shared" si="18"/>
        <v/>
      </c>
      <c r="Q26" s="272" t="str">
        <f t="shared" si="19"/>
        <v/>
      </c>
      <c r="R26" s="182"/>
      <c r="S26" s="192" t="b">
        <f t="shared" si="9"/>
        <v>0</v>
      </c>
      <c r="T26" s="398" t="s">
        <v>346</v>
      </c>
      <c r="U26" s="399">
        <v>3</v>
      </c>
      <c r="V26" s="192" t="str">
        <f t="shared" ca="1" si="28"/>
        <v/>
      </c>
      <c r="W26" s="192" t="str">
        <f t="shared" ca="1" si="11"/>
        <v/>
      </c>
      <c r="X26" s="192" t="str">
        <f t="shared" ca="1" si="12"/>
        <v/>
      </c>
      <c r="Y26" s="401" t="str">
        <f t="shared" si="20"/>
        <v/>
      </c>
      <c r="Z26" s="249" t="str">
        <f t="shared" si="13"/>
        <v/>
      </c>
      <c r="AA26" s="402" t="str">
        <f t="shared" si="29"/>
        <v/>
      </c>
      <c r="AB26" s="191" t="str">
        <f t="shared" si="26"/>
        <v/>
      </c>
      <c r="AC26" s="191" t="str">
        <f t="shared" si="27"/>
        <v/>
      </c>
      <c r="AD26" s="400" t="str">
        <f t="shared" si="14"/>
        <v/>
      </c>
      <c r="AF26" s="337" t="s">
        <v>665</v>
      </c>
      <c r="AG26" s="339">
        <f t="shared" si="22"/>
        <v>1000000</v>
      </c>
      <c r="AH26" s="339">
        <f t="shared" si="4"/>
        <v>10000</v>
      </c>
      <c r="AI26" s="339">
        <f t="shared" si="23"/>
        <v>1000</v>
      </c>
      <c r="AJ26" s="339">
        <v>1</v>
      </c>
      <c r="AK26" s="339">
        <f t="shared" si="24"/>
        <v>1000000</v>
      </c>
      <c r="AL26" s="339">
        <f t="shared" si="5"/>
        <v>10000</v>
      </c>
      <c r="AM26" s="339">
        <f t="shared" si="25"/>
        <v>1000</v>
      </c>
      <c r="AN26" s="339">
        <v>1</v>
      </c>
    </row>
    <row r="27" spans="2:40" s="179" customFormat="1" ht="15" customHeight="1">
      <c r="B27" s="186" t="b">
        <f>IF(Pressure_2_R1!A22="",FALSE,TRUE)</f>
        <v>0</v>
      </c>
      <c r="C27" s="187">
        <v>19</v>
      </c>
      <c r="D27" s="514" t="str">
        <f>IF($B27=FALSE,"",표준압력!F22)</f>
        <v/>
      </c>
      <c r="E27" s="188" t="str">
        <f>IF($B27=FALSE,"",표준압력!H22)</f>
        <v/>
      </c>
      <c r="F27" s="188" t="str">
        <f>IF($B27=FALSE,"",Pressure_2_R1!V22)</f>
        <v/>
      </c>
      <c r="G27" s="189" t="str">
        <f>IF($B27=FALSE,"",Pressure_2_R1!W22)</f>
        <v/>
      </c>
      <c r="H27" s="268" t="str">
        <f>IF($B27=FALSE,"",Pressure_2_R1!X22)</f>
        <v/>
      </c>
      <c r="I27" s="270" t="b">
        <f t="shared" si="15"/>
        <v>0</v>
      </c>
      <c r="J27" s="269" t="str">
        <f>IF($B27=FALSE,"",IF(Pressure_2_R1!D154="","기준기값없음",IF(Pressure_2_R1!L154="ok",Pressure_2_R1!D154,"파워선택안함")))</f>
        <v/>
      </c>
      <c r="K27" s="190" t="str">
        <f t="shared" si="6"/>
        <v/>
      </c>
      <c r="L27" s="191" t="str">
        <f t="shared" si="7"/>
        <v/>
      </c>
      <c r="M27" s="271" t="str">
        <f t="shared" si="8"/>
        <v/>
      </c>
      <c r="N27" s="188" t="str">
        <f t="shared" si="16"/>
        <v/>
      </c>
      <c r="O27" s="189" t="str">
        <f t="shared" si="17"/>
        <v/>
      </c>
      <c r="P27" s="189" t="str">
        <f t="shared" si="18"/>
        <v/>
      </c>
      <c r="Q27" s="272" t="str">
        <f t="shared" si="19"/>
        <v/>
      </c>
      <c r="R27" s="182"/>
      <c r="S27" s="192" t="b">
        <f t="shared" si="9"/>
        <v>0</v>
      </c>
      <c r="T27" s="398" t="s">
        <v>708</v>
      </c>
      <c r="U27" s="399">
        <v>4</v>
      </c>
      <c r="V27" s="192" t="str">
        <f t="shared" ca="1" si="28"/>
        <v/>
      </c>
      <c r="W27" s="192" t="str">
        <f t="shared" ca="1" si="11"/>
        <v/>
      </c>
      <c r="X27" s="192" t="str">
        <f t="shared" ca="1" si="12"/>
        <v/>
      </c>
      <c r="Y27" s="401" t="str">
        <f t="shared" si="20"/>
        <v/>
      </c>
      <c r="Z27" s="249" t="str">
        <f t="shared" si="13"/>
        <v/>
      </c>
      <c r="AA27" s="402" t="str">
        <f t="shared" si="29"/>
        <v/>
      </c>
      <c r="AB27" s="191" t="str">
        <f t="shared" si="26"/>
        <v/>
      </c>
      <c r="AC27" s="191" t="str">
        <f t="shared" si="27"/>
        <v/>
      </c>
      <c r="AD27" s="400" t="str">
        <f t="shared" si="14"/>
        <v/>
      </c>
      <c r="AF27" s="337" t="s">
        <v>666</v>
      </c>
      <c r="AG27" s="339">
        <f t="shared" si="22"/>
        <v>100</v>
      </c>
      <c r="AH27" s="339">
        <f t="shared" si="4"/>
        <v>1</v>
      </c>
      <c r="AI27" s="339">
        <f t="shared" si="23"/>
        <v>0.1</v>
      </c>
      <c r="AJ27" s="339">
        <v>1E-4</v>
      </c>
      <c r="AK27" s="339">
        <f t="shared" si="24"/>
        <v>100</v>
      </c>
      <c r="AL27" s="339">
        <f t="shared" si="5"/>
        <v>1</v>
      </c>
      <c r="AM27" s="339">
        <f t="shared" si="25"/>
        <v>0.1</v>
      </c>
      <c r="AN27" s="339">
        <v>1E-4</v>
      </c>
    </row>
    <row r="28" spans="2:40" s="179" customFormat="1" ht="15" customHeight="1">
      <c r="B28" s="186" t="b">
        <f>IF(Pressure_2_R1!A23="",FALSE,TRUE)</f>
        <v>0</v>
      </c>
      <c r="C28" s="187">
        <v>20</v>
      </c>
      <c r="D28" s="514" t="str">
        <f>IF($B28=FALSE,"",표준압력!F23)</f>
        <v/>
      </c>
      <c r="E28" s="188" t="str">
        <f>IF($B28=FALSE,"",표준압력!H23)</f>
        <v/>
      </c>
      <c r="F28" s="188" t="str">
        <f>IF($B28=FALSE,"",Pressure_2_R1!V23)</f>
        <v/>
      </c>
      <c r="G28" s="189" t="str">
        <f>IF($B28=FALSE,"",Pressure_2_R1!W23)</f>
        <v/>
      </c>
      <c r="H28" s="268" t="str">
        <f>IF($B28=FALSE,"",Pressure_2_R1!X23)</f>
        <v/>
      </c>
      <c r="I28" s="270" t="b">
        <f t="shared" si="15"/>
        <v>0</v>
      </c>
      <c r="J28" s="269" t="str">
        <f>IF($B28=FALSE,"",IF(Pressure_2_R1!D155="","기준기값없음",IF(Pressure_2_R1!L155="ok",Pressure_2_R1!D155,"파워선택안함")))</f>
        <v/>
      </c>
      <c r="K28" s="190" t="str">
        <f t="shared" si="6"/>
        <v/>
      </c>
      <c r="L28" s="191" t="str">
        <f t="shared" si="7"/>
        <v/>
      </c>
      <c r="M28" s="271" t="str">
        <f t="shared" si="8"/>
        <v/>
      </c>
      <c r="N28" s="188" t="str">
        <f t="shared" si="16"/>
        <v/>
      </c>
      <c r="O28" s="189" t="str">
        <f t="shared" si="17"/>
        <v/>
      </c>
      <c r="P28" s="189" t="str">
        <f t="shared" si="18"/>
        <v/>
      </c>
      <c r="Q28" s="272" t="str">
        <f t="shared" si="19"/>
        <v/>
      </c>
      <c r="R28" s="182"/>
      <c r="S28" s="192" t="b">
        <f t="shared" si="9"/>
        <v>0</v>
      </c>
      <c r="T28" s="398" t="s">
        <v>707</v>
      </c>
      <c r="U28" s="399">
        <v>5</v>
      </c>
      <c r="V28" s="192" t="str">
        <f t="shared" ca="1" si="28"/>
        <v/>
      </c>
      <c r="W28" s="192" t="str">
        <f t="shared" ca="1" si="11"/>
        <v/>
      </c>
      <c r="X28" s="192" t="str">
        <f t="shared" ca="1" si="12"/>
        <v/>
      </c>
      <c r="Y28" s="401" t="str">
        <f t="shared" si="20"/>
        <v/>
      </c>
      <c r="Z28" s="249" t="str">
        <f t="shared" si="13"/>
        <v/>
      </c>
      <c r="AA28" s="402" t="str">
        <f t="shared" si="29"/>
        <v/>
      </c>
      <c r="AB28" s="191" t="str">
        <f t="shared" si="26"/>
        <v/>
      </c>
      <c r="AC28" s="191" t="str">
        <f t="shared" si="27"/>
        <v/>
      </c>
      <c r="AD28" s="400" t="str">
        <f t="shared" si="14"/>
        <v/>
      </c>
      <c r="AF28" s="337" t="s">
        <v>667</v>
      </c>
      <c r="AG28" s="339">
        <f t="shared" si="22"/>
        <v>100000</v>
      </c>
      <c r="AH28" s="339">
        <f t="shared" si="4"/>
        <v>1000</v>
      </c>
      <c r="AI28" s="339">
        <f t="shared" si="23"/>
        <v>100</v>
      </c>
      <c r="AJ28" s="339">
        <v>0.1</v>
      </c>
      <c r="AK28" s="339">
        <f t="shared" si="24"/>
        <v>100000</v>
      </c>
      <c r="AL28" s="339">
        <f t="shared" si="5"/>
        <v>1000</v>
      </c>
      <c r="AM28" s="339">
        <f t="shared" si="25"/>
        <v>100</v>
      </c>
      <c r="AN28" s="339">
        <v>0.1</v>
      </c>
    </row>
    <row r="29" spans="2:40" s="179" customFormat="1" ht="15" customHeight="1">
      <c r="B29" s="186" t="b">
        <f>IF(Pressure_2_R1!A24="",FALSE,TRUE)</f>
        <v>0</v>
      </c>
      <c r="C29" s="187">
        <v>21</v>
      </c>
      <c r="D29" s="514" t="str">
        <f>IF($B29=FALSE,"",표준압력!F24)</f>
        <v/>
      </c>
      <c r="E29" s="188" t="str">
        <f>IF($B29=FALSE,"",표준압력!H24)</f>
        <v/>
      </c>
      <c r="F29" s="188" t="str">
        <f>IF($B29=FALSE,"",Pressure_2_R1!V24)</f>
        <v/>
      </c>
      <c r="G29" s="189" t="str">
        <f>IF($B29=FALSE,"",Pressure_2_R1!W24)</f>
        <v/>
      </c>
      <c r="H29" s="268" t="str">
        <f>IF($B29=FALSE,"",Pressure_2_R1!X24)</f>
        <v/>
      </c>
      <c r="I29" s="270" t="b">
        <f t="shared" si="15"/>
        <v>0</v>
      </c>
      <c r="J29" s="269" t="str">
        <f>IF($B29=FALSE,"",IF(Pressure_2_R1!D156="","기준기값없음",IF(Pressure_2_R1!L156="ok",Pressure_2_R1!D156,"파워선택안함")))</f>
        <v/>
      </c>
      <c r="K29" s="190" t="str">
        <f t="shared" si="6"/>
        <v/>
      </c>
      <c r="L29" s="191" t="str">
        <f t="shared" si="7"/>
        <v/>
      </c>
      <c r="M29" s="271" t="str">
        <f t="shared" si="8"/>
        <v/>
      </c>
      <c r="N29" s="188" t="str">
        <f t="shared" si="16"/>
        <v/>
      </c>
      <c r="O29" s="189" t="str">
        <f t="shared" si="17"/>
        <v/>
      </c>
      <c r="P29" s="189" t="str">
        <f t="shared" si="18"/>
        <v/>
      </c>
      <c r="Q29" s="272" t="str">
        <f t="shared" si="19"/>
        <v/>
      </c>
      <c r="R29" s="182"/>
      <c r="S29" s="192" t="b">
        <f t="shared" si="9"/>
        <v>0</v>
      </c>
      <c r="T29" s="398" t="s">
        <v>709</v>
      </c>
      <c r="U29" s="399">
        <v>6</v>
      </c>
      <c r="V29" s="192" t="str">
        <f t="shared" ca="1" si="28"/>
        <v/>
      </c>
      <c r="W29" s="192" t="str">
        <f t="shared" ca="1" si="11"/>
        <v/>
      </c>
      <c r="X29" s="192" t="str">
        <f t="shared" ca="1" si="12"/>
        <v/>
      </c>
      <c r="Y29" s="401" t="str">
        <f t="shared" si="20"/>
        <v/>
      </c>
      <c r="Z29" s="249" t="str">
        <f t="shared" si="13"/>
        <v/>
      </c>
      <c r="AA29" s="402" t="str">
        <f t="shared" si="29"/>
        <v/>
      </c>
      <c r="AB29" s="191" t="str">
        <f t="shared" si="26"/>
        <v/>
      </c>
      <c r="AC29" s="191" t="str">
        <f t="shared" si="27"/>
        <v/>
      </c>
      <c r="AD29" s="400" t="str">
        <f t="shared" si="14"/>
        <v/>
      </c>
      <c r="AF29" s="337" t="s">
        <v>668</v>
      </c>
      <c r="AG29" s="339">
        <f t="shared" si="22"/>
        <v>6894.7569999999996</v>
      </c>
      <c r="AH29" s="339">
        <f t="shared" si="4"/>
        <v>68.947569999999999</v>
      </c>
      <c r="AI29" s="339">
        <f t="shared" si="23"/>
        <v>6.8947569999999994</v>
      </c>
      <c r="AJ29" s="339">
        <v>6.8947569999999996E-3</v>
      </c>
      <c r="AK29" s="339">
        <f t="shared" si="24"/>
        <v>6894.7569999999996</v>
      </c>
      <c r="AL29" s="339">
        <f t="shared" si="5"/>
        <v>68.947569999999999</v>
      </c>
      <c r="AM29" s="339">
        <f t="shared" si="25"/>
        <v>6.8947569999999994</v>
      </c>
      <c r="AN29" s="339">
        <v>6.8947569999999996E-3</v>
      </c>
    </row>
    <row r="30" spans="2:40" s="179" customFormat="1" ht="15" customHeight="1">
      <c r="B30" s="186" t="b">
        <f>IF(Pressure_2_R1!A25="",FALSE,TRUE)</f>
        <v>0</v>
      </c>
      <c r="C30" s="187">
        <v>22</v>
      </c>
      <c r="D30" s="514" t="str">
        <f>IF($B30=FALSE,"",표준압력!F25)</f>
        <v/>
      </c>
      <c r="E30" s="188" t="str">
        <f>IF($B30=FALSE,"",표준압력!H25)</f>
        <v/>
      </c>
      <c r="F30" s="188" t="str">
        <f>IF($B30=FALSE,"",Pressure_2_R1!V25)</f>
        <v/>
      </c>
      <c r="G30" s="189" t="str">
        <f>IF($B30=FALSE,"",Pressure_2_R1!W25)</f>
        <v/>
      </c>
      <c r="H30" s="268" t="str">
        <f>IF($B30=FALSE,"",Pressure_2_R1!X25)</f>
        <v/>
      </c>
      <c r="I30" s="270" t="b">
        <f t="shared" si="15"/>
        <v>0</v>
      </c>
      <c r="J30" s="269" t="str">
        <f>IF($B30=FALSE,"",IF(Pressure_2_R1!D157="","기준기값없음",IF(Pressure_2_R1!L157="ok",Pressure_2_R1!D157,"파워선택안함")))</f>
        <v/>
      </c>
      <c r="K30" s="190" t="str">
        <f t="shared" si="6"/>
        <v/>
      </c>
      <c r="L30" s="191" t="str">
        <f t="shared" si="7"/>
        <v/>
      </c>
      <c r="M30" s="271" t="str">
        <f t="shared" si="8"/>
        <v/>
      </c>
      <c r="N30" s="188" t="str">
        <f t="shared" si="16"/>
        <v/>
      </c>
      <c r="O30" s="189" t="str">
        <f t="shared" si="17"/>
        <v/>
      </c>
      <c r="P30" s="189" t="str">
        <f t="shared" si="18"/>
        <v/>
      </c>
      <c r="Q30" s="272" t="str">
        <f t="shared" si="19"/>
        <v/>
      </c>
      <c r="R30" s="182"/>
      <c r="S30" s="192" t="b">
        <f t="shared" si="9"/>
        <v>0</v>
      </c>
      <c r="T30" s="398" t="s">
        <v>707</v>
      </c>
      <c r="U30" s="399">
        <v>7</v>
      </c>
      <c r="V30" s="192" t="str">
        <f t="shared" ca="1" si="28"/>
        <v/>
      </c>
      <c r="W30" s="192" t="str">
        <f t="shared" ca="1" si="11"/>
        <v/>
      </c>
      <c r="X30" s="192" t="str">
        <f t="shared" ca="1" si="12"/>
        <v/>
      </c>
      <c r="Y30" s="401" t="str">
        <f t="shared" si="20"/>
        <v/>
      </c>
      <c r="Z30" s="249" t="str">
        <f t="shared" si="13"/>
        <v/>
      </c>
      <c r="AA30" s="402" t="str">
        <f t="shared" si="29"/>
        <v/>
      </c>
      <c r="AB30" s="191" t="str">
        <f t="shared" si="26"/>
        <v/>
      </c>
      <c r="AC30" s="191" t="str">
        <f t="shared" si="27"/>
        <v/>
      </c>
      <c r="AD30" s="400" t="str">
        <f t="shared" si="14"/>
        <v/>
      </c>
      <c r="AF30" s="337" t="s">
        <v>670</v>
      </c>
      <c r="AG30" s="339">
        <f t="shared" si="22"/>
        <v>98066.5</v>
      </c>
      <c r="AH30" s="339">
        <f t="shared" ref="AH30" si="30">AI30*10</f>
        <v>980.66500000000008</v>
      </c>
      <c r="AI30" s="339">
        <f t="shared" si="23"/>
        <v>98.066500000000005</v>
      </c>
      <c r="AJ30" s="339">
        <v>9.8066500000000001E-2</v>
      </c>
      <c r="AK30" s="339">
        <f t="shared" si="24"/>
        <v>98066.5</v>
      </c>
      <c r="AL30" s="339">
        <f t="shared" ref="AL30" si="31">AM30*10</f>
        <v>980.66500000000008</v>
      </c>
      <c r="AM30" s="339">
        <f t="shared" si="25"/>
        <v>98.066500000000005</v>
      </c>
      <c r="AN30" s="339">
        <v>9.8066500000000001E-2</v>
      </c>
    </row>
    <row r="31" spans="2:40" s="179" customFormat="1" ht="15" customHeight="1">
      <c r="B31" s="186" t="b">
        <f>IF(Pressure_2_R1!A26="",FALSE,TRUE)</f>
        <v>0</v>
      </c>
      <c r="C31" s="187">
        <v>23</v>
      </c>
      <c r="D31" s="514" t="str">
        <f>IF($B31=FALSE,"",표준압력!F26)</f>
        <v/>
      </c>
      <c r="E31" s="188" t="str">
        <f>IF($B31=FALSE,"",표준압력!H26)</f>
        <v/>
      </c>
      <c r="F31" s="188" t="str">
        <f>IF($B31=FALSE,"",Pressure_2_R1!V26)</f>
        <v/>
      </c>
      <c r="G31" s="189" t="str">
        <f>IF($B31=FALSE,"",Pressure_2_R1!W26)</f>
        <v/>
      </c>
      <c r="H31" s="268" t="str">
        <f>IF($B31=FALSE,"",Pressure_2_R1!X26)</f>
        <v/>
      </c>
      <c r="I31" s="270" t="b">
        <f t="shared" si="15"/>
        <v>0</v>
      </c>
      <c r="J31" s="269" t="str">
        <f>IF($B31=FALSE,"",IF(Pressure_2_R1!D158="","기준기값없음",IF(Pressure_2_R1!L158="ok",Pressure_2_R1!D158,"파워선택안함")))</f>
        <v/>
      </c>
      <c r="K31" s="190" t="str">
        <f t="shared" si="6"/>
        <v/>
      </c>
      <c r="L31" s="191" t="str">
        <f t="shared" si="7"/>
        <v/>
      </c>
      <c r="M31" s="271" t="str">
        <f t="shared" si="8"/>
        <v/>
      </c>
      <c r="N31" s="188" t="str">
        <f t="shared" si="16"/>
        <v/>
      </c>
      <c r="O31" s="189" t="str">
        <f t="shared" si="17"/>
        <v/>
      </c>
      <c r="P31" s="189" t="str">
        <f t="shared" si="18"/>
        <v/>
      </c>
      <c r="Q31" s="272" t="str">
        <f t="shared" si="19"/>
        <v/>
      </c>
      <c r="R31" s="182"/>
      <c r="S31" s="192" t="b">
        <f t="shared" si="9"/>
        <v>0</v>
      </c>
      <c r="T31" s="398" t="s">
        <v>707</v>
      </c>
      <c r="U31" s="399">
        <v>8</v>
      </c>
      <c r="V31" s="192" t="str">
        <f t="shared" ca="1" si="28"/>
        <v/>
      </c>
      <c r="W31" s="192" t="str">
        <f t="shared" ca="1" si="11"/>
        <v/>
      </c>
      <c r="X31" s="192" t="str">
        <f t="shared" ca="1" si="12"/>
        <v/>
      </c>
      <c r="Y31" s="401" t="str">
        <f t="shared" si="20"/>
        <v/>
      </c>
      <c r="Z31" s="249" t="str">
        <f t="shared" si="13"/>
        <v/>
      </c>
      <c r="AA31" s="402" t="str">
        <f t="shared" si="29"/>
        <v/>
      </c>
      <c r="AB31" s="191" t="str">
        <f t="shared" si="26"/>
        <v/>
      </c>
      <c r="AC31" s="191" t="str">
        <f t="shared" si="27"/>
        <v/>
      </c>
      <c r="AD31" s="400" t="str">
        <f t="shared" si="14"/>
        <v/>
      </c>
      <c r="AF31" s="337" t="s">
        <v>669</v>
      </c>
      <c r="AG31" s="339">
        <f>AI31*1000</f>
        <v>101325</v>
      </c>
      <c r="AH31" s="339">
        <f>AI31*10</f>
        <v>1013.25</v>
      </c>
      <c r="AI31" s="339">
        <f>AJ31*1000</f>
        <v>101.325</v>
      </c>
      <c r="AJ31" s="339">
        <v>0.101325</v>
      </c>
      <c r="AK31" s="339">
        <f>AM31*1000</f>
        <v>101325</v>
      </c>
      <c r="AL31" s="339">
        <f>AM31*10</f>
        <v>1013.25</v>
      </c>
      <c r="AM31" s="339">
        <f>AN31*1000</f>
        <v>101.325</v>
      </c>
      <c r="AN31" s="339">
        <v>0.101325</v>
      </c>
    </row>
    <row r="32" spans="2:40" s="179" customFormat="1" ht="15" customHeight="1">
      <c r="B32" s="186" t="b">
        <f>IF(Pressure_2_R1!A27="",FALSE,TRUE)</f>
        <v>0</v>
      </c>
      <c r="C32" s="187">
        <v>24</v>
      </c>
      <c r="D32" s="514" t="str">
        <f>IF($B32=FALSE,"",표준압력!F27)</f>
        <v/>
      </c>
      <c r="E32" s="188" t="str">
        <f>IF($B32=FALSE,"",표준압력!H27)</f>
        <v/>
      </c>
      <c r="F32" s="188" t="str">
        <f>IF($B32=FALSE,"",Pressure_2_R1!V27)</f>
        <v/>
      </c>
      <c r="G32" s="189" t="str">
        <f>IF($B32=FALSE,"",Pressure_2_R1!W27)</f>
        <v/>
      </c>
      <c r="H32" s="268" t="str">
        <f>IF($B32=FALSE,"",Pressure_2_R1!X27)</f>
        <v/>
      </c>
      <c r="I32" s="270" t="b">
        <f t="shared" si="15"/>
        <v>0</v>
      </c>
      <c r="J32" s="269" t="str">
        <f>IF($B32=FALSE,"",IF(Pressure_2_R1!D159="","기준기값없음",IF(Pressure_2_R1!L159="ok",Pressure_2_R1!D159,"파워선택안함")))</f>
        <v/>
      </c>
      <c r="K32" s="190" t="str">
        <f t="shared" si="6"/>
        <v/>
      </c>
      <c r="L32" s="191" t="str">
        <f t="shared" si="7"/>
        <v/>
      </c>
      <c r="M32" s="271" t="str">
        <f t="shared" si="8"/>
        <v/>
      </c>
      <c r="N32" s="188" t="str">
        <f t="shared" si="16"/>
        <v/>
      </c>
      <c r="O32" s="189" t="str">
        <f t="shared" si="17"/>
        <v/>
      </c>
      <c r="P32" s="189" t="str">
        <f t="shared" si="18"/>
        <v/>
      </c>
      <c r="Q32" s="272" t="str">
        <f t="shared" si="19"/>
        <v/>
      </c>
      <c r="R32" s="182"/>
      <c r="S32" s="192" t="b">
        <f t="shared" si="9"/>
        <v>0</v>
      </c>
      <c r="T32" s="398" t="s">
        <v>707</v>
      </c>
      <c r="U32" s="399">
        <v>9</v>
      </c>
      <c r="V32" s="192" t="str">
        <f t="shared" ca="1" si="28"/>
        <v/>
      </c>
      <c r="W32" s="192" t="str">
        <f t="shared" ca="1" si="11"/>
        <v/>
      </c>
      <c r="X32" s="192" t="str">
        <f t="shared" ca="1" si="12"/>
        <v/>
      </c>
      <c r="Y32" s="401" t="str">
        <f t="shared" si="20"/>
        <v/>
      </c>
      <c r="Z32" s="249" t="str">
        <f t="shared" si="13"/>
        <v/>
      </c>
      <c r="AA32" s="402" t="str">
        <f t="shared" si="29"/>
        <v/>
      </c>
      <c r="AB32" s="191" t="str">
        <f t="shared" si="26"/>
        <v/>
      </c>
      <c r="AC32" s="191" t="str">
        <f t="shared" si="27"/>
        <v/>
      </c>
      <c r="AD32" s="400" t="str">
        <f t="shared" si="14"/>
        <v/>
      </c>
    </row>
    <row r="33" spans="2:30" s="179" customFormat="1" ht="15" customHeight="1">
      <c r="B33" s="186" t="b">
        <f>IF(Pressure_2_R1!A28="",FALSE,TRUE)</f>
        <v>0</v>
      </c>
      <c r="C33" s="187">
        <v>25</v>
      </c>
      <c r="D33" s="514" t="str">
        <f>IF($B33=FALSE,"",표준압력!F28)</f>
        <v/>
      </c>
      <c r="E33" s="188" t="str">
        <f>IF($B33=FALSE,"",표준압력!H28)</f>
        <v/>
      </c>
      <c r="F33" s="188" t="str">
        <f>IF($B33=FALSE,"",Pressure_2_R1!V28)</f>
        <v/>
      </c>
      <c r="G33" s="189" t="str">
        <f>IF($B33=FALSE,"",Pressure_2_R1!W28)</f>
        <v/>
      </c>
      <c r="H33" s="268" t="str">
        <f>IF($B33=FALSE,"",Pressure_2_R1!X28)</f>
        <v/>
      </c>
      <c r="I33" s="270" t="b">
        <f t="shared" si="15"/>
        <v>0</v>
      </c>
      <c r="J33" s="269" t="str">
        <f>IF($B33=FALSE,"",IF(Pressure_2_R1!D160="","기준기값없음",IF(Pressure_2_R1!L160="ok",Pressure_2_R1!D160,"파워선택안함")))</f>
        <v/>
      </c>
      <c r="K33" s="190" t="str">
        <f t="shared" si="6"/>
        <v/>
      </c>
      <c r="L33" s="191" t="str">
        <f t="shared" si="7"/>
        <v/>
      </c>
      <c r="M33" s="271" t="str">
        <f t="shared" si="8"/>
        <v/>
      </c>
      <c r="N33" s="188" t="str">
        <f t="shared" si="16"/>
        <v/>
      </c>
      <c r="O33" s="189" t="str">
        <f t="shared" si="17"/>
        <v/>
      </c>
      <c r="P33" s="189" t="str">
        <f t="shared" si="18"/>
        <v/>
      </c>
      <c r="Q33" s="272" t="str">
        <f t="shared" si="19"/>
        <v/>
      </c>
      <c r="R33" s="182"/>
      <c r="S33" s="192" t="b">
        <f t="shared" si="9"/>
        <v>0</v>
      </c>
      <c r="T33" s="398" t="s">
        <v>346</v>
      </c>
      <c r="U33" s="399">
        <v>10</v>
      </c>
      <c r="V33" s="192" t="str">
        <f t="shared" ca="1" si="28"/>
        <v/>
      </c>
      <c r="W33" s="192" t="str">
        <f t="shared" ca="1" si="11"/>
        <v/>
      </c>
      <c r="X33" s="192" t="str">
        <f t="shared" ca="1" si="12"/>
        <v/>
      </c>
      <c r="Y33" s="401" t="str">
        <f t="shared" si="20"/>
        <v/>
      </c>
      <c r="Z33" s="249" t="str">
        <f t="shared" si="13"/>
        <v/>
      </c>
      <c r="AA33" s="402" t="str">
        <f t="shared" si="29"/>
        <v/>
      </c>
      <c r="AB33" s="191" t="str">
        <f t="shared" si="26"/>
        <v/>
      </c>
      <c r="AC33" s="191" t="str">
        <f t="shared" si="27"/>
        <v/>
      </c>
      <c r="AD33" s="400" t="str">
        <f t="shared" si="14"/>
        <v/>
      </c>
    </row>
    <row r="34" spans="2:30" s="179" customFormat="1" ht="15" customHeight="1">
      <c r="B34" s="186" t="b">
        <f>IF(Pressure_2_R1!A29="",FALSE,TRUE)</f>
        <v>0</v>
      </c>
      <c r="C34" s="187">
        <v>26</v>
      </c>
      <c r="D34" s="514" t="str">
        <f>IF($B34=FALSE,"",표준압력!F29)</f>
        <v/>
      </c>
      <c r="E34" s="188" t="str">
        <f>IF($B34=FALSE,"",표준압력!H29)</f>
        <v/>
      </c>
      <c r="F34" s="188" t="str">
        <f>IF($B34=FALSE,"",Pressure_2_R1!V29)</f>
        <v/>
      </c>
      <c r="G34" s="189" t="str">
        <f>IF($B34=FALSE,"",Pressure_2_R1!W29)</f>
        <v/>
      </c>
      <c r="H34" s="268" t="str">
        <f>IF($B34=FALSE,"",Pressure_2_R1!X29)</f>
        <v/>
      </c>
      <c r="I34" s="270" t="b">
        <f t="shared" si="15"/>
        <v>0</v>
      </c>
      <c r="J34" s="269" t="str">
        <f>IF($B34=FALSE,"",IF(Pressure_2_R1!D161="","기준기값없음",IF(Pressure_2_R1!L161="ok",Pressure_2_R1!D161,"파워선택안함")))</f>
        <v/>
      </c>
      <c r="K34" s="190" t="str">
        <f t="shared" si="6"/>
        <v/>
      </c>
      <c r="L34" s="191" t="str">
        <f t="shared" si="7"/>
        <v/>
      </c>
      <c r="M34" s="271" t="str">
        <f t="shared" si="8"/>
        <v/>
      </c>
      <c r="N34" s="188" t="str">
        <f t="shared" si="16"/>
        <v/>
      </c>
      <c r="O34" s="189" t="str">
        <f t="shared" si="17"/>
        <v/>
      </c>
      <c r="P34" s="189" t="str">
        <f t="shared" si="18"/>
        <v/>
      </c>
      <c r="Q34" s="272" t="str">
        <f t="shared" si="19"/>
        <v/>
      </c>
      <c r="R34" s="182"/>
      <c r="S34" s="192" t="b">
        <f t="shared" si="9"/>
        <v>0</v>
      </c>
      <c r="T34" s="398" t="s">
        <v>346</v>
      </c>
      <c r="U34" s="399">
        <v>11</v>
      </c>
      <c r="V34" s="192" t="str">
        <f t="shared" ca="1" si="28"/>
        <v/>
      </c>
      <c r="W34" s="192" t="str">
        <f t="shared" ca="1" si="11"/>
        <v/>
      </c>
      <c r="X34" s="192" t="str">
        <f t="shared" ca="1" si="12"/>
        <v/>
      </c>
      <c r="Y34" s="401" t="str">
        <f t="shared" si="20"/>
        <v/>
      </c>
      <c r="Z34" s="249" t="str">
        <f t="shared" si="13"/>
        <v/>
      </c>
      <c r="AA34" s="402" t="str">
        <f t="shared" si="29"/>
        <v/>
      </c>
      <c r="AB34" s="191" t="str">
        <f t="shared" si="26"/>
        <v/>
      </c>
      <c r="AC34" s="191" t="str">
        <f t="shared" si="27"/>
        <v/>
      </c>
      <c r="AD34" s="400" t="str">
        <f t="shared" si="14"/>
        <v/>
      </c>
    </row>
    <row r="35" spans="2:30" s="179" customFormat="1" ht="15" customHeight="1">
      <c r="B35" s="186" t="b">
        <f>IF(Pressure_2_R1!A30="",FALSE,TRUE)</f>
        <v>0</v>
      </c>
      <c r="C35" s="187">
        <v>27</v>
      </c>
      <c r="D35" s="514" t="str">
        <f>IF($B35=FALSE,"",표준압력!F30)</f>
        <v/>
      </c>
      <c r="E35" s="188" t="str">
        <f>IF($B35=FALSE,"",표준압력!H30)</f>
        <v/>
      </c>
      <c r="F35" s="188" t="str">
        <f>IF($B35=FALSE,"",Pressure_2_R1!V30)</f>
        <v/>
      </c>
      <c r="G35" s="189" t="str">
        <f>IF($B35=FALSE,"",Pressure_2_R1!W30)</f>
        <v/>
      </c>
      <c r="H35" s="268" t="str">
        <f>IF($B35=FALSE,"",Pressure_2_R1!X30)</f>
        <v/>
      </c>
      <c r="I35" s="270" t="b">
        <f t="shared" si="15"/>
        <v>0</v>
      </c>
      <c r="J35" s="269" t="str">
        <f>IF($B35=FALSE,"",IF(Pressure_2_R1!D162="","기준기값없음",IF(Pressure_2_R1!L162="ok",Pressure_2_R1!D162,"파워선택안함")))</f>
        <v/>
      </c>
      <c r="K35" s="190" t="str">
        <f t="shared" si="6"/>
        <v/>
      </c>
      <c r="L35" s="191" t="str">
        <f t="shared" si="7"/>
        <v/>
      </c>
      <c r="M35" s="271" t="str">
        <f t="shared" si="8"/>
        <v/>
      </c>
      <c r="N35" s="188" t="str">
        <f t="shared" si="16"/>
        <v/>
      </c>
      <c r="O35" s="189" t="str">
        <f t="shared" si="17"/>
        <v/>
      </c>
      <c r="P35" s="189" t="str">
        <f t="shared" si="18"/>
        <v/>
      </c>
      <c r="Q35" s="272" t="str">
        <f t="shared" si="19"/>
        <v/>
      </c>
      <c r="R35" s="182"/>
      <c r="S35" s="192" t="b">
        <f t="shared" si="9"/>
        <v>0</v>
      </c>
      <c r="T35" s="398" t="s">
        <v>346</v>
      </c>
      <c r="U35" s="399">
        <v>12</v>
      </c>
      <c r="V35" s="192" t="str">
        <f t="shared" ca="1" si="28"/>
        <v/>
      </c>
      <c r="W35" s="192" t="str">
        <f t="shared" ca="1" si="11"/>
        <v/>
      </c>
      <c r="X35" s="192" t="str">
        <f t="shared" ca="1" si="12"/>
        <v/>
      </c>
      <c r="Y35" s="401" t="str">
        <f t="shared" si="20"/>
        <v/>
      </c>
      <c r="Z35" s="249" t="str">
        <f t="shared" si="13"/>
        <v/>
      </c>
      <c r="AA35" s="402" t="str">
        <f t="shared" si="29"/>
        <v/>
      </c>
      <c r="AB35" s="191" t="str">
        <f t="shared" si="26"/>
        <v/>
      </c>
      <c r="AC35" s="191" t="str">
        <f t="shared" si="27"/>
        <v/>
      </c>
      <c r="AD35" s="400" t="str">
        <f t="shared" si="14"/>
        <v/>
      </c>
    </row>
    <row r="36" spans="2:30" s="179" customFormat="1" ht="15" customHeight="1">
      <c r="B36" s="186" t="b">
        <f>IF(Pressure_2_R1!A31="",FALSE,TRUE)</f>
        <v>0</v>
      </c>
      <c r="C36" s="187">
        <v>28</v>
      </c>
      <c r="D36" s="514" t="str">
        <f>IF($B36=FALSE,"",표준압력!F31)</f>
        <v/>
      </c>
      <c r="E36" s="188" t="str">
        <f>IF($B36=FALSE,"",표준압력!H31)</f>
        <v/>
      </c>
      <c r="F36" s="188" t="str">
        <f>IF($B36=FALSE,"",Pressure_2_R1!V31)</f>
        <v/>
      </c>
      <c r="G36" s="189" t="str">
        <f>IF($B36=FALSE,"",Pressure_2_R1!W31)</f>
        <v/>
      </c>
      <c r="H36" s="268" t="str">
        <f>IF($B36=FALSE,"",Pressure_2_R1!X31)</f>
        <v/>
      </c>
      <c r="I36" s="270" t="b">
        <f t="shared" si="15"/>
        <v>0</v>
      </c>
      <c r="J36" s="269" t="str">
        <f>IF($B36=FALSE,"",IF(Pressure_2_R1!D163="","기준기값없음",IF(Pressure_2_R1!L163="ok",Pressure_2_R1!D163,"파워선택안함")))</f>
        <v/>
      </c>
      <c r="K36" s="190" t="str">
        <f t="shared" si="6"/>
        <v/>
      </c>
      <c r="L36" s="191" t="str">
        <f t="shared" si="7"/>
        <v/>
      </c>
      <c r="M36" s="271" t="str">
        <f t="shared" si="8"/>
        <v/>
      </c>
      <c r="N36" s="188" t="str">
        <f t="shared" si="16"/>
        <v/>
      </c>
      <c r="O36" s="189" t="str">
        <f t="shared" si="17"/>
        <v/>
      </c>
      <c r="P36" s="189" t="str">
        <f t="shared" si="18"/>
        <v/>
      </c>
      <c r="Q36" s="272" t="str">
        <f t="shared" si="19"/>
        <v/>
      </c>
      <c r="R36" s="182"/>
      <c r="S36" s="192" t="b">
        <f t="shared" si="9"/>
        <v>0</v>
      </c>
      <c r="T36" s="398" t="s">
        <v>707</v>
      </c>
      <c r="U36" s="399">
        <v>13</v>
      </c>
      <c r="V36" s="192" t="str">
        <f t="shared" ca="1" si="28"/>
        <v/>
      </c>
      <c r="W36" s="192" t="str">
        <f t="shared" ca="1" si="11"/>
        <v/>
      </c>
      <c r="X36" s="192" t="str">
        <f t="shared" ca="1" si="12"/>
        <v/>
      </c>
      <c r="Y36" s="401" t="str">
        <f t="shared" si="20"/>
        <v/>
      </c>
      <c r="Z36" s="249" t="str">
        <f t="shared" si="13"/>
        <v/>
      </c>
      <c r="AA36" s="402" t="str">
        <f t="shared" si="29"/>
        <v/>
      </c>
      <c r="AB36" s="191" t="str">
        <f t="shared" si="26"/>
        <v/>
      </c>
      <c r="AC36" s="191" t="str">
        <f t="shared" si="27"/>
        <v/>
      </c>
      <c r="AD36" s="400" t="str">
        <f t="shared" si="14"/>
        <v/>
      </c>
    </row>
    <row r="37" spans="2:30" s="179" customFormat="1" ht="15" customHeight="1">
      <c r="B37" s="186" t="b">
        <f>IF(Pressure_2_R1!A32="",FALSE,TRUE)</f>
        <v>0</v>
      </c>
      <c r="C37" s="187">
        <v>29</v>
      </c>
      <c r="D37" s="514" t="str">
        <f>IF($B37=FALSE,"",표준압력!F32)</f>
        <v/>
      </c>
      <c r="E37" s="188" t="str">
        <f>IF($B37=FALSE,"",표준압력!H32)</f>
        <v/>
      </c>
      <c r="F37" s="188" t="str">
        <f>IF($B37=FALSE,"",Pressure_2_R1!V32)</f>
        <v/>
      </c>
      <c r="G37" s="189" t="str">
        <f>IF($B37=FALSE,"",Pressure_2_R1!W32)</f>
        <v/>
      </c>
      <c r="H37" s="268" t="str">
        <f>IF($B37=FALSE,"",Pressure_2_R1!X32)</f>
        <v/>
      </c>
      <c r="I37" s="270" t="b">
        <f t="shared" si="15"/>
        <v>0</v>
      </c>
      <c r="J37" s="269" t="str">
        <f>IF($B37=FALSE,"",IF(Pressure_2_R1!D164="","기준기값없음",IF(Pressure_2_R1!L164="ok",Pressure_2_R1!D164,"파워선택안함")))</f>
        <v/>
      </c>
      <c r="K37" s="190" t="str">
        <f t="shared" si="6"/>
        <v/>
      </c>
      <c r="L37" s="191" t="str">
        <f t="shared" si="7"/>
        <v/>
      </c>
      <c r="M37" s="271" t="str">
        <f t="shared" si="8"/>
        <v/>
      </c>
      <c r="N37" s="188" t="str">
        <f t="shared" si="16"/>
        <v/>
      </c>
      <c r="O37" s="189" t="str">
        <f t="shared" si="17"/>
        <v/>
      </c>
      <c r="P37" s="189" t="str">
        <f t="shared" si="18"/>
        <v/>
      </c>
      <c r="Q37" s="272" t="str">
        <f t="shared" si="19"/>
        <v/>
      </c>
      <c r="R37" s="182"/>
      <c r="S37" s="192" t="b">
        <f t="shared" si="9"/>
        <v>0</v>
      </c>
      <c r="T37" s="398" t="s">
        <v>710</v>
      </c>
      <c r="U37" s="399">
        <v>14</v>
      </c>
      <c r="V37" s="192" t="str">
        <f t="shared" ca="1" si="28"/>
        <v/>
      </c>
      <c r="W37" s="192" t="str">
        <f t="shared" ca="1" si="11"/>
        <v/>
      </c>
      <c r="X37" s="192" t="str">
        <f t="shared" ca="1" si="12"/>
        <v/>
      </c>
      <c r="Y37" s="401" t="str">
        <f t="shared" si="20"/>
        <v/>
      </c>
      <c r="Z37" s="249" t="str">
        <f t="shared" si="13"/>
        <v/>
      </c>
      <c r="AA37" s="402" t="str">
        <f t="shared" si="29"/>
        <v/>
      </c>
      <c r="AB37" s="191" t="str">
        <f t="shared" si="26"/>
        <v/>
      </c>
      <c r="AC37" s="191" t="str">
        <f t="shared" si="27"/>
        <v/>
      </c>
      <c r="AD37" s="400" t="str">
        <f t="shared" si="14"/>
        <v/>
      </c>
    </row>
    <row r="38" spans="2:30" s="179" customFormat="1" ht="15" customHeight="1">
      <c r="B38" s="186" t="b">
        <f>IF(Pressure_2_R1!A33="",FALSE,TRUE)</f>
        <v>0</v>
      </c>
      <c r="C38" s="187">
        <v>30</v>
      </c>
      <c r="D38" s="514" t="str">
        <f>IF($B38=FALSE,"",표준압력!F33)</f>
        <v/>
      </c>
      <c r="E38" s="188" t="str">
        <f>IF($B38=FALSE,"",표준압력!H33)</f>
        <v/>
      </c>
      <c r="F38" s="188" t="str">
        <f>IF($B38=FALSE,"",Pressure_2_R1!V33)</f>
        <v/>
      </c>
      <c r="G38" s="189" t="str">
        <f>IF($B38=FALSE,"",Pressure_2_R1!W33)</f>
        <v/>
      </c>
      <c r="H38" s="268" t="str">
        <f>IF($B38=FALSE,"",Pressure_2_R1!X33)</f>
        <v/>
      </c>
      <c r="I38" s="270" t="b">
        <f t="shared" si="15"/>
        <v>0</v>
      </c>
      <c r="J38" s="269" t="str">
        <f>IF($B38=FALSE,"",IF(Pressure_2_R1!D165="","기준기값없음",IF(Pressure_2_R1!L165="ok",Pressure_2_R1!D165,"파워선택안함")))</f>
        <v/>
      </c>
      <c r="K38" s="190" t="str">
        <f t="shared" si="6"/>
        <v/>
      </c>
      <c r="L38" s="191" t="str">
        <f t="shared" si="7"/>
        <v/>
      </c>
      <c r="M38" s="271" t="str">
        <f t="shared" si="8"/>
        <v/>
      </c>
      <c r="N38" s="188" t="str">
        <f t="shared" si="16"/>
        <v/>
      </c>
      <c r="O38" s="189" t="str">
        <f t="shared" si="17"/>
        <v/>
      </c>
      <c r="P38" s="189" t="str">
        <f t="shared" si="18"/>
        <v/>
      </c>
      <c r="Q38" s="272" t="str">
        <f t="shared" si="19"/>
        <v/>
      </c>
      <c r="R38" s="182"/>
      <c r="S38" s="192" t="b">
        <f t="shared" si="9"/>
        <v>0</v>
      </c>
      <c r="T38" s="398" t="s">
        <v>710</v>
      </c>
      <c r="U38" s="399">
        <v>15</v>
      </c>
      <c r="V38" s="192" t="str">
        <f t="shared" ca="1" si="28"/>
        <v/>
      </c>
      <c r="W38" s="192" t="str">
        <f t="shared" ca="1" si="11"/>
        <v/>
      </c>
      <c r="X38" s="192" t="str">
        <f t="shared" ca="1" si="12"/>
        <v/>
      </c>
      <c r="Y38" s="401" t="str">
        <f t="shared" si="20"/>
        <v/>
      </c>
      <c r="Z38" s="249" t="str">
        <f t="shared" si="13"/>
        <v/>
      </c>
      <c r="AA38" s="402" t="str">
        <f t="shared" si="29"/>
        <v/>
      </c>
      <c r="AB38" s="191" t="str">
        <f t="shared" si="26"/>
        <v/>
      </c>
      <c r="AC38" s="191" t="str">
        <f t="shared" si="27"/>
        <v/>
      </c>
      <c r="AD38" s="400" t="str">
        <f t="shared" si="14"/>
        <v/>
      </c>
    </row>
    <row r="39" spans="2:30" ht="15" customHeight="1">
      <c r="B39" s="178"/>
      <c r="C39" s="178"/>
      <c r="D39" s="178"/>
      <c r="E39" s="179"/>
      <c r="F39" s="179"/>
      <c r="G39" s="179"/>
      <c r="H39" s="179"/>
      <c r="I39" s="179"/>
      <c r="J39" s="179"/>
      <c r="K39" s="179"/>
      <c r="L39" s="179"/>
      <c r="M39" s="179"/>
      <c r="N39" s="179"/>
      <c r="O39" s="179"/>
      <c r="P39" s="179"/>
      <c r="Q39" s="179"/>
      <c r="R39" s="179"/>
      <c r="S39" s="179"/>
      <c r="T39" s="179"/>
    </row>
    <row r="40" spans="2:30" ht="15" customHeight="1">
      <c r="B40" s="184" t="s">
        <v>347</v>
      </c>
      <c r="C40" s="178"/>
      <c r="D40" s="178"/>
      <c r="E40" s="185"/>
      <c r="F40" s="185"/>
      <c r="G40" s="185"/>
      <c r="H40" s="185"/>
      <c r="I40" s="185"/>
      <c r="J40" s="185"/>
      <c r="K40" s="185"/>
      <c r="L40" s="185"/>
      <c r="M40" s="185"/>
      <c r="N40" s="185"/>
      <c r="O40" s="185"/>
      <c r="P40" s="185"/>
      <c r="Q40" s="185"/>
      <c r="R40" s="185"/>
      <c r="S40" s="185"/>
      <c r="U40" s="193"/>
    </row>
    <row r="41" spans="2:30" ht="15" customHeight="1">
      <c r="B41" s="922" t="s">
        <v>525</v>
      </c>
      <c r="C41" s="925" t="s">
        <v>526</v>
      </c>
      <c r="D41" s="925" t="s">
        <v>527</v>
      </c>
      <c r="E41" s="928" t="s">
        <v>528</v>
      </c>
      <c r="F41" s="918" t="s">
        <v>751</v>
      </c>
      <c r="G41" s="918" t="s">
        <v>529</v>
      </c>
      <c r="H41" s="901" t="s">
        <v>530</v>
      </c>
      <c r="I41" s="920"/>
      <c r="J41" s="920"/>
      <c r="K41" s="920"/>
      <c r="L41" s="902"/>
      <c r="M41" s="918" t="s">
        <v>348</v>
      </c>
      <c r="N41" s="901" t="s">
        <v>365</v>
      </c>
      <c r="O41" s="920"/>
      <c r="P41" s="920"/>
      <c r="Q41" s="920"/>
      <c r="R41" s="902"/>
      <c r="S41" s="918" t="s">
        <v>349</v>
      </c>
      <c r="T41" s="942" t="s">
        <v>531</v>
      </c>
      <c r="U41" s="943"/>
      <c r="V41" s="943"/>
      <c r="W41" s="943"/>
      <c r="X41" s="944"/>
      <c r="Y41" s="918" t="s">
        <v>350</v>
      </c>
    </row>
    <row r="42" spans="2:30" ht="15" customHeight="1">
      <c r="B42" s="923"/>
      <c r="C42" s="926"/>
      <c r="D42" s="926"/>
      <c r="E42" s="929"/>
      <c r="F42" s="931"/>
      <c r="G42" s="933"/>
      <c r="H42" s="238" t="s">
        <v>532</v>
      </c>
      <c r="I42" s="238" t="s">
        <v>532</v>
      </c>
      <c r="J42" s="238" t="s">
        <v>121</v>
      </c>
      <c r="K42" s="238" t="s">
        <v>70</v>
      </c>
      <c r="L42" s="238" t="s">
        <v>533</v>
      </c>
      <c r="M42" s="933"/>
      <c r="N42" s="918" t="s">
        <v>367</v>
      </c>
      <c r="O42" s="918" t="s">
        <v>351</v>
      </c>
      <c r="P42" s="918" t="s">
        <v>366</v>
      </c>
      <c r="Q42" s="918" t="s">
        <v>70</v>
      </c>
      <c r="R42" s="918" t="s">
        <v>534</v>
      </c>
      <c r="S42" s="933"/>
      <c r="T42" s="915" t="s">
        <v>535</v>
      </c>
      <c r="U42" s="915" t="s">
        <v>51</v>
      </c>
      <c r="V42" s="915" t="s">
        <v>352</v>
      </c>
      <c r="W42" s="915" t="s">
        <v>353</v>
      </c>
      <c r="X42" s="915" t="s">
        <v>354</v>
      </c>
      <c r="Y42" s="933"/>
    </row>
    <row r="43" spans="2:30" ht="15" customHeight="1">
      <c r="B43" s="923"/>
      <c r="C43" s="927"/>
      <c r="D43" s="927"/>
      <c r="E43" s="930"/>
      <c r="F43" s="919"/>
      <c r="G43" s="919"/>
      <c r="H43" s="238" t="s">
        <v>536</v>
      </c>
      <c r="I43" s="238" t="s">
        <v>537</v>
      </c>
      <c r="J43" s="238" t="s">
        <v>538</v>
      </c>
      <c r="K43" s="238" t="s">
        <v>539</v>
      </c>
      <c r="L43" s="238" t="s">
        <v>355</v>
      </c>
      <c r="M43" s="919"/>
      <c r="N43" s="919"/>
      <c r="O43" s="919"/>
      <c r="P43" s="919"/>
      <c r="Q43" s="919"/>
      <c r="R43" s="919"/>
      <c r="S43" s="919"/>
      <c r="T43" s="917"/>
      <c r="U43" s="917"/>
      <c r="V43" s="917"/>
      <c r="W43" s="917"/>
      <c r="X43" s="917"/>
      <c r="Y43" s="933"/>
    </row>
    <row r="44" spans="2:30" ht="15" customHeight="1">
      <c r="B44" s="924"/>
      <c r="C44" s="267">
        <f>D8</f>
        <v>0</v>
      </c>
      <c r="D44" s="267">
        <f>E8</f>
        <v>0</v>
      </c>
      <c r="E44" s="264">
        <f>D44</f>
        <v>0</v>
      </c>
      <c r="F44" s="410">
        <f>E44</f>
        <v>0</v>
      </c>
      <c r="G44" s="264">
        <f>F8</f>
        <v>0</v>
      </c>
      <c r="H44" s="264">
        <f>Y8</f>
        <v>0</v>
      </c>
      <c r="I44" s="264">
        <f>Z8</f>
        <v>0</v>
      </c>
      <c r="J44" s="264">
        <f>I44</f>
        <v>0</v>
      </c>
      <c r="K44" s="264">
        <f>H44</f>
        <v>0</v>
      </c>
      <c r="L44" s="264">
        <f>K44</f>
        <v>0</v>
      </c>
      <c r="M44" s="264">
        <f>E44</f>
        <v>0</v>
      </c>
      <c r="N44" s="264">
        <f t="shared" ref="N44:S44" si="32">M44</f>
        <v>0</v>
      </c>
      <c r="O44" s="264">
        <f>N44</f>
        <v>0</v>
      </c>
      <c r="P44" s="264">
        <f t="shared" si="32"/>
        <v>0</v>
      </c>
      <c r="Q44" s="264">
        <f t="shared" si="32"/>
        <v>0</v>
      </c>
      <c r="R44" s="264">
        <f t="shared" si="32"/>
        <v>0</v>
      </c>
      <c r="S44" s="264">
        <f t="shared" si="32"/>
        <v>0</v>
      </c>
      <c r="T44" s="264">
        <f>S44</f>
        <v>0</v>
      </c>
      <c r="U44" s="264">
        <f>X44</f>
        <v>0</v>
      </c>
      <c r="V44" s="264">
        <f>U44</f>
        <v>0</v>
      </c>
      <c r="W44" s="264"/>
      <c r="X44" s="264">
        <f>T44</f>
        <v>0</v>
      </c>
      <c r="Y44" s="919"/>
    </row>
    <row r="45" spans="2:30" ht="15" customHeight="1">
      <c r="B45" s="194">
        <f>C9</f>
        <v>1</v>
      </c>
      <c r="C45" s="194" t="str">
        <f t="shared" ref="C45:D59" si="33">IF($S9=FALSE,"",D9)</f>
        <v/>
      </c>
      <c r="D45" s="192" t="str">
        <f t="shared" si="33"/>
        <v/>
      </c>
      <c r="E45" s="192" t="e">
        <f ca="1">IF($N9=FALSE,"",표준압력!W4)</f>
        <v>#VALUE!</v>
      </c>
      <c r="F45" s="192" t="e">
        <f ca="1">IF($N9=FALSE,"",표준압력!Z4)</f>
        <v>#VALUE!</v>
      </c>
      <c r="G45" s="192" t="str">
        <f>IF($S9=FALSE,"",Pressure_2_R1!F136/2)</f>
        <v/>
      </c>
      <c r="H45" s="194" t="str">
        <f t="shared" ref="H45:H59" si="34">IF($S9=FALSE,"",ROUND(AVERAGE(Y9,Y24),I$3))</f>
        <v/>
      </c>
      <c r="I45" s="192" t="str">
        <f t="shared" ref="I45:I59" si="35">IF($S9=FALSE,"",ROUND(AVERAGE(Z9,Z24),N$64))</f>
        <v/>
      </c>
      <c r="J45" s="192" t="str">
        <f t="shared" ref="J45:J59" si="36">IF($S9=FALSE,"",ROUND(D45,N$64)-I45)</f>
        <v/>
      </c>
      <c r="K45" s="192" t="str">
        <f t="shared" ref="K45:K59" si="37">IF($S9=FALSE,"",((V24-V9)+(W24-W9)+(X24-X9))/3)</f>
        <v/>
      </c>
      <c r="L45" s="192" t="str">
        <f t="shared" ref="L45:L59" si="38">IF($S9=FALSE,"",MAX(AD9,AD24))</f>
        <v/>
      </c>
      <c r="M45" s="192" t="e">
        <f ca="1">IF($N9=FALSE,"",SQRT(SUMSQ(E45/2,F45)))</f>
        <v>#VALUE!</v>
      </c>
      <c r="N45" s="192" t="str">
        <f t="shared" ref="N45:N59" si="39">IF($S9=FALSE,"",G45*Q$7)</f>
        <v/>
      </c>
      <c r="O45" s="192" t="str">
        <f t="shared" ref="O45:O59" si="40">IF($S9=FALSE,"",MAX(ABS(V$24-V$9),ABS(W$24-W$9),ABS(X$24-X$9))/2/SQRT(3)*Q$7)</f>
        <v/>
      </c>
      <c r="P45" s="192" t="str">
        <f t="shared" ref="P45:P59" si="41">IF($S9=FALSE,"",IF(L45=0,MAX(L$45:L$59),L45)/2/SQRT(3)*Q$7)</f>
        <v/>
      </c>
      <c r="Q45" s="192" t="str">
        <f t="shared" ref="Q45:Q59" si="42">IF($S9=FALSE,"",K45/2/SQRT(3)*Q$7)</f>
        <v/>
      </c>
      <c r="R45" s="192" t="str">
        <f t="shared" ref="R45:R59" si="43">IF($S9=FALSE,"",SQRT(SUMSQ(N45:Q45)))</f>
        <v/>
      </c>
      <c r="S45" s="192" t="str">
        <f t="shared" ref="S45:S59" si="44">IF($S9=FALSE,"",SQRT(SUMSQ(M45,R45)))</f>
        <v/>
      </c>
      <c r="T45" s="192" t="str">
        <f t="shared" ref="T45:T59" si="45">IF($S9=FALSE,"",S45*2)</f>
        <v/>
      </c>
      <c r="U45" s="239" t="str">
        <f>IF($S9=FALSE,"",Pressure_2_R1!L4*C45)</f>
        <v/>
      </c>
      <c r="V45" s="239" t="str">
        <f>IF($S9=FALSE,"",MAX(T45:U45))</f>
        <v/>
      </c>
      <c r="W45" s="239" t="str">
        <f t="shared" ref="W45:W59" si="46">IF($S9=FALSE,"",IF(((V45-ROUND(V45,N$64))/V45*100)&gt;=5,TRUE,FALSE))</f>
        <v/>
      </c>
      <c r="X45" s="239" t="str">
        <f t="shared" ref="X45:X59" si="47">IF($S9=FALSE,"",IF(ROUND(V45,N$64)=0,ROUNDUP(V45,N$64),IF(W45=TRUE,ROUNDUP(V45,N$64),ROUND(V45,N$64))))</f>
        <v/>
      </c>
      <c r="Y45" s="240" t="str">
        <f t="shared" ref="Y45:Y59" si="48">IF($S9=FALSE,"",IF(T45=V45,0,1))</f>
        <v/>
      </c>
    </row>
    <row r="46" spans="2:30" ht="15" customHeight="1">
      <c r="B46" s="194">
        <f>C10</f>
        <v>2</v>
      </c>
      <c r="C46" s="194" t="str">
        <f t="shared" si="33"/>
        <v/>
      </c>
      <c r="D46" s="192" t="str">
        <f t="shared" si="33"/>
        <v/>
      </c>
      <c r="E46" s="192" t="e">
        <f ca="1">IF($N10=FALSE,"",표준압력!W5)</f>
        <v>#VALUE!</v>
      </c>
      <c r="F46" s="192" t="e">
        <f ca="1">IF($N10=FALSE,"",표준압력!Z5)</f>
        <v>#VALUE!</v>
      </c>
      <c r="G46" s="192" t="str">
        <f>IF($S10=FALSE,"",Pressure_2_R1!F137/2)</f>
        <v/>
      </c>
      <c r="H46" s="194" t="str">
        <f t="shared" si="34"/>
        <v/>
      </c>
      <c r="I46" s="192" t="str">
        <f t="shared" si="35"/>
        <v/>
      </c>
      <c r="J46" s="192" t="str">
        <f t="shared" si="36"/>
        <v/>
      </c>
      <c r="K46" s="192" t="str">
        <f t="shared" si="37"/>
        <v/>
      </c>
      <c r="L46" s="192" t="str">
        <f t="shared" si="38"/>
        <v/>
      </c>
      <c r="M46" s="192" t="e">
        <f t="shared" ref="M46:M59" ca="1" si="49">IF($N10=FALSE,"",SQRT(SUMSQ(E46/2,F46)))</f>
        <v>#VALUE!</v>
      </c>
      <c r="N46" s="192" t="str">
        <f t="shared" si="39"/>
        <v/>
      </c>
      <c r="O46" s="192" t="str">
        <f t="shared" si="40"/>
        <v/>
      </c>
      <c r="P46" s="192" t="str">
        <f t="shared" si="41"/>
        <v/>
      </c>
      <c r="Q46" s="192" t="str">
        <f t="shared" si="42"/>
        <v/>
      </c>
      <c r="R46" s="192" t="str">
        <f t="shared" si="43"/>
        <v/>
      </c>
      <c r="S46" s="192" t="str">
        <f t="shared" si="44"/>
        <v/>
      </c>
      <c r="T46" s="192" t="str">
        <f t="shared" si="45"/>
        <v/>
      </c>
      <c r="U46" s="239" t="str">
        <f>IF($S10=FALSE,"",Pressure_2_R1!L5*C46)</f>
        <v/>
      </c>
      <c r="V46" s="239" t="str">
        <f t="shared" ref="V46:V59" si="50">IF($S10=FALSE,"",MAX(T46:U46))</f>
        <v/>
      </c>
      <c r="W46" s="239" t="str">
        <f t="shared" si="46"/>
        <v/>
      </c>
      <c r="X46" s="239" t="str">
        <f t="shared" si="47"/>
        <v/>
      </c>
      <c r="Y46" s="240" t="str">
        <f t="shared" si="48"/>
        <v/>
      </c>
    </row>
    <row r="47" spans="2:30" ht="15" customHeight="1">
      <c r="B47" s="194">
        <f t="shared" ref="B47:B59" si="51">C11</f>
        <v>3</v>
      </c>
      <c r="C47" s="194" t="str">
        <f t="shared" si="33"/>
        <v/>
      </c>
      <c r="D47" s="192" t="str">
        <f t="shared" si="33"/>
        <v/>
      </c>
      <c r="E47" s="192" t="e">
        <f ca="1">IF($N11=FALSE,"",표준압력!W6)</f>
        <v>#VALUE!</v>
      </c>
      <c r="F47" s="192" t="e">
        <f ca="1">IF($N11=FALSE,"",표준압력!Z6)</f>
        <v>#VALUE!</v>
      </c>
      <c r="G47" s="192" t="str">
        <f>IF($S11=FALSE,"",Pressure_2_R1!F138/2)</f>
        <v/>
      </c>
      <c r="H47" s="194" t="str">
        <f t="shared" si="34"/>
        <v/>
      </c>
      <c r="I47" s="192" t="str">
        <f t="shared" si="35"/>
        <v/>
      </c>
      <c r="J47" s="192" t="str">
        <f t="shared" si="36"/>
        <v/>
      </c>
      <c r="K47" s="192" t="str">
        <f t="shared" si="37"/>
        <v/>
      </c>
      <c r="L47" s="192" t="str">
        <f t="shared" si="38"/>
        <v/>
      </c>
      <c r="M47" s="192" t="e">
        <f t="shared" ca="1" si="49"/>
        <v>#VALUE!</v>
      </c>
      <c r="N47" s="192" t="str">
        <f t="shared" si="39"/>
        <v/>
      </c>
      <c r="O47" s="192" t="str">
        <f t="shared" si="40"/>
        <v/>
      </c>
      <c r="P47" s="192" t="str">
        <f t="shared" si="41"/>
        <v/>
      </c>
      <c r="Q47" s="192" t="str">
        <f t="shared" si="42"/>
        <v/>
      </c>
      <c r="R47" s="192" t="str">
        <f t="shared" si="43"/>
        <v/>
      </c>
      <c r="S47" s="192" t="str">
        <f t="shared" si="44"/>
        <v/>
      </c>
      <c r="T47" s="192" t="str">
        <f t="shared" si="45"/>
        <v/>
      </c>
      <c r="U47" s="239" t="str">
        <f>IF($S11=FALSE,"",Pressure_2_R1!L6*C47)</f>
        <v/>
      </c>
      <c r="V47" s="239" t="str">
        <f t="shared" si="50"/>
        <v/>
      </c>
      <c r="W47" s="239" t="str">
        <f t="shared" si="46"/>
        <v/>
      </c>
      <c r="X47" s="239" t="str">
        <f t="shared" si="47"/>
        <v/>
      </c>
      <c r="Y47" s="240" t="str">
        <f t="shared" si="48"/>
        <v/>
      </c>
    </row>
    <row r="48" spans="2:30" ht="15" customHeight="1">
      <c r="B48" s="194">
        <f t="shared" si="51"/>
        <v>4</v>
      </c>
      <c r="C48" s="194" t="str">
        <f t="shared" si="33"/>
        <v/>
      </c>
      <c r="D48" s="192" t="str">
        <f t="shared" si="33"/>
        <v/>
      </c>
      <c r="E48" s="192" t="e">
        <f ca="1">IF($N12=FALSE,"",표준압력!W7)</f>
        <v>#VALUE!</v>
      </c>
      <c r="F48" s="192" t="e">
        <f ca="1">IF($N12=FALSE,"",표준압력!Z7)</f>
        <v>#VALUE!</v>
      </c>
      <c r="G48" s="192" t="str">
        <f>IF($S12=FALSE,"",Pressure_2_R1!F139/2)</f>
        <v/>
      </c>
      <c r="H48" s="194" t="str">
        <f t="shared" si="34"/>
        <v/>
      </c>
      <c r="I48" s="192" t="str">
        <f t="shared" si="35"/>
        <v/>
      </c>
      <c r="J48" s="192" t="str">
        <f t="shared" si="36"/>
        <v/>
      </c>
      <c r="K48" s="192" t="str">
        <f t="shared" si="37"/>
        <v/>
      </c>
      <c r="L48" s="192" t="str">
        <f t="shared" si="38"/>
        <v/>
      </c>
      <c r="M48" s="192" t="e">
        <f t="shared" ca="1" si="49"/>
        <v>#VALUE!</v>
      </c>
      <c r="N48" s="192" t="str">
        <f t="shared" si="39"/>
        <v/>
      </c>
      <c r="O48" s="192" t="str">
        <f t="shared" si="40"/>
        <v/>
      </c>
      <c r="P48" s="192" t="str">
        <f t="shared" si="41"/>
        <v/>
      </c>
      <c r="Q48" s="192" t="str">
        <f t="shared" si="42"/>
        <v/>
      </c>
      <c r="R48" s="192" t="str">
        <f t="shared" si="43"/>
        <v/>
      </c>
      <c r="S48" s="192" t="str">
        <f t="shared" si="44"/>
        <v/>
      </c>
      <c r="T48" s="192" t="str">
        <f t="shared" si="45"/>
        <v/>
      </c>
      <c r="U48" s="239" t="str">
        <f>IF($S12=FALSE,"",Pressure_2_R1!L7*C48)</f>
        <v/>
      </c>
      <c r="V48" s="239" t="str">
        <f t="shared" si="50"/>
        <v/>
      </c>
      <c r="W48" s="239" t="str">
        <f t="shared" si="46"/>
        <v/>
      </c>
      <c r="X48" s="239" t="str">
        <f t="shared" si="47"/>
        <v/>
      </c>
      <c r="Y48" s="240" t="str">
        <f t="shared" si="48"/>
        <v/>
      </c>
    </row>
    <row r="49" spans="2:25" ht="15" customHeight="1">
      <c r="B49" s="194">
        <f t="shared" si="51"/>
        <v>5</v>
      </c>
      <c r="C49" s="194" t="str">
        <f t="shared" si="33"/>
        <v/>
      </c>
      <c r="D49" s="192" t="str">
        <f t="shared" si="33"/>
        <v/>
      </c>
      <c r="E49" s="192" t="e">
        <f ca="1">IF($N13=FALSE,"",표준압력!W8)</f>
        <v>#VALUE!</v>
      </c>
      <c r="F49" s="192" t="e">
        <f ca="1">IF($N13=FALSE,"",표준압력!Z8)</f>
        <v>#VALUE!</v>
      </c>
      <c r="G49" s="192" t="str">
        <f>IF($S13=FALSE,"",Pressure_2_R1!F140/2)</f>
        <v/>
      </c>
      <c r="H49" s="194" t="str">
        <f t="shared" si="34"/>
        <v/>
      </c>
      <c r="I49" s="192" t="str">
        <f t="shared" si="35"/>
        <v/>
      </c>
      <c r="J49" s="192" t="str">
        <f t="shared" si="36"/>
        <v/>
      </c>
      <c r="K49" s="192" t="str">
        <f t="shared" si="37"/>
        <v/>
      </c>
      <c r="L49" s="192" t="str">
        <f t="shared" si="38"/>
        <v/>
      </c>
      <c r="M49" s="192" t="e">
        <f t="shared" ca="1" si="49"/>
        <v>#VALUE!</v>
      </c>
      <c r="N49" s="192" t="str">
        <f t="shared" si="39"/>
        <v/>
      </c>
      <c r="O49" s="192" t="str">
        <f t="shared" si="40"/>
        <v/>
      </c>
      <c r="P49" s="192" t="str">
        <f t="shared" si="41"/>
        <v/>
      </c>
      <c r="Q49" s="192" t="str">
        <f t="shared" si="42"/>
        <v/>
      </c>
      <c r="R49" s="192" t="str">
        <f t="shared" si="43"/>
        <v/>
      </c>
      <c r="S49" s="192" t="str">
        <f t="shared" si="44"/>
        <v/>
      </c>
      <c r="T49" s="192" t="str">
        <f t="shared" si="45"/>
        <v/>
      </c>
      <c r="U49" s="239" t="str">
        <f>IF($S13=FALSE,"",Pressure_2_R1!L8*C49)</f>
        <v/>
      </c>
      <c r="V49" s="239" t="str">
        <f t="shared" si="50"/>
        <v/>
      </c>
      <c r="W49" s="239" t="str">
        <f t="shared" si="46"/>
        <v/>
      </c>
      <c r="X49" s="239" t="str">
        <f t="shared" si="47"/>
        <v/>
      </c>
      <c r="Y49" s="240" t="str">
        <f t="shared" si="48"/>
        <v/>
      </c>
    </row>
    <row r="50" spans="2:25" ht="15" customHeight="1">
      <c r="B50" s="194">
        <f t="shared" si="51"/>
        <v>6</v>
      </c>
      <c r="C50" s="194" t="str">
        <f t="shared" si="33"/>
        <v/>
      </c>
      <c r="D50" s="192" t="str">
        <f t="shared" si="33"/>
        <v/>
      </c>
      <c r="E50" s="192" t="e">
        <f ca="1">IF($N14=FALSE,"",표준압력!W9)</f>
        <v>#VALUE!</v>
      </c>
      <c r="F50" s="192" t="e">
        <f ca="1">IF($N14=FALSE,"",표준압력!Z9)</f>
        <v>#VALUE!</v>
      </c>
      <c r="G50" s="192" t="str">
        <f>IF($S14=FALSE,"",Pressure_2_R1!F141/2)</f>
        <v/>
      </c>
      <c r="H50" s="194" t="str">
        <f t="shared" si="34"/>
        <v/>
      </c>
      <c r="I50" s="192" t="str">
        <f t="shared" si="35"/>
        <v/>
      </c>
      <c r="J50" s="192" t="str">
        <f t="shared" si="36"/>
        <v/>
      </c>
      <c r="K50" s="192" t="str">
        <f t="shared" si="37"/>
        <v/>
      </c>
      <c r="L50" s="192" t="str">
        <f t="shared" si="38"/>
        <v/>
      </c>
      <c r="M50" s="192" t="e">
        <f t="shared" ca="1" si="49"/>
        <v>#VALUE!</v>
      </c>
      <c r="N50" s="192" t="str">
        <f t="shared" si="39"/>
        <v/>
      </c>
      <c r="O50" s="192" t="str">
        <f t="shared" si="40"/>
        <v/>
      </c>
      <c r="P50" s="192" t="str">
        <f t="shared" si="41"/>
        <v/>
      </c>
      <c r="Q50" s="192" t="str">
        <f t="shared" si="42"/>
        <v/>
      </c>
      <c r="R50" s="192" t="str">
        <f t="shared" si="43"/>
        <v/>
      </c>
      <c r="S50" s="192" t="str">
        <f t="shared" si="44"/>
        <v/>
      </c>
      <c r="T50" s="192" t="str">
        <f t="shared" si="45"/>
        <v/>
      </c>
      <c r="U50" s="239" t="str">
        <f>IF($S14=FALSE,"",Pressure_2_R1!L9*C50)</f>
        <v/>
      </c>
      <c r="V50" s="239" t="str">
        <f t="shared" si="50"/>
        <v/>
      </c>
      <c r="W50" s="239" t="str">
        <f t="shared" si="46"/>
        <v/>
      </c>
      <c r="X50" s="239" t="str">
        <f t="shared" si="47"/>
        <v/>
      </c>
      <c r="Y50" s="240" t="str">
        <f t="shared" si="48"/>
        <v/>
      </c>
    </row>
    <row r="51" spans="2:25" ht="15" customHeight="1">
      <c r="B51" s="194">
        <f t="shared" si="51"/>
        <v>7</v>
      </c>
      <c r="C51" s="194" t="str">
        <f t="shared" si="33"/>
        <v/>
      </c>
      <c r="D51" s="192" t="str">
        <f t="shared" si="33"/>
        <v/>
      </c>
      <c r="E51" s="192" t="e">
        <f ca="1">IF($N15=FALSE,"",표준압력!W10)</f>
        <v>#VALUE!</v>
      </c>
      <c r="F51" s="192" t="e">
        <f ca="1">IF($N15=FALSE,"",표준압력!Z10)</f>
        <v>#VALUE!</v>
      </c>
      <c r="G51" s="192" t="str">
        <f>IF($S15=FALSE,"",Pressure_2_R1!F142/2)</f>
        <v/>
      </c>
      <c r="H51" s="194" t="str">
        <f t="shared" si="34"/>
        <v/>
      </c>
      <c r="I51" s="192" t="str">
        <f t="shared" si="35"/>
        <v/>
      </c>
      <c r="J51" s="192" t="str">
        <f t="shared" si="36"/>
        <v/>
      </c>
      <c r="K51" s="192" t="str">
        <f t="shared" si="37"/>
        <v/>
      </c>
      <c r="L51" s="192" t="str">
        <f t="shared" si="38"/>
        <v/>
      </c>
      <c r="M51" s="192" t="e">
        <f t="shared" ca="1" si="49"/>
        <v>#VALUE!</v>
      </c>
      <c r="N51" s="192" t="str">
        <f t="shared" si="39"/>
        <v/>
      </c>
      <c r="O51" s="192" t="str">
        <f t="shared" si="40"/>
        <v/>
      </c>
      <c r="P51" s="192" t="str">
        <f t="shared" si="41"/>
        <v/>
      </c>
      <c r="Q51" s="192" t="str">
        <f t="shared" si="42"/>
        <v/>
      </c>
      <c r="R51" s="192" t="str">
        <f t="shared" si="43"/>
        <v/>
      </c>
      <c r="S51" s="192" t="str">
        <f t="shared" si="44"/>
        <v/>
      </c>
      <c r="T51" s="192" t="str">
        <f t="shared" si="45"/>
        <v/>
      </c>
      <c r="U51" s="239" t="str">
        <f>IF($S15=FALSE,"",Pressure_2_R1!L10*C51)</f>
        <v/>
      </c>
      <c r="V51" s="239" t="str">
        <f t="shared" si="50"/>
        <v/>
      </c>
      <c r="W51" s="239" t="str">
        <f t="shared" si="46"/>
        <v/>
      </c>
      <c r="X51" s="239" t="str">
        <f t="shared" si="47"/>
        <v/>
      </c>
      <c r="Y51" s="240" t="str">
        <f t="shared" si="48"/>
        <v/>
      </c>
    </row>
    <row r="52" spans="2:25" ht="15" customHeight="1">
      <c r="B52" s="194">
        <f t="shared" si="51"/>
        <v>8</v>
      </c>
      <c r="C52" s="194" t="str">
        <f t="shared" si="33"/>
        <v/>
      </c>
      <c r="D52" s="192" t="str">
        <f t="shared" si="33"/>
        <v/>
      </c>
      <c r="E52" s="192" t="e">
        <f ca="1">IF($N16=FALSE,"",표준압력!W11)</f>
        <v>#VALUE!</v>
      </c>
      <c r="F52" s="192" t="e">
        <f ca="1">IF($N16=FALSE,"",표준압력!Z11)</f>
        <v>#VALUE!</v>
      </c>
      <c r="G52" s="192" t="str">
        <f>IF($S16=FALSE,"",Pressure_2_R1!F143/2)</f>
        <v/>
      </c>
      <c r="H52" s="194" t="str">
        <f t="shared" si="34"/>
        <v/>
      </c>
      <c r="I52" s="192" t="str">
        <f t="shared" si="35"/>
        <v/>
      </c>
      <c r="J52" s="192" t="str">
        <f t="shared" si="36"/>
        <v/>
      </c>
      <c r="K52" s="192" t="str">
        <f t="shared" si="37"/>
        <v/>
      </c>
      <c r="L52" s="192" t="str">
        <f t="shared" si="38"/>
        <v/>
      </c>
      <c r="M52" s="192" t="e">
        <f t="shared" ca="1" si="49"/>
        <v>#VALUE!</v>
      </c>
      <c r="N52" s="192" t="str">
        <f t="shared" si="39"/>
        <v/>
      </c>
      <c r="O52" s="192" t="str">
        <f t="shared" si="40"/>
        <v/>
      </c>
      <c r="P52" s="192" t="str">
        <f t="shared" si="41"/>
        <v/>
      </c>
      <c r="Q52" s="192" t="str">
        <f t="shared" si="42"/>
        <v/>
      </c>
      <c r="R52" s="192" t="str">
        <f t="shared" si="43"/>
        <v/>
      </c>
      <c r="S52" s="192" t="str">
        <f t="shared" si="44"/>
        <v/>
      </c>
      <c r="T52" s="192" t="str">
        <f t="shared" si="45"/>
        <v/>
      </c>
      <c r="U52" s="239" t="str">
        <f>IF($S16=FALSE,"",Pressure_2_R1!L11*C52)</f>
        <v/>
      </c>
      <c r="V52" s="239" t="str">
        <f t="shared" si="50"/>
        <v/>
      </c>
      <c r="W52" s="239" t="str">
        <f t="shared" si="46"/>
        <v/>
      </c>
      <c r="X52" s="239" t="str">
        <f t="shared" si="47"/>
        <v/>
      </c>
      <c r="Y52" s="240" t="str">
        <f t="shared" si="48"/>
        <v/>
      </c>
    </row>
    <row r="53" spans="2:25" ht="15" customHeight="1">
      <c r="B53" s="194">
        <f t="shared" si="51"/>
        <v>9</v>
      </c>
      <c r="C53" s="194" t="str">
        <f t="shared" si="33"/>
        <v/>
      </c>
      <c r="D53" s="192" t="str">
        <f t="shared" si="33"/>
        <v/>
      </c>
      <c r="E53" s="192" t="e">
        <f ca="1">IF($N17=FALSE,"",표준압력!W12)</f>
        <v>#VALUE!</v>
      </c>
      <c r="F53" s="192" t="e">
        <f ca="1">IF($N17=FALSE,"",표준압력!Z12)</f>
        <v>#VALUE!</v>
      </c>
      <c r="G53" s="192" t="str">
        <f>IF($S17=FALSE,"",Pressure_2_R1!F144/2)</f>
        <v/>
      </c>
      <c r="H53" s="194" t="str">
        <f t="shared" si="34"/>
        <v/>
      </c>
      <c r="I53" s="192" t="str">
        <f t="shared" si="35"/>
        <v/>
      </c>
      <c r="J53" s="192" t="str">
        <f t="shared" si="36"/>
        <v/>
      </c>
      <c r="K53" s="192" t="str">
        <f t="shared" si="37"/>
        <v/>
      </c>
      <c r="L53" s="192" t="str">
        <f t="shared" si="38"/>
        <v/>
      </c>
      <c r="M53" s="192" t="e">
        <f t="shared" ca="1" si="49"/>
        <v>#VALUE!</v>
      </c>
      <c r="N53" s="192" t="str">
        <f t="shared" si="39"/>
        <v/>
      </c>
      <c r="O53" s="192" t="str">
        <f t="shared" si="40"/>
        <v/>
      </c>
      <c r="P53" s="192" t="str">
        <f t="shared" si="41"/>
        <v/>
      </c>
      <c r="Q53" s="192" t="str">
        <f t="shared" si="42"/>
        <v/>
      </c>
      <c r="R53" s="192" t="str">
        <f t="shared" si="43"/>
        <v/>
      </c>
      <c r="S53" s="192" t="str">
        <f t="shared" si="44"/>
        <v/>
      </c>
      <c r="T53" s="192" t="str">
        <f t="shared" si="45"/>
        <v/>
      </c>
      <c r="U53" s="239" t="str">
        <f>IF($S17=FALSE,"",Pressure_2_R1!L12*C53)</f>
        <v/>
      </c>
      <c r="V53" s="239" t="str">
        <f t="shared" si="50"/>
        <v/>
      </c>
      <c r="W53" s="239" t="str">
        <f t="shared" si="46"/>
        <v/>
      </c>
      <c r="X53" s="239" t="str">
        <f t="shared" si="47"/>
        <v/>
      </c>
      <c r="Y53" s="240" t="str">
        <f t="shared" si="48"/>
        <v/>
      </c>
    </row>
    <row r="54" spans="2:25" ht="15" customHeight="1">
      <c r="B54" s="194">
        <f t="shared" si="51"/>
        <v>10</v>
      </c>
      <c r="C54" s="194" t="str">
        <f t="shared" si="33"/>
        <v/>
      </c>
      <c r="D54" s="192" t="str">
        <f t="shared" si="33"/>
        <v/>
      </c>
      <c r="E54" s="192" t="e">
        <f ca="1">IF($N18=FALSE,"",표준압력!W13)</f>
        <v>#VALUE!</v>
      </c>
      <c r="F54" s="192" t="e">
        <f ca="1">IF($N18=FALSE,"",표준압력!Z13)</f>
        <v>#VALUE!</v>
      </c>
      <c r="G54" s="192" t="str">
        <f>IF($S18=FALSE,"",Pressure_2_R1!F145/2)</f>
        <v/>
      </c>
      <c r="H54" s="194" t="str">
        <f t="shared" si="34"/>
        <v/>
      </c>
      <c r="I54" s="192" t="str">
        <f t="shared" si="35"/>
        <v/>
      </c>
      <c r="J54" s="192" t="str">
        <f t="shared" si="36"/>
        <v/>
      </c>
      <c r="K54" s="192" t="str">
        <f t="shared" si="37"/>
        <v/>
      </c>
      <c r="L54" s="192" t="str">
        <f t="shared" si="38"/>
        <v/>
      </c>
      <c r="M54" s="192" t="e">
        <f t="shared" ca="1" si="49"/>
        <v>#VALUE!</v>
      </c>
      <c r="N54" s="192" t="str">
        <f t="shared" si="39"/>
        <v/>
      </c>
      <c r="O54" s="192" t="str">
        <f t="shared" si="40"/>
        <v/>
      </c>
      <c r="P54" s="192" t="str">
        <f t="shared" si="41"/>
        <v/>
      </c>
      <c r="Q54" s="192" t="str">
        <f t="shared" si="42"/>
        <v/>
      </c>
      <c r="R54" s="192" t="str">
        <f t="shared" si="43"/>
        <v/>
      </c>
      <c r="S54" s="192" t="str">
        <f t="shared" si="44"/>
        <v/>
      </c>
      <c r="T54" s="192" t="str">
        <f t="shared" si="45"/>
        <v/>
      </c>
      <c r="U54" s="239" t="str">
        <f>IF($S18=FALSE,"",Pressure_2_R1!L13*C54)</f>
        <v/>
      </c>
      <c r="V54" s="239" t="str">
        <f t="shared" si="50"/>
        <v/>
      </c>
      <c r="W54" s="239" t="str">
        <f t="shared" si="46"/>
        <v/>
      </c>
      <c r="X54" s="239" t="str">
        <f t="shared" si="47"/>
        <v/>
      </c>
      <c r="Y54" s="240" t="str">
        <f t="shared" si="48"/>
        <v/>
      </c>
    </row>
    <row r="55" spans="2:25" ht="15" customHeight="1">
      <c r="B55" s="194">
        <f t="shared" si="51"/>
        <v>11</v>
      </c>
      <c r="C55" s="194" t="str">
        <f t="shared" si="33"/>
        <v/>
      </c>
      <c r="D55" s="192" t="str">
        <f t="shared" si="33"/>
        <v/>
      </c>
      <c r="E55" s="192" t="e">
        <f ca="1">IF($N19=FALSE,"",표준압력!W14)</f>
        <v>#VALUE!</v>
      </c>
      <c r="F55" s="192" t="e">
        <f ca="1">IF($N19=FALSE,"",표준압력!Z14)</f>
        <v>#VALUE!</v>
      </c>
      <c r="G55" s="192" t="str">
        <f>IF($S19=FALSE,"",Pressure_2_R1!F146/2)</f>
        <v/>
      </c>
      <c r="H55" s="194" t="str">
        <f t="shared" si="34"/>
        <v/>
      </c>
      <c r="I55" s="192" t="str">
        <f t="shared" si="35"/>
        <v/>
      </c>
      <c r="J55" s="192" t="str">
        <f t="shared" si="36"/>
        <v/>
      </c>
      <c r="K55" s="192" t="str">
        <f t="shared" si="37"/>
        <v/>
      </c>
      <c r="L55" s="192" t="str">
        <f t="shared" si="38"/>
        <v/>
      </c>
      <c r="M55" s="192" t="e">
        <f t="shared" ca="1" si="49"/>
        <v>#VALUE!</v>
      </c>
      <c r="N55" s="192" t="str">
        <f t="shared" si="39"/>
        <v/>
      </c>
      <c r="O55" s="192" t="str">
        <f t="shared" si="40"/>
        <v/>
      </c>
      <c r="P55" s="192" t="str">
        <f t="shared" si="41"/>
        <v/>
      </c>
      <c r="Q55" s="192" t="str">
        <f t="shared" si="42"/>
        <v/>
      </c>
      <c r="R55" s="192" t="str">
        <f t="shared" si="43"/>
        <v/>
      </c>
      <c r="S55" s="192" t="str">
        <f t="shared" si="44"/>
        <v/>
      </c>
      <c r="T55" s="192" t="str">
        <f t="shared" si="45"/>
        <v/>
      </c>
      <c r="U55" s="239" t="str">
        <f>IF($S19=FALSE,"",Pressure_2_R1!L14*C55)</f>
        <v/>
      </c>
      <c r="V55" s="239" t="str">
        <f t="shared" si="50"/>
        <v/>
      </c>
      <c r="W55" s="239" t="str">
        <f t="shared" si="46"/>
        <v/>
      </c>
      <c r="X55" s="239" t="str">
        <f t="shared" si="47"/>
        <v/>
      </c>
      <c r="Y55" s="240" t="str">
        <f t="shared" si="48"/>
        <v/>
      </c>
    </row>
    <row r="56" spans="2:25" ht="15" customHeight="1">
      <c r="B56" s="194">
        <f t="shared" si="51"/>
        <v>12</v>
      </c>
      <c r="C56" s="194" t="str">
        <f t="shared" si="33"/>
        <v/>
      </c>
      <c r="D56" s="192" t="str">
        <f t="shared" si="33"/>
        <v/>
      </c>
      <c r="E56" s="192" t="e">
        <f ca="1">IF($N20=FALSE,"",표준압력!W15)</f>
        <v>#VALUE!</v>
      </c>
      <c r="F56" s="192" t="e">
        <f ca="1">IF($N20=FALSE,"",표준압력!Z15)</f>
        <v>#VALUE!</v>
      </c>
      <c r="G56" s="192" t="str">
        <f>IF($S20=FALSE,"",Pressure_2_R1!F147/2)</f>
        <v/>
      </c>
      <c r="H56" s="194" t="str">
        <f t="shared" si="34"/>
        <v/>
      </c>
      <c r="I56" s="192" t="str">
        <f t="shared" si="35"/>
        <v/>
      </c>
      <c r="J56" s="192" t="str">
        <f t="shared" si="36"/>
        <v/>
      </c>
      <c r="K56" s="192" t="str">
        <f t="shared" si="37"/>
        <v/>
      </c>
      <c r="L56" s="192" t="str">
        <f t="shared" si="38"/>
        <v/>
      </c>
      <c r="M56" s="192" t="e">
        <f t="shared" ca="1" si="49"/>
        <v>#VALUE!</v>
      </c>
      <c r="N56" s="192" t="str">
        <f t="shared" si="39"/>
        <v/>
      </c>
      <c r="O56" s="192" t="str">
        <f t="shared" si="40"/>
        <v/>
      </c>
      <c r="P56" s="192" t="str">
        <f t="shared" si="41"/>
        <v/>
      </c>
      <c r="Q56" s="192" t="str">
        <f t="shared" si="42"/>
        <v/>
      </c>
      <c r="R56" s="192" t="str">
        <f t="shared" si="43"/>
        <v/>
      </c>
      <c r="S56" s="192" t="str">
        <f t="shared" si="44"/>
        <v/>
      </c>
      <c r="T56" s="192" t="str">
        <f t="shared" si="45"/>
        <v/>
      </c>
      <c r="U56" s="239" t="str">
        <f>IF($S20=FALSE,"",Pressure_2_R1!L15*C56)</f>
        <v/>
      </c>
      <c r="V56" s="239" t="str">
        <f t="shared" si="50"/>
        <v/>
      </c>
      <c r="W56" s="239" t="str">
        <f t="shared" si="46"/>
        <v/>
      </c>
      <c r="X56" s="239" t="str">
        <f t="shared" si="47"/>
        <v/>
      </c>
      <c r="Y56" s="240" t="str">
        <f t="shared" si="48"/>
        <v/>
      </c>
    </row>
    <row r="57" spans="2:25" ht="15" customHeight="1">
      <c r="B57" s="194">
        <f t="shared" si="51"/>
        <v>13</v>
      </c>
      <c r="C57" s="194" t="str">
        <f t="shared" si="33"/>
        <v/>
      </c>
      <c r="D57" s="192" t="str">
        <f t="shared" si="33"/>
        <v/>
      </c>
      <c r="E57" s="192" t="e">
        <f ca="1">IF($N21=FALSE,"",표준압력!W16)</f>
        <v>#VALUE!</v>
      </c>
      <c r="F57" s="192" t="e">
        <f ca="1">IF($N21=FALSE,"",표준압력!Z16)</f>
        <v>#VALUE!</v>
      </c>
      <c r="G57" s="192" t="str">
        <f>IF($S21=FALSE,"",Pressure_2_R1!F148/2)</f>
        <v/>
      </c>
      <c r="H57" s="194" t="str">
        <f t="shared" si="34"/>
        <v/>
      </c>
      <c r="I57" s="192" t="str">
        <f t="shared" si="35"/>
        <v/>
      </c>
      <c r="J57" s="192" t="str">
        <f t="shared" si="36"/>
        <v/>
      </c>
      <c r="K57" s="192" t="str">
        <f t="shared" si="37"/>
        <v/>
      </c>
      <c r="L57" s="192" t="str">
        <f t="shared" si="38"/>
        <v/>
      </c>
      <c r="M57" s="192" t="e">
        <f t="shared" ca="1" si="49"/>
        <v>#VALUE!</v>
      </c>
      <c r="N57" s="192" t="str">
        <f t="shared" si="39"/>
        <v/>
      </c>
      <c r="O57" s="192" t="str">
        <f t="shared" si="40"/>
        <v/>
      </c>
      <c r="P57" s="192" t="str">
        <f t="shared" si="41"/>
        <v/>
      </c>
      <c r="Q57" s="192" t="str">
        <f t="shared" si="42"/>
        <v/>
      </c>
      <c r="R57" s="192" t="str">
        <f t="shared" si="43"/>
        <v/>
      </c>
      <c r="S57" s="192" t="str">
        <f t="shared" si="44"/>
        <v/>
      </c>
      <c r="T57" s="192" t="str">
        <f t="shared" si="45"/>
        <v/>
      </c>
      <c r="U57" s="239" t="str">
        <f>IF($S21=FALSE,"",Pressure_2_R1!L16*C57)</f>
        <v/>
      </c>
      <c r="V57" s="239" t="str">
        <f t="shared" si="50"/>
        <v/>
      </c>
      <c r="W57" s="239" t="str">
        <f t="shared" si="46"/>
        <v/>
      </c>
      <c r="X57" s="239" t="str">
        <f t="shared" si="47"/>
        <v/>
      </c>
      <c r="Y57" s="240" t="str">
        <f t="shared" si="48"/>
        <v/>
      </c>
    </row>
    <row r="58" spans="2:25" ht="15" customHeight="1">
      <c r="B58" s="194">
        <f t="shared" si="51"/>
        <v>14</v>
      </c>
      <c r="C58" s="194" t="str">
        <f t="shared" si="33"/>
        <v/>
      </c>
      <c r="D58" s="192" t="str">
        <f t="shared" si="33"/>
        <v/>
      </c>
      <c r="E58" s="192" t="e">
        <f ca="1">IF($N22=FALSE,"",표준압력!W17)</f>
        <v>#VALUE!</v>
      </c>
      <c r="F58" s="192" t="e">
        <f ca="1">IF($N22=FALSE,"",표준압력!Z17)</f>
        <v>#VALUE!</v>
      </c>
      <c r="G58" s="192" t="str">
        <f>IF($S22=FALSE,"",Pressure_2_R1!F149/2)</f>
        <v/>
      </c>
      <c r="H58" s="194" t="str">
        <f t="shared" si="34"/>
        <v/>
      </c>
      <c r="I58" s="192" t="str">
        <f t="shared" si="35"/>
        <v/>
      </c>
      <c r="J58" s="192" t="str">
        <f t="shared" si="36"/>
        <v/>
      </c>
      <c r="K58" s="192" t="str">
        <f t="shared" si="37"/>
        <v/>
      </c>
      <c r="L58" s="192" t="str">
        <f t="shared" si="38"/>
        <v/>
      </c>
      <c r="M58" s="192" t="e">
        <f t="shared" ca="1" si="49"/>
        <v>#VALUE!</v>
      </c>
      <c r="N58" s="192" t="str">
        <f t="shared" si="39"/>
        <v/>
      </c>
      <c r="O58" s="192" t="str">
        <f t="shared" si="40"/>
        <v/>
      </c>
      <c r="P58" s="192" t="str">
        <f t="shared" si="41"/>
        <v/>
      </c>
      <c r="Q58" s="192" t="str">
        <f t="shared" si="42"/>
        <v/>
      </c>
      <c r="R58" s="192" t="str">
        <f t="shared" si="43"/>
        <v/>
      </c>
      <c r="S58" s="192" t="str">
        <f t="shared" si="44"/>
        <v/>
      </c>
      <c r="T58" s="192" t="str">
        <f t="shared" si="45"/>
        <v/>
      </c>
      <c r="U58" s="239" t="str">
        <f>IF($S22=FALSE,"",Pressure_2_R1!L17*C58)</f>
        <v/>
      </c>
      <c r="V58" s="239" t="str">
        <f t="shared" si="50"/>
        <v/>
      </c>
      <c r="W58" s="239" t="str">
        <f t="shared" si="46"/>
        <v/>
      </c>
      <c r="X58" s="239" t="str">
        <f t="shared" si="47"/>
        <v/>
      </c>
      <c r="Y58" s="240" t="str">
        <f t="shared" si="48"/>
        <v/>
      </c>
    </row>
    <row r="59" spans="2:25" ht="15" customHeight="1" thickBot="1">
      <c r="B59" s="194">
        <f t="shared" si="51"/>
        <v>15</v>
      </c>
      <c r="C59" s="194" t="str">
        <f t="shared" si="33"/>
        <v/>
      </c>
      <c r="D59" s="192" t="str">
        <f t="shared" si="33"/>
        <v/>
      </c>
      <c r="E59" s="192" t="e">
        <f ca="1">IF($N23=FALSE,"",표준압력!W18)</f>
        <v>#VALUE!</v>
      </c>
      <c r="F59" s="192" t="e">
        <f ca="1">IF($N23=FALSE,"",표준압력!Z18)</f>
        <v>#VALUE!</v>
      </c>
      <c r="G59" s="192" t="str">
        <f>IF($S23=FALSE,"",Pressure_2_R1!F150/2)</f>
        <v/>
      </c>
      <c r="H59" s="194" t="str">
        <f t="shared" si="34"/>
        <v/>
      </c>
      <c r="I59" s="192" t="str">
        <f t="shared" si="35"/>
        <v/>
      </c>
      <c r="J59" s="192" t="str">
        <f t="shared" si="36"/>
        <v/>
      </c>
      <c r="K59" s="192" t="str">
        <f t="shared" si="37"/>
        <v/>
      </c>
      <c r="L59" s="192" t="str">
        <f t="shared" si="38"/>
        <v/>
      </c>
      <c r="M59" s="192" t="e">
        <f t="shared" ca="1" si="49"/>
        <v>#VALUE!</v>
      </c>
      <c r="N59" s="192" t="str">
        <f t="shared" si="39"/>
        <v/>
      </c>
      <c r="O59" s="192" t="str">
        <f t="shared" si="40"/>
        <v/>
      </c>
      <c r="P59" s="192" t="str">
        <f t="shared" si="41"/>
        <v/>
      </c>
      <c r="Q59" s="192" t="str">
        <f t="shared" si="42"/>
        <v/>
      </c>
      <c r="R59" s="192" t="str">
        <f t="shared" si="43"/>
        <v/>
      </c>
      <c r="S59" s="192" t="str">
        <f t="shared" si="44"/>
        <v/>
      </c>
      <c r="T59" s="192" t="str">
        <f t="shared" si="45"/>
        <v/>
      </c>
      <c r="U59" s="239" t="str">
        <f>IF($S23=FALSE,"",Pressure_2_R1!L18*C59)</f>
        <v/>
      </c>
      <c r="V59" s="239" t="str">
        <f t="shared" si="50"/>
        <v/>
      </c>
      <c r="W59" s="239" t="str">
        <f t="shared" si="46"/>
        <v/>
      </c>
      <c r="X59" s="239" t="str">
        <f t="shared" si="47"/>
        <v/>
      </c>
      <c r="Y59" s="240" t="str">
        <f t="shared" si="48"/>
        <v/>
      </c>
    </row>
    <row r="60" spans="2:25" ht="15" customHeight="1" thickBot="1">
      <c r="T60" s="180"/>
      <c r="U60" s="193"/>
      <c r="V60" s="193"/>
      <c r="W60" s="193"/>
      <c r="X60" s="193"/>
      <c r="Y60" s="199" t="str">
        <f>IF($S24=FALSE,"",IF(SUM(Y45:Y59)=0,"","초과"))</f>
        <v/>
      </c>
    </row>
    <row r="61" spans="2:25" ht="15" customHeight="1">
      <c r="B61" s="184" t="s">
        <v>540</v>
      </c>
      <c r="I61" s="184" t="s">
        <v>541</v>
      </c>
      <c r="U61" s="193"/>
      <c r="V61" s="193"/>
      <c r="W61" s="193"/>
    </row>
    <row r="62" spans="2:25" ht="15" customHeight="1">
      <c r="B62" s="915" t="s">
        <v>525</v>
      </c>
      <c r="C62" s="918" t="s">
        <v>542</v>
      </c>
      <c r="D62" s="901" t="s">
        <v>543</v>
      </c>
      <c r="E62" s="920"/>
      <c r="F62" s="902"/>
      <c r="G62" s="273"/>
      <c r="I62" s="948" t="s">
        <v>544</v>
      </c>
      <c r="J62" s="949"/>
      <c r="K62" s="950"/>
      <c r="L62" s="958" t="s">
        <v>545</v>
      </c>
      <c r="N62" s="197" t="s">
        <v>546</v>
      </c>
      <c r="O62" s="954" t="s">
        <v>547</v>
      </c>
      <c r="P62" s="955"/>
      <c r="Q62" s="955"/>
      <c r="R62" s="955"/>
      <c r="S62" s="955"/>
      <c r="U62" s="196" t="s">
        <v>548</v>
      </c>
      <c r="V62" s="196" t="s">
        <v>549</v>
      </c>
      <c r="W62" s="196" t="s">
        <v>368</v>
      </c>
      <c r="X62" s="196" t="s">
        <v>550</v>
      </c>
      <c r="Y62" s="196" t="s">
        <v>549</v>
      </c>
    </row>
    <row r="63" spans="2:25" ht="15" customHeight="1">
      <c r="B63" s="916"/>
      <c r="C63" s="919"/>
      <c r="D63" s="901" t="s">
        <v>551</v>
      </c>
      <c r="E63" s="902"/>
      <c r="F63" s="238" t="s">
        <v>121</v>
      </c>
      <c r="G63" s="238" t="s">
        <v>104</v>
      </c>
      <c r="I63" s="265" t="s">
        <v>356</v>
      </c>
      <c r="J63" s="265" t="s">
        <v>369</v>
      </c>
      <c r="K63" s="265" t="s">
        <v>552</v>
      </c>
      <c r="L63" s="959"/>
      <c r="N63" s="200" t="s">
        <v>553</v>
      </c>
      <c r="O63" s="241" t="s">
        <v>554</v>
      </c>
      <c r="P63" s="238" t="s">
        <v>357</v>
      </c>
      <c r="Q63" s="238" t="s">
        <v>551</v>
      </c>
      <c r="R63" s="238" t="s">
        <v>555</v>
      </c>
      <c r="S63" s="238" t="s">
        <v>370</v>
      </c>
      <c r="U63" s="198"/>
      <c r="V63" s="198" t="s">
        <v>113</v>
      </c>
      <c r="W63" s="196" t="s">
        <v>135</v>
      </c>
      <c r="X63" s="198"/>
      <c r="Y63" s="198" t="s">
        <v>113</v>
      </c>
    </row>
    <row r="64" spans="2:25" ht="15" customHeight="1">
      <c r="B64" s="917"/>
      <c r="C64" s="242">
        <f>D44</f>
        <v>0</v>
      </c>
      <c r="D64" s="242">
        <f>H44</f>
        <v>0</v>
      </c>
      <c r="E64" s="242">
        <f>I44</f>
        <v>0</v>
      </c>
      <c r="F64" s="242">
        <f>J44</f>
        <v>0</v>
      </c>
      <c r="G64" s="242">
        <f>X44</f>
        <v>0</v>
      </c>
      <c r="I64" s="265">
        <f>F8</f>
        <v>0</v>
      </c>
      <c r="J64" s="265">
        <f>I64</f>
        <v>0</v>
      </c>
      <c r="K64" s="265">
        <f>J64</f>
        <v>0</v>
      </c>
      <c r="L64" s="334" t="str">
        <f>IF(TYPE(MATCH("FAIL",L65:L79,0))=16,"PASS","FAIL")</f>
        <v>PASS</v>
      </c>
      <c r="N64" s="201">
        <f ca="1">MIN(N65:N79)</f>
        <v>0</v>
      </c>
      <c r="O64" s="202">
        <f ca="1">OFFSET(V63,MATCH(N64,W64:W73,0),0)</f>
        <v>0</v>
      </c>
      <c r="P64" s="202">
        <f ca="1">OFFSET(V63,MATCH(I3,W64:W73,0),0)</f>
        <v>0</v>
      </c>
      <c r="Q64" s="202">
        <f ca="1">O64</f>
        <v>0</v>
      </c>
      <c r="R64" s="202">
        <f ca="1">Q64</f>
        <v>0</v>
      </c>
      <c r="S64" s="202">
        <f ca="1">R64</f>
        <v>0</v>
      </c>
      <c r="U64" s="243">
        <v>9.9999999999999995E-8</v>
      </c>
      <c r="V64" s="243" t="s">
        <v>556</v>
      </c>
      <c r="W64" s="243">
        <v>7</v>
      </c>
      <c r="X64" s="243">
        <v>0</v>
      </c>
      <c r="Y64" s="243"/>
    </row>
    <row r="65" spans="2:25" ht="15" customHeight="1">
      <c r="B65" s="239">
        <f>B45</f>
        <v>1</v>
      </c>
      <c r="C65" s="244" t="str">
        <f t="shared" ref="C65:C79" si="52">IF($S9=FALSE,"",TEXT(ROUND(D45,$N$64),O65))</f>
        <v/>
      </c>
      <c r="D65" s="244" t="str">
        <f t="shared" ref="D65:D79" si="53">IF($S9=FALSE,"",TEXT(H45,P65))</f>
        <v/>
      </c>
      <c r="E65" s="244" t="str">
        <f t="shared" ref="E65:E79" si="54">IF($S9=FALSE,"",TEXT(I45,Q65))</f>
        <v/>
      </c>
      <c r="F65" s="244" t="str">
        <f t="shared" ref="F65:F79" si="55">IF($S9=FALSE,"",TEXT(ROUND(J45,$N$64),R65))</f>
        <v/>
      </c>
      <c r="G65" s="244" t="str">
        <f t="shared" ref="G65:G79" si="56">IF($S9=FALSE,"",TEXT(ROUND(X45,$N$64),S65))</f>
        <v/>
      </c>
      <c r="I65" s="203" t="str">
        <f>IF($S9=FALSE,"",ROUND(IF(D$3="mV/V",Pressure_2_R1!S4/G$3,Pressure_2_R1!S4),I$3))</f>
        <v/>
      </c>
      <c r="J65" s="203" t="str">
        <f>IF($S9=FALSE,"",ROUND(IF(D$3="mV/V",Pressure_2_R1!T4/G$3,Pressure_2_R1!T4),I$3))</f>
        <v/>
      </c>
      <c r="K65" s="203" t="str">
        <f t="shared" ref="K65:K79" si="57">IF($S9=FALSE,"","± "&amp;TEXT((J65-I65)/2,Q65))</f>
        <v/>
      </c>
      <c r="L65" s="204" t="str">
        <f t="shared" ref="L65:L79" si="58">IF($S9=FALSE,"",IF(AND(I65&lt;=H45,H45&lt;=J65),"PASS","FAIL"))</f>
        <v/>
      </c>
      <c r="N65" s="194" t="str">
        <f t="shared" ref="N65:N79" ca="1" si="59">IF($S9=FALSE,"",OFFSET(W$63,COUNTIF(U$64:U$73,"&lt;="&amp;V45),0)+1)</f>
        <v/>
      </c>
      <c r="O65" s="194" t="str">
        <f t="shared" ref="O65:O79" ca="1" si="60">IF($S9=FALSE,"",SUBSTITUTE(OFFSET($Y$63,COUNTIF($X$64:$X$73,"&lt;="&amp;ABS(C45)),0),0,"")&amp;O$64)</f>
        <v/>
      </c>
      <c r="P65" s="194" t="str">
        <f t="shared" ref="P65:P79" ca="1" si="61">IF($S9=FALSE,"",SUBSTITUTE(OFFSET($Y$63,COUNTIF($X$64:$X$73,"&lt;="&amp;ABS(H45)),0),0,"")&amp;P$64)</f>
        <v/>
      </c>
      <c r="Q65" s="194" t="str">
        <f t="shared" ref="Q65:Q79" ca="1" si="62">IF($S9=FALSE,"",SUBSTITUTE(OFFSET($Y$63,COUNTIF($X$64:$X$73,"&lt;="&amp;ABS(I45)),0),0,"")&amp;Q$64)</f>
        <v/>
      </c>
      <c r="R65" s="194" t="str">
        <f t="shared" ref="R65:R79" ca="1" si="63">IF($S9=FALSE,"",SUBSTITUTE(OFFSET($Y$63,COUNTIF($X$64:$X$73,"&lt;="&amp;ABS(J45)),0),0,"")&amp;R$64)</f>
        <v/>
      </c>
      <c r="S65" s="194" t="str">
        <f t="shared" ref="S65:S79" si="64">IF($S9=FALSE,"",S$64)</f>
        <v/>
      </c>
      <c r="U65" s="243">
        <v>9.9999999999999995E-7</v>
      </c>
      <c r="V65" s="243" t="s">
        <v>557</v>
      </c>
      <c r="W65" s="243">
        <v>6</v>
      </c>
      <c r="X65" s="243">
        <v>1</v>
      </c>
      <c r="Y65" s="243"/>
    </row>
    <row r="66" spans="2:25" ht="15" customHeight="1">
      <c r="B66" s="239">
        <f>B46</f>
        <v>2</v>
      </c>
      <c r="C66" s="244" t="str">
        <f t="shared" si="52"/>
        <v/>
      </c>
      <c r="D66" s="244" t="str">
        <f t="shared" si="53"/>
        <v/>
      </c>
      <c r="E66" s="244" t="str">
        <f t="shared" si="54"/>
        <v/>
      </c>
      <c r="F66" s="244" t="str">
        <f t="shared" si="55"/>
        <v/>
      </c>
      <c r="G66" s="244" t="str">
        <f t="shared" si="56"/>
        <v/>
      </c>
      <c r="I66" s="203" t="str">
        <f>IF($S10=FALSE,"",ROUND(IF(D$3="mV/V",Pressure_2_R1!S5/G$3,Pressure_2_R1!S5),I$3))</f>
        <v/>
      </c>
      <c r="J66" s="203" t="str">
        <f>IF($S10=FALSE,"",ROUND(IF(D$3="mV/V",Pressure_2_R1!T5/G$3,Pressure_2_R1!T5),I$3))</f>
        <v/>
      </c>
      <c r="K66" s="203" t="str">
        <f t="shared" si="57"/>
        <v/>
      </c>
      <c r="L66" s="204" t="str">
        <f t="shared" si="58"/>
        <v/>
      </c>
      <c r="N66" s="194" t="str">
        <f t="shared" ca="1" si="59"/>
        <v/>
      </c>
      <c r="O66" s="194" t="str">
        <f t="shared" ca="1" si="60"/>
        <v/>
      </c>
      <c r="P66" s="194" t="str">
        <f t="shared" ca="1" si="61"/>
        <v/>
      </c>
      <c r="Q66" s="194" t="str">
        <f t="shared" ca="1" si="62"/>
        <v/>
      </c>
      <c r="R66" s="194" t="str">
        <f t="shared" ca="1" si="63"/>
        <v/>
      </c>
      <c r="S66" s="194" t="str">
        <f t="shared" si="64"/>
        <v/>
      </c>
      <c r="U66" s="243">
        <v>1.0000000000000001E-5</v>
      </c>
      <c r="V66" s="243" t="s">
        <v>371</v>
      </c>
      <c r="W66" s="243">
        <v>5</v>
      </c>
      <c r="X66" s="243">
        <v>10</v>
      </c>
      <c r="Y66" s="243" t="s">
        <v>114</v>
      </c>
    </row>
    <row r="67" spans="2:25" ht="15" customHeight="1">
      <c r="B67" s="239">
        <f t="shared" ref="B67:B79" si="65">B47</f>
        <v>3</v>
      </c>
      <c r="C67" s="244" t="str">
        <f t="shared" si="52"/>
        <v/>
      </c>
      <c r="D67" s="244" t="str">
        <f t="shared" si="53"/>
        <v/>
      </c>
      <c r="E67" s="244" t="str">
        <f t="shared" si="54"/>
        <v/>
      </c>
      <c r="F67" s="244" t="str">
        <f t="shared" si="55"/>
        <v/>
      </c>
      <c r="G67" s="244" t="str">
        <f t="shared" si="56"/>
        <v/>
      </c>
      <c r="I67" s="203" t="str">
        <f>IF($S11=FALSE,"",ROUND(IF(D$3="mV/V",Pressure_2_R1!S6/G$3,Pressure_2_R1!S6),I$3))</f>
        <v/>
      </c>
      <c r="J67" s="203" t="str">
        <f>IF($S11=FALSE,"",ROUND(IF(D$3="mV/V",Pressure_2_R1!T6/G$3,Pressure_2_R1!T6),I$3))</f>
        <v/>
      </c>
      <c r="K67" s="203" t="str">
        <f t="shared" si="57"/>
        <v/>
      </c>
      <c r="L67" s="204" t="str">
        <f t="shared" si="58"/>
        <v/>
      </c>
      <c r="N67" s="194" t="str">
        <f t="shared" ca="1" si="59"/>
        <v/>
      </c>
      <c r="O67" s="194" t="str">
        <f t="shared" ca="1" si="60"/>
        <v/>
      </c>
      <c r="P67" s="194" t="str">
        <f t="shared" ca="1" si="61"/>
        <v/>
      </c>
      <c r="Q67" s="194" t="str">
        <f t="shared" ca="1" si="62"/>
        <v/>
      </c>
      <c r="R67" s="194" t="str">
        <f t="shared" ca="1" si="63"/>
        <v/>
      </c>
      <c r="S67" s="194" t="str">
        <f t="shared" si="64"/>
        <v/>
      </c>
      <c r="U67" s="243">
        <v>1E-4</v>
      </c>
      <c r="V67" s="243" t="s">
        <v>372</v>
      </c>
      <c r="W67" s="243">
        <v>4</v>
      </c>
      <c r="X67" s="243">
        <v>100</v>
      </c>
      <c r="Y67" s="243" t="s">
        <v>115</v>
      </c>
    </row>
    <row r="68" spans="2:25" ht="15" customHeight="1">
      <c r="B68" s="239">
        <f t="shared" si="65"/>
        <v>4</v>
      </c>
      <c r="C68" s="244" t="str">
        <f t="shared" si="52"/>
        <v/>
      </c>
      <c r="D68" s="244" t="str">
        <f t="shared" si="53"/>
        <v/>
      </c>
      <c r="E68" s="244" t="str">
        <f t="shared" si="54"/>
        <v/>
      </c>
      <c r="F68" s="244" t="str">
        <f t="shared" si="55"/>
        <v/>
      </c>
      <c r="G68" s="244" t="str">
        <f t="shared" si="56"/>
        <v/>
      </c>
      <c r="I68" s="203" t="str">
        <f>IF($S12=FALSE,"",ROUND(IF(D$3="mV/V",Pressure_2_R1!S7/G$3,Pressure_2_R1!S7),I$3))</f>
        <v/>
      </c>
      <c r="J68" s="203" t="str">
        <f>IF($S12=FALSE,"",ROUND(IF(D$3="mV/V",Pressure_2_R1!T7/G$3,Pressure_2_R1!T7),I$3))</f>
        <v/>
      </c>
      <c r="K68" s="203" t="str">
        <f t="shared" si="57"/>
        <v/>
      </c>
      <c r="L68" s="204" t="str">
        <f t="shared" si="58"/>
        <v/>
      </c>
      <c r="N68" s="194" t="str">
        <f t="shared" ca="1" si="59"/>
        <v/>
      </c>
      <c r="O68" s="194" t="str">
        <f t="shared" ca="1" si="60"/>
        <v/>
      </c>
      <c r="P68" s="194" t="str">
        <f t="shared" ca="1" si="61"/>
        <v/>
      </c>
      <c r="Q68" s="194" t="str">
        <f t="shared" ca="1" si="62"/>
        <v/>
      </c>
      <c r="R68" s="194" t="str">
        <f t="shared" ca="1" si="63"/>
        <v/>
      </c>
      <c r="S68" s="194" t="str">
        <f t="shared" si="64"/>
        <v/>
      </c>
      <c r="U68" s="243">
        <v>1E-3</v>
      </c>
      <c r="V68" s="245" t="s">
        <v>373</v>
      </c>
      <c r="W68" s="243">
        <v>3</v>
      </c>
      <c r="X68" s="243">
        <v>1000</v>
      </c>
      <c r="Y68" s="243" t="s">
        <v>116</v>
      </c>
    </row>
    <row r="69" spans="2:25" ht="15" customHeight="1">
      <c r="B69" s="239">
        <f t="shared" si="65"/>
        <v>5</v>
      </c>
      <c r="C69" s="244" t="str">
        <f t="shared" si="52"/>
        <v/>
      </c>
      <c r="D69" s="244" t="str">
        <f t="shared" si="53"/>
        <v/>
      </c>
      <c r="E69" s="244" t="str">
        <f t="shared" si="54"/>
        <v/>
      </c>
      <c r="F69" s="244" t="str">
        <f t="shared" si="55"/>
        <v/>
      </c>
      <c r="G69" s="244" t="str">
        <f t="shared" si="56"/>
        <v/>
      </c>
      <c r="I69" s="203" t="str">
        <f>IF($S13=FALSE,"",ROUND(IF(D$3="mV/V",Pressure_2_R1!S8/G$3,Pressure_2_R1!S8),I$3))</f>
        <v/>
      </c>
      <c r="J69" s="203" t="str">
        <f>IF($S13=FALSE,"",ROUND(IF(D$3="mV/V",Pressure_2_R1!T8/G$3,Pressure_2_R1!T8),I$3))</f>
        <v/>
      </c>
      <c r="K69" s="203" t="str">
        <f t="shared" si="57"/>
        <v/>
      </c>
      <c r="L69" s="204" t="str">
        <f t="shared" si="58"/>
        <v/>
      </c>
      <c r="N69" s="194" t="str">
        <f t="shared" ca="1" si="59"/>
        <v/>
      </c>
      <c r="O69" s="194" t="str">
        <f t="shared" ca="1" si="60"/>
        <v/>
      </c>
      <c r="P69" s="194" t="str">
        <f t="shared" ca="1" si="61"/>
        <v/>
      </c>
      <c r="Q69" s="194" t="str">
        <f t="shared" ca="1" si="62"/>
        <v/>
      </c>
      <c r="R69" s="194" t="str">
        <f t="shared" ca="1" si="63"/>
        <v/>
      </c>
      <c r="S69" s="194" t="str">
        <f t="shared" si="64"/>
        <v/>
      </c>
      <c r="U69" s="243">
        <v>0.01</v>
      </c>
      <c r="V69" s="245" t="s">
        <v>558</v>
      </c>
      <c r="W69" s="243">
        <v>2</v>
      </c>
      <c r="X69" s="243">
        <v>10000</v>
      </c>
      <c r="Y69" s="243" t="s">
        <v>117</v>
      </c>
    </row>
    <row r="70" spans="2:25" ht="15" customHeight="1">
      <c r="B70" s="239">
        <f t="shared" si="65"/>
        <v>6</v>
      </c>
      <c r="C70" s="244" t="str">
        <f t="shared" si="52"/>
        <v/>
      </c>
      <c r="D70" s="244" t="str">
        <f t="shared" si="53"/>
        <v/>
      </c>
      <c r="E70" s="244" t="str">
        <f t="shared" si="54"/>
        <v/>
      </c>
      <c r="F70" s="244" t="str">
        <f t="shared" si="55"/>
        <v/>
      </c>
      <c r="G70" s="244" t="str">
        <f t="shared" si="56"/>
        <v/>
      </c>
      <c r="I70" s="203" t="str">
        <f>IF($S14=FALSE,"",ROUND(IF(D$3="mV/V",Pressure_2_R1!S9/G$3,Pressure_2_R1!S9),I$3))</f>
        <v/>
      </c>
      <c r="J70" s="203" t="str">
        <f>IF($S14=FALSE,"",ROUND(IF(D$3="mV/V",Pressure_2_R1!T9/G$3,Pressure_2_R1!T9),I$3))</f>
        <v/>
      </c>
      <c r="K70" s="203" t="str">
        <f t="shared" si="57"/>
        <v/>
      </c>
      <c r="L70" s="204" t="str">
        <f t="shared" si="58"/>
        <v/>
      </c>
      <c r="N70" s="194" t="str">
        <f t="shared" ca="1" si="59"/>
        <v/>
      </c>
      <c r="O70" s="194" t="str">
        <f t="shared" ca="1" si="60"/>
        <v/>
      </c>
      <c r="P70" s="194" t="str">
        <f t="shared" ca="1" si="61"/>
        <v/>
      </c>
      <c r="Q70" s="194" t="str">
        <f t="shared" ca="1" si="62"/>
        <v/>
      </c>
      <c r="R70" s="194" t="str">
        <f t="shared" ca="1" si="63"/>
        <v/>
      </c>
      <c r="S70" s="194" t="str">
        <f t="shared" si="64"/>
        <v/>
      </c>
      <c r="U70" s="243">
        <v>0.1</v>
      </c>
      <c r="V70" s="245" t="s">
        <v>374</v>
      </c>
      <c r="W70" s="243">
        <v>1</v>
      </c>
      <c r="X70" s="243">
        <v>100000</v>
      </c>
      <c r="Y70" s="243" t="s">
        <v>118</v>
      </c>
    </row>
    <row r="71" spans="2:25" ht="15" customHeight="1">
      <c r="B71" s="239">
        <f t="shared" si="65"/>
        <v>7</v>
      </c>
      <c r="C71" s="244" t="str">
        <f t="shared" si="52"/>
        <v/>
      </c>
      <c r="D71" s="244" t="str">
        <f t="shared" si="53"/>
        <v/>
      </c>
      <c r="E71" s="244" t="str">
        <f t="shared" si="54"/>
        <v/>
      </c>
      <c r="F71" s="244" t="str">
        <f t="shared" si="55"/>
        <v/>
      </c>
      <c r="G71" s="244" t="str">
        <f t="shared" si="56"/>
        <v/>
      </c>
      <c r="I71" s="203" t="str">
        <f>IF($S15=FALSE,"",ROUND(IF(D$3="mV/V",Pressure_2_R1!S10/G$3,Pressure_2_R1!S10),I$3))</f>
        <v/>
      </c>
      <c r="J71" s="203" t="str">
        <f>IF($S15=FALSE,"",ROUND(IF(D$3="mV/V",Pressure_2_R1!T10/G$3,Pressure_2_R1!T10),I$3))</f>
        <v/>
      </c>
      <c r="K71" s="203" t="str">
        <f t="shared" si="57"/>
        <v/>
      </c>
      <c r="L71" s="204" t="str">
        <f t="shared" si="58"/>
        <v/>
      </c>
      <c r="N71" s="194" t="str">
        <f t="shared" ca="1" si="59"/>
        <v/>
      </c>
      <c r="O71" s="194" t="str">
        <f t="shared" ca="1" si="60"/>
        <v/>
      </c>
      <c r="P71" s="194" t="str">
        <f t="shared" ca="1" si="61"/>
        <v/>
      </c>
      <c r="Q71" s="194" t="str">
        <f t="shared" ca="1" si="62"/>
        <v/>
      </c>
      <c r="R71" s="194" t="str">
        <f t="shared" ca="1" si="63"/>
        <v/>
      </c>
      <c r="S71" s="194" t="str">
        <f t="shared" si="64"/>
        <v/>
      </c>
      <c r="U71" s="243">
        <v>1</v>
      </c>
      <c r="V71" s="243">
        <v>0</v>
      </c>
      <c r="W71" s="243">
        <v>0</v>
      </c>
      <c r="X71" s="243">
        <v>1000000</v>
      </c>
      <c r="Y71" s="243" t="s">
        <v>119</v>
      </c>
    </row>
    <row r="72" spans="2:25" ht="15" customHeight="1">
      <c r="B72" s="239">
        <f t="shared" si="65"/>
        <v>8</v>
      </c>
      <c r="C72" s="244" t="str">
        <f t="shared" si="52"/>
        <v/>
      </c>
      <c r="D72" s="244" t="str">
        <f t="shared" si="53"/>
        <v/>
      </c>
      <c r="E72" s="244" t="str">
        <f t="shared" si="54"/>
        <v/>
      </c>
      <c r="F72" s="244" t="str">
        <f t="shared" si="55"/>
        <v/>
      </c>
      <c r="G72" s="244" t="str">
        <f t="shared" si="56"/>
        <v/>
      </c>
      <c r="I72" s="203" t="str">
        <f>IF($S16=FALSE,"",ROUND(IF(D$3="mV/V",Pressure_2_R1!S11/G$3,Pressure_2_R1!S11),I$3))</f>
        <v/>
      </c>
      <c r="J72" s="203" t="str">
        <f>IF($S16=FALSE,"",ROUND(IF(D$3="mV/V",Pressure_2_R1!T11/G$3,Pressure_2_R1!T11),I$3))</f>
        <v/>
      </c>
      <c r="K72" s="203" t="str">
        <f t="shared" si="57"/>
        <v/>
      </c>
      <c r="L72" s="204" t="str">
        <f t="shared" si="58"/>
        <v/>
      </c>
      <c r="N72" s="194" t="str">
        <f t="shared" ca="1" si="59"/>
        <v/>
      </c>
      <c r="O72" s="194" t="str">
        <f t="shared" ca="1" si="60"/>
        <v/>
      </c>
      <c r="P72" s="194" t="str">
        <f t="shared" ca="1" si="61"/>
        <v/>
      </c>
      <c r="Q72" s="194" t="str">
        <f t="shared" ca="1" si="62"/>
        <v/>
      </c>
      <c r="R72" s="194" t="str">
        <f t="shared" ca="1" si="63"/>
        <v/>
      </c>
      <c r="S72" s="194" t="str">
        <f t="shared" si="64"/>
        <v/>
      </c>
      <c r="U72" s="243">
        <v>10</v>
      </c>
      <c r="V72" s="243">
        <v>0</v>
      </c>
      <c r="W72" s="243">
        <v>-1</v>
      </c>
      <c r="X72" s="243">
        <v>10000000</v>
      </c>
      <c r="Y72" s="243" t="s">
        <v>120</v>
      </c>
    </row>
    <row r="73" spans="2:25" ht="15" customHeight="1">
      <c r="B73" s="239">
        <f t="shared" si="65"/>
        <v>9</v>
      </c>
      <c r="C73" s="244" t="str">
        <f t="shared" si="52"/>
        <v/>
      </c>
      <c r="D73" s="244" t="str">
        <f t="shared" si="53"/>
        <v/>
      </c>
      <c r="E73" s="244" t="str">
        <f t="shared" si="54"/>
        <v/>
      </c>
      <c r="F73" s="244" t="str">
        <f t="shared" si="55"/>
        <v/>
      </c>
      <c r="G73" s="244" t="str">
        <f t="shared" si="56"/>
        <v/>
      </c>
      <c r="I73" s="203" t="str">
        <f>IF($S17=FALSE,"",ROUND(IF(D$3="mV/V",Pressure_2_R1!S12/G$3,Pressure_2_R1!S12),I$3))</f>
        <v/>
      </c>
      <c r="J73" s="203" t="str">
        <f>IF($S17=FALSE,"",ROUND(IF(D$3="mV/V",Pressure_2_R1!T12/G$3,Pressure_2_R1!T12),I$3))</f>
        <v/>
      </c>
      <c r="K73" s="203" t="str">
        <f t="shared" si="57"/>
        <v/>
      </c>
      <c r="L73" s="204" t="str">
        <f t="shared" si="58"/>
        <v/>
      </c>
      <c r="N73" s="194" t="str">
        <f t="shared" ca="1" si="59"/>
        <v/>
      </c>
      <c r="O73" s="194" t="str">
        <f t="shared" ca="1" si="60"/>
        <v/>
      </c>
      <c r="P73" s="194" t="str">
        <f t="shared" ca="1" si="61"/>
        <v/>
      </c>
      <c r="Q73" s="194" t="str">
        <f t="shared" ca="1" si="62"/>
        <v/>
      </c>
      <c r="R73" s="194" t="str">
        <f t="shared" ca="1" si="63"/>
        <v/>
      </c>
      <c r="S73" s="194" t="str">
        <f t="shared" si="64"/>
        <v/>
      </c>
      <c r="U73" s="243">
        <v>100</v>
      </c>
      <c r="V73" s="243">
        <v>0</v>
      </c>
      <c r="W73" s="243">
        <v>-2</v>
      </c>
      <c r="X73" s="243"/>
      <c r="Y73" s="243"/>
    </row>
    <row r="74" spans="2:25" ht="15" customHeight="1">
      <c r="B74" s="239">
        <f t="shared" si="65"/>
        <v>10</v>
      </c>
      <c r="C74" s="244" t="str">
        <f t="shared" si="52"/>
        <v/>
      </c>
      <c r="D74" s="244" t="str">
        <f t="shared" si="53"/>
        <v/>
      </c>
      <c r="E74" s="244" t="str">
        <f t="shared" si="54"/>
        <v/>
      </c>
      <c r="F74" s="244" t="str">
        <f t="shared" si="55"/>
        <v/>
      </c>
      <c r="G74" s="244" t="str">
        <f t="shared" si="56"/>
        <v/>
      </c>
      <c r="I74" s="203" t="str">
        <f>IF($S18=FALSE,"",ROUND(IF(D$3="mV/V",Pressure_2_R1!S13/G$3,Pressure_2_R1!S13),I$3))</f>
        <v/>
      </c>
      <c r="J74" s="203" t="str">
        <f>IF($S18=FALSE,"",ROUND(IF(D$3="mV/V",Pressure_2_R1!T13/G$3,Pressure_2_R1!T13),I$3))</f>
        <v/>
      </c>
      <c r="K74" s="203" t="str">
        <f t="shared" si="57"/>
        <v/>
      </c>
      <c r="L74" s="204" t="str">
        <f t="shared" si="58"/>
        <v/>
      </c>
      <c r="N74" s="194" t="str">
        <f t="shared" ca="1" si="59"/>
        <v/>
      </c>
      <c r="O74" s="194" t="str">
        <f t="shared" ca="1" si="60"/>
        <v/>
      </c>
      <c r="P74" s="194" t="str">
        <f t="shared" ca="1" si="61"/>
        <v/>
      </c>
      <c r="Q74" s="194" t="str">
        <f t="shared" ca="1" si="62"/>
        <v/>
      </c>
      <c r="R74" s="194" t="str">
        <f t="shared" ca="1" si="63"/>
        <v/>
      </c>
      <c r="S74" s="194" t="str">
        <f t="shared" si="64"/>
        <v/>
      </c>
    </row>
    <row r="75" spans="2:25" ht="15" customHeight="1">
      <c r="B75" s="239">
        <f t="shared" si="65"/>
        <v>11</v>
      </c>
      <c r="C75" s="244" t="str">
        <f t="shared" si="52"/>
        <v/>
      </c>
      <c r="D75" s="244" t="str">
        <f t="shared" si="53"/>
        <v/>
      </c>
      <c r="E75" s="244" t="str">
        <f t="shared" si="54"/>
        <v/>
      </c>
      <c r="F75" s="244" t="str">
        <f t="shared" si="55"/>
        <v/>
      </c>
      <c r="G75" s="244" t="str">
        <f t="shared" si="56"/>
        <v/>
      </c>
      <c r="I75" s="203" t="str">
        <f>IF($S19=FALSE,"",ROUND(IF(D$3="mV/V",Pressure_2_R1!S14/G$3,Pressure_2_R1!S14),I$3))</f>
        <v/>
      </c>
      <c r="J75" s="203" t="str">
        <f>IF($S19=FALSE,"",ROUND(IF(D$3="mV/V",Pressure_2_R1!T14/G$3,Pressure_2_R1!T14),I$3))</f>
        <v/>
      </c>
      <c r="K75" s="203" t="str">
        <f t="shared" si="57"/>
        <v/>
      </c>
      <c r="L75" s="204" t="str">
        <f t="shared" si="58"/>
        <v/>
      </c>
      <c r="N75" s="194" t="str">
        <f t="shared" ca="1" si="59"/>
        <v/>
      </c>
      <c r="O75" s="194" t="str">
        <f t="shared" ca="1" si="60"/>
        <v/>
      </c>
      <c r="P75" s="194" t="str">
        <f t="shared" ca="1" si="61"/>
        <v/>
      </c>
      <c r="Q75" s="194" t="str">
        <f t="shared" ca="1" si="62"/>
        <v/>
      </c>
      <c r="R75" s="194" t="str">
        <f t="shared" ca="1" si="63"/>
        <v/>
      </c>
      <c r="S75" s="194" t="str">
        <f t="shared" si="64"/>
        <v/>
      </c>
      <c r="U75" s="184" t="s">
        <v>559</v>
      </c>
      <c r="V75" s="193"/>
    </row>
    <row r="76" spans="2:25" ht="15" customHeight="1">
      <c r="B76" s="239">
        <f t="shared" si="65"/>
        <v>12</v>
      </c>
      <c r="C76" s="244" t="str">
        <f t="shared" si="52"/>
        <v/>
      </c>
      <c r="D76" s="244" t="str">
        <f t="shared" si="53"/>
        <v/>
      </c>
      <c r="E76" s="244" t="str">
        <f t="shared" si="54"/>
        <v/>
      </c>
      <c r="F76" s="244" t="str">
        <f t="shared" si="55"/>
        <v/>
      </c>
      <c r="G76" s="244" t="str">
        <f t="shared" si="56"/>
        <v/>
      </c>
      <c r="I76" s="203" t="str">
        <f>IF($S20=FALSE,"",ROUND(IF(D$3="mV/V",Pressure_2_R1!S15/G$3,Pressure_2_R1!S15),I$3))</f>
        <v/>
      </c>
      <c r="J76" s="203" t="str">
        <f>IF($S20=FALSE,"",ROUND(IF(D$3="mV/V",Pressure_2_R1!T15/G$3,Pressure_2_R1!T15),I$3))</f>
        <v/>
      </c>
      <c r="K76" s="203" t="str">
        <f t="shared" si="57"/>
        <v/>
      </c>
      <c r="L76" s="204" t="str">
        <f t="shared" si="58"/>
        <v/>
      </c>
      <c r="N76" s="194" t="str">
        <f t="shared" ca="1" si="59"/>
        <v/>
      </c>
      <c r="O76" s="194" t="str">
        <f t="shared" ca="1" si="60"/>
        <v/>
      </c>
      <c r="P76" s="194" t="str">
        <f t="shared" ca="1" si="61"/>
        <v/>
      </c>
      <c r="Q76" s="194" t="str">
        <f t="shared" ca="1" si="62"/>
        <v/>
      </c>
      <c r="R76" s="194" t="str">
        <f t="shared" ca="1" si="63"/>
        <v/>
      </c>
      <c r="S76" s="194" t="str">
        <f t="shared" si="64"/>
        <v/>
      </c>
      <c r="U76" s="934" t="s">
        <v>560</v>
      </c>
      <c r="V76" s="935"/>
    </row>
    <row r="77" spans="2:25" ht="15" customHeight="1">
      <c r="B77" s="239">
        <f t="shared" si="65"/>
        <v>13</v>
      </c>
      <c r="C77" s="244" t="str">
        <f t="shared" si="52"/>
        <v/>
      </c>
      <c r="D77" s="244" t="str">
        <f t="shared" si="53"/>
        <v/>
      </c>
      <c r="E77" s="244" t="str">
        <f t="shared" si="54"/>
        <v/>
      </c>
      <c r="F77" s="244" t="str">
        <f t="shared" si="55"/>
        <v/>
      </c>
      <c r="G77" s="244" t="str">
        <f t="shared" si="56"/>
        <v/>
      </c>
      <c r="I77" s="203" t="str">
        <f>IF($S21=FALSE,"",ROUND(IF(D$3="mV/V",Pressure_2_R1!S16/G$3,Pressure_2_R1!S16),I$3))</f>
        <v/>
      </c>
      <c r="J77" s="203" t="str">
        <f>IF($S21=FALSE,"",ROUND(IF(D$3="mV/V",Pressure_2_R1!T16/G$3,Pressure_2_R1!T16),I$3))</f>
        <v/>
      </c>
      <c r="K77" s="203" t="str">
        <f t="shared" si="57"/>
        <v/>
      </c>
      <c r="L77" s="204" t="str">
        <f t="shared" si="58"/>
        <v/>
      </c>
      <c r="N77" s="194" t="str">
        <f t="shared" ca="1" si="59"/>
        <v/>
      </c>
      <c r="O77" s="194" t="str">
        <f t="shared" ca="1" si="60"/>
        <v/>
      </c>
      <c r="P77" s="194" t="str">
        <f t="shared" ca="1" si="61"/>
        <v/>
      </c>
      <c r="Q77" s="194" t="str">
        <f t="shared" ca="1" si="62"/>
        <v/>
      </c>
      <c r="R77" s="194" t="str">
        <f t="shared" ca="1" si="63"/>
        <v/>
      </c>
      <c r="S77" s="194" t="str">
        <f t="shared" si="64"/>
        <v/>
      </c>
      <c r="U77" s="246" t="s">
        <v>561</v>
      </c>
      <c r="V77" s="247" t="e">
        <f>SLOPE(D45:D59,I45:I59)</f>
        <v>#DIV/0!</v>
      </c>
    </row>
    <row r="78" spans="2:25" ht="15" customHeight="1">
      <c r="B78" s="239">
        <f t="shared" si="65"/>
        <v>14</v>
      </c>
      <c r="C78" s="244" t="str">
        <f t="shared" si="52"/>
        <v/>
      </c>
      <c r="D78" s="244" t="str">
        <f t="shared" si="53"/>
        <v/>
      </c>
      <c r="E78" s="244" t="str">
        <f t="shared" si="54"/>
        <v/>
      </c>
      <c r="F78" s="244" t="str">
        <f t="shared" si="55"/>
        <v/>
      </c>
      <c r="G78" s="244" t="str">
        <f t="shared" si="56"/>
        <v/>
      </c>
      <c r="I78" s="203" t="str">
        <f>IF($S22=FALSE,"",ROUND(IF(D$3="mV/V",Pressure_2_R1!S17/G$3,Pressure_2_R1!S17),I$3))</f>
        <v/>
      </c>
      <c r="J78" s="203" t="str">
        <f>IF($S22=FALSE,"",ROUND(IF(D$3="mV/V",Pressure_2_R1!T17/G$3,Pressure_2_R1!T17),I$3))</f>
        <v/>
      </c>
      <c r="K78" s="203" t="str">
        <f t="shared" si="57"/>
        <v/>
      </c>
      <c r="L78" s="204" t="str">
        <f t="shared" si="58"/>
        <v/>
      </c>
      <c r="N78" s="194" t="str">
        <f t="shared" ca="1" si="59"/>
        <v/>
      </c>
      <c r="O78" s="194" t="str">
        <f t="shared" ca="1" si="60"/>
        <v/>
      </c>
      <c r="P78" s="194" t="str">
        <f t="shared" ca="1" si="61"/>
        <v/>
      </c>
      <c r="Q78" s="194" t="str">
        <f t="shared" ca="1" si="62"/>
        <v/>
      </c>
      <c r="R78" s="194" t="str">
        <f t="shared" ca="1" si="63"/>
        <v/>
      </c>
      <c r="S78" s="194" t="str">
        <f t="shared" si="64"/>
        <v/>
      </c>
      <c r="U78" s="246" t="s">
        <v>562</v>
      </c>
      <c r="V78" s="247" t="e">
        <f>INTERCEPT(D45:D59,I45:I59)</f>
        <v>#DIV/0!</v>
      </c>
      <c r="W78" s="205"/>
    </row>
    <row r="79" spans="2:25" ht="15" customHeight="1">
      <c r="B79" s="239">
        <f t="shared" si="65"/>
        <v>15</v>
      </c>
      <c r="C79" s="244" t="str">
        <f t="shared" si="52"/>
        <v/>
      </c>
      <c r="D79" s="244" t="str">
        <f t="shared" si="53"/>
        <v/>
      </c>
      <c r="E79" s="244" t="str">
        <f t="shared" si="54"/>
        <v/>
      </c>
      <c r="F79" s="244" t="str">
        <f t="shared" si="55"/>
        <v/>
      </c>
      <c r="G79" s="244" t="str">
        <f t="shared" si="56"/>
        <v/>
      </c>
      <c r="I79" s="203" t="str">
        <f>IF($S23=FALSE,"",ROUND(IF(D$3="mV/V",Pressure_2_R1!S18/G$3,Pressure_2_R1!S18),I$3))</f>
        <v/>
      </c>
      <c r="J79" s="203" t="str">
        <f>IF($S23=FALSE,"",ROUND(IF(D$3="mV/V",Pressure_2_R1!T18/G$3,Pressure_2_R1!T18),I$3))</f>
        <v/>
      </c>
      <c r="K79" s="203" t="str">
        <f t="shared" si="57"/>
        <v/>
      </c>
      <c r="L79" s="204" t="str">
        <f t="shared" si="58"/>
        <v/>
      </c>
      <c r="N79" s="194" t="str">
        <f t="shared" ca="1" si="59"/>
        <v/>
      </c>
      <c r="O79" s="194" t="str">
        <f t="shared" ca="1" si="60"/>
        <v/>
      </c>
      <c r="P79" s="194" t="str">
        <f t="shared" ca="1" si="61"/>
        <v/>
      </c>
      <c r="Q79" s="194" t="str">
        <f t="shared" ca="1" si="62"/>
        <v/>
      </c>
      <c r="R79" s="194" t="str">
        <f t="shared" ca="1" si="63"/>
        <v/>
      </c>
      <c r="S79" s="194" t="str">
        <f t="shared" si="64"/>
        <v/>
      </c>
      <c r="T79" s="180"/>
      <c r="U79" s="193"/>
    </row>
    <row r="80" spans="2:25" ht="15" customHeight="1">
      <c r="B80" s="180"/>
      <c r="C80" s="180"/>
      <c r="D80" s="180"/>
      <c r="E80" s="180"/>
    </row>
    <row r="81" spans="2:20" ht="15" customHeight="1">
      <c r="B81" s="184" t="s">
        <v>626</v>
      </c>
      <c r="T81" s="180"/>
    </row>
    <row r="82" spans="2:20" ht="15" customHeight="1">
      <c r="B82" s="922" t="s">
        <v>525</v>
      </c>
      <c r="C82" s="963" t="s">
        <v>627</v>
      </c>
      <c r="D82" s="963" t="s">
        <v>629</v>
      </c>
      <c r="E82" s="963"/>
      <c r="F82" s="963"/>
      <c r="G82" s="963"/>
      <c r="H82" s="963"/>
      <c r="I82" s="963"/>
      <c r="J82" s="963"/>
      <c r="K82" s="963"/>
      <c r="L82" s="963"/>
      <c r="M82" s="956" t="s">
        <v>641</v>
      </c>
      <c r="N82" s="195"/>
    </row>
    <row r="83" spans="2:20" ht="15" customHeight="1">
      <c r="B83" s="964"/>
      <c r="C83" s="963"/>
      <c r="D83" s="965" t="s">
        <v>630</v>
      </c>
      <c r="E83" s="965" t="s">
        <v>631</v>
      </c>
      <c r="F83" s="965" t="s">
        <v>632</v>
      </c>
      <c r="G83" s="965" t="s">
        <v>633</v>
      </c>
      <c r="H83" s="965" t="s">
        <v>634</v>
      </c>
      <c r="I83" s="965" t="s">
        <v>635</v>
      </c>
      <c r="J83" s="965" t="s">
        <v>636</v>
      </c>
      <c r="K83" s="963" t="s">
        <v>637</v>
      </c>
      <c r="L83" s="963" t="s">
        <v>638</v>
      </c>
      <c r="M83" s="957"/>
      <c r="N83" s="195"/>
    </row>
    <row r="84" spans="2:20" ht="15" customHeight="1">
      <c r="B84" s="964"/>
      <c r="C84" s="242" t="s">
        <v>628</v>
      </c>
      <c r="D84" s="965"/>
      <c r="E84" s="965"/>
      <c r="F84" s="966"/>
      <c r="G84" s="965"/>
      <c r="H84" s="965"/>
      <c r="I84" s="965"/>
      <c r="J84" s="965"/>
      <c r="K84" s="963"/>
      <c r="L84" s="963"/>
      <c r="M84" s="331">
        <f>D3</f>
        <v>0</v>
      </c>
      <c r="N84" s="195"/>
    </row>
    <row r="85" spans="2:20" ht="15" customHeight="1">
      <c r="B85" s="239">
        <f t="shared" ref="B85:B99" si="66">B65</f>
        <v>1</v>
      </c>
      <c r="C85" s="247" t="e">
        <f>MAX(MAX(K45:K59),ABS(MIN(K45:K59)))/MAX(H45:H59)</f>
        <v>#DIV/0!</v>
      </c>
      <c r="D85" s="239" t="str">
        <f>D45</f>
        <v/>
      </c>
      <c r="E85" s="239" t="str">
        <f t="shared" ref="E85:E99" si="67">H45</f>
        <v/>
      </c>
      <c r="F85" s="239" t="e">
        <f t="shared" ref="F85:F99" si="68">(G85-H85)/(I85-J85)*D85+H85</f>
        <v>#DIV/0!</v>
      </c>
      <c r="G85" s="239">
        <f>MAX(E85:E99)</f>
        <v>0</v>
      </c>
      <c r="H85" s="239">
        <f>MIN(E85:E99)</f>
        <v>0</v>
      </c>
      <c r="I85" s="239">
        <f>MAX(D85:D99)</f>
        <v>0</v>
      </c>
      <c r="J85" s="239">
        <f>MIN(D85:D99)</f>
        <v>0</v>
      </c>
      <c r="K85" s="239" t="str">
        <f>IF(D85="","",ABS((E85-F85)/(G85-H85)))</f>
        <v/>
      </c>
      <c r="L85" s="239">
        <f>MAX(K85:K99)</f>
        <v>0</v>
      </c>
      <c r="M85" s="317">
        <f>(G85-(H85-E3))</f>
        <v>0</v>
      </c>
      <c r="N85" s="195"/>
    </row>
    <row r="86" spans="2:20" ht="15" customHeight="1">
      <c r="B86" s="239">
        <f t="shared" si="66"/>
        <v>2</v>
      </c>
      <c r="C86" s="315"/>
      <c r="D86" s="239" t="str">
        <f t="shared" ref="D86:D99" si="69">D46</f>
        <v/>
      </c>
      <c r="E86" s="239" t="str">
        <f t="shared" si="67"/>
        <v/>
      </c>
      <c r="F86" s="239" t="e">
        <f t="shared" si="68"/>
        <v>#DIV/0!</v>
      </c>
      <c r="G86" s="316">
        <f>G85</f>
        <v>0</v>
      </c>
      <c r="H86" s="316">
        <f>H85</f>
        <v>0</v>
      </c>
      <c r="I86" s="316">
        <f>I85</f>
        <v>0</v>
      </c>
      <c r="J86" s="316">
        <f>J85</f>
        <v>0</v>
      </c>
      <c r="K86" s="239" t="str">
        <f t="shared" ref="K86:K99" si="70">IF(D86="","",ABS((E86-F86)/(G86-H86)))</f>
        <v/>
      </c>
      <c r="L86" s="318"/>
      <c r="M86" s="318"/>
      <c r="N86" s="195"/>
    </row>
    <row r="87" spans="2:20" ht="15" customHeight="1">
      <c r="B87" s="239">
        <f t="shared" si="66"/>
        <v>3</v>
      </c>
      <c r="C87" s="315"/>
      <c r="D87" s="239" t="str">
        <f t="shared" si="69"/>
        <v/>
      </c>
      <c r="E87" s="239" t="str">
        <f t="shared" si="67"/>
        <v/>
      </c>
      <c r="F87" s="239" t="e">
        <f t="shared" si="68"/>
        <v>#DIV/0!</v>
      </c>
      <c r="G87" s="316">
        <f t="shared" ref="G87:G99" si="71">G86</f>
        <v>0</v>
      </c>
      <c r="H87" s="316">
        <f t="shared" ref="H87:J99" si="72">H86</f>
        <v>0</v>
      </c>
      <c r="I87" s="316">
        <f t="shared" si="72"/>
        <v>0</v>
      </c>
      <c r="J87" s="316">
        <f t="shared" si="72"/>
        <v>0</v>
      </c>
      <c r="K87" s="239" t="str">
        <f t="shared" si="70"/>
        <v/>
      </c>
      <c r="L87" s="318"/>
      <c r="M87" s="318"/>
      <c r="N87" s="195"/>
    </row>
    <row r="88" spans="2:20" ht="15" customHeight="1">
      <c r="B88" s="239">
        <f t="shared" si="66"/>
        <v>4</v>
      </c>
      <c r="C88" s="315"/>
      <c r="D88" s="239" t="str">
        <f t="shared" si="69"/>
        <v/>
      </c>
      <c r="E88" s="239" t="str">
        <f t="shared" si="67"/>
        <v/>
      </c>
      <c r="F88" s="239" t="e">
        <f t="shared" si="68"/>
        <v>#DIV/0!</v>
      </c>
      <c r="G88" s="316">
        <f t="shared" si="71"/>
        <v>0</v>
      </c>
      <c r="H88" s="316">
        <f t="shared" si="72"/>
        <v>0</v>
      </c>
      <c r="I88" s="316">
        <f t="shared" si="72"/>
        <v>0</v>
      </c>
      <c r="J88" s="316">
        <f t="shared" si="72"/>
        <v>0</v>
      </c>
      <c r="K88" s="239" t="str">
        <f t="shared" si="70"/>
        <v/>
      </c>
      <c r="L88" s="318"/>
      <c r="M88" s="318"/>
      <c r="N88" s="195"/>
    </row>
    <row r="89" spans="2:20" ht="15" customHeight="1">
      <c r="B89" s="239">
        <f t="shared" si="66"/>
        <v>5</v>
      </c>
      <c r="C89" s="315"/>
      <c r="D89" s="239" t="str">
        <f t="shared" si="69"/>
        <v/>
      </c>
      <c r="E89" s="239" t="str">
        <f t="shared" si="67"/>
        <v/>
      </c>
      <c r="F89" s="239" t="e">
        <f t="shared" si="68"/>
        <v>#DIV/0!</v>
      </c>
      <c r="G89" s="316">
        <f t="shared" si="71"/>
        <v>0</v>
      </c>
      <c r="H89" s="316">
        <f t="shared" si="72"/>
        <v>0</v>
      </c>
      <c r="I89" s="316">
        <f t="shared" si="72"/>
        <v>0</v>
      </c>
      <c r="J89" s="316">
        <f t="shared" si="72"/>
        <v>0</v>
      </c>
      <c r="K89" s="239" t="str">
        <f t="shared" si="70"/>
        <v/>
      </c>
      <c r="L89" s="318"/>
      <c r="M89" s="318"/>
      <c r="N89" s="195"/>
    </row>
    <row r="90" spans="2:20" ht="15" customHeight="1">
      <c r="B90" s="239">
        <f t="shared" si="66"/>
        <v>6</v>
      </c>
      <c r="C90" s="315"/>
      <c r="D90" s="239" t="str">
        <f t="shared" si="69"/>
        <v/>
      </c>
      <c r="E90" s="239" t="str">
        <f t="shared" si="67"/>
        <v/>
      </c>
      <c r="F90" s="239" t="e">
        <f t="shared" si="68"/>
        <v>#DIV/0!</v>
      </c>
      <c r="G90" s="316">
        <f t="shared" si="71"/>
        <v>0</v>
      </c>
      <c r="H90" s="316">
        <f t="shared" si="72"/>
        <v>0</v>
      </c>
      <c r="I90" s="316">
        <f t="shared" si="72"/>
        <v>0</v>
      </c>
      <c r="J90" s="316">
        <f t="shared" si="72"/>
        <v>0</v>
      </c>
      <c r="K90" s="239" t="str">
        <f t="shared" si="70"/>
        <v/>
      </c>
      <c r="L90" s="318"/>
      <c r="M90" s="180"/>
      <c r="N90" s="180"/>
      <c r="O90" s="180"/>
      <c r="P90" s="180"/>
      <c r="Q90" s="180"/>
      <c r="R90" s="180"/>
      <c r="S90" s="180"/>
      <c r="T90" s="180"/>
    </row>
    <row r="91" spans="2:20" ht="15" customHeight="1">
      <c r="B91" s="239">
        <f t="shared" si="66"/>
        <v>7</v>
      </c>
      <c r="C91" s="315"/>
      <c r="D91" s="239" t="str">
        <f t="shared" si="69"/>
        <v/>
      </c>
      <c r="E91" s="239" t="str">
        <f t="shared" si="67"/>
        <v/>
      </c>
      <c r="F91" s="239" t="e">
        <f t="shared" si="68"/>
        <v>#DIV/0!</v>
      </c>
      <c r="G91" s="316">
        <f t="shared" si="71"/>
        <v>0</v>
      </c>
      <c r="H91" s="316">
        <f t="shared" si="72"/>
        <v>0</v>
      </c>
      <c r="I91" s="316">
        <f t="shared" si="72"/>
        <v>0</v>
      </c>
      <c r="J91" s="316">
        <f t="shared" si="72"/>
        <v>0</v>
      </c>
      <c r="K91" s="239" t="str">
        <f t="shared" si="70"/>
        <v/>
      </c>
      <c r="L91" s="318"/>
      <c r="M91" s="180"/>
      <c r="N91" s="180"/>
      <c r="O91" s="180"/>
      <c r="P91" s="180"/>
      <c r="Q91" s="180"/>
      <c r="R91" s="180"/>
      <c r="S91" s="180"/>
      <c r="T91" s="180"/>
    </row>
    <row r="92" spans="2:20" ht="15" customHeight="1">
      <c r="B92" s="239">
        <f t="shared" si="66"/>
        <v>8</v>
      </c>
      <c r="C92" s="315"/>
      <c r="D92" s="239" t="str">
        <f t="shared" si="69"/>
        <v/>
      </c>
      <c r="E92" s="239" t="str">
        <f t="shared" si="67"/>
        <v/>
      </c>
      <c r="F92" s="239" t="e">
        <f t="shared" si="68"/>
        <v>#DIV/0!</v>
      </c>
      <c r="G92" s="316">
        <f t="shared" si="71"/>
        <v>0</v>
      </c>
      <c r="H92" s="316">
        <f t="shared" si="72"/>
        <v>0</v>
      </c>
      <c r="I92" s="316">
        <f t="shared" si="72"/>
        <v>0</v>
      </c>
      <c r="J92" s="316">
        <f t="shared" si="72"/>
        <v>0</v>
      </c>
      <c r="K92" s="239" t="str">
        <f t="shared" si="70"/>
        <v/>
      </c>
      <c r="L92" s="318"/>
      <c r="M92" s="318"/>
      <c r="N92" s="195"/>
    </row>
    <row r="93" spans="2:20" ht="15" customHeight="1">
      <c r="B93" s="239">
        <f t="shared" si="66"/>
        <v>9</v>
      </c>
      <c r="C93" s="315"/>
      <c r="D93" s="239" t="str">
        <f t="shared" si="69"/>
        <v/>
      </c>
      <c r="E93" s="239" t="str">
        <f t="shared" si="67"/>
        <v/>
      </c>
      <c r="F93" s="239" t="e">
        <f t="shared" si="68"/>
        <v>#DIV/0!</v>
      </c>
      <c r="G93" s="316">
        <f t="shared" si="71"/>
        <v>0</v>
      </c>
      <c r="H93" s="316">
        <f t="shared" si="72"/>
        <v>0</v>
      </c>
      <c r="I93" s="316">
        <f t="shared" si="72"/>
        <v>0</v>
      </c>
      <c r="J93" s="316">
        <f t="shared" si="72"/>
        <v>0</v>
      </c>
      <c r="K93" s="239" t="str">
        <f t="shared" si="70"/>
        <v/>
      </c>
      <c r="L93" s="318"/>
      <c r="M93" s="318"/>
      <c r="N93" s="195"/>
    </row>
    <row r="94" spans="2:20" ht="15" customHeight="1">
      <c r="B94" s="239">
        <f t="shared" si="66"/>
        <v>10</v>
      </c>
      <c r="C94" s="315"/>
      <c r="D94" s="239" t="str">
        <f t="shared" si="69"/>
        <v/>
      </c>
      <c r="E94" s="239" t="str">
        <f t="shared" si="67"/>
        <v/>
      </c>
      <c r="F94" s="239" t="e">
        <f t="shared" si="68"/>
        <v>#DIV/0!</v>
      </c>
      <c r="G94" s="316">
        <f t="shared" si="71"/>
        <v>0</v>
      </c>
      <c r="H94" s="316">
        <f t="shared" si="72"/>
        <v>0</v>
      </c>
      <c r="I94" s="316">
        <f t="shared" si="72"/>
        <v>0</v>
      </c>
      <c r="J94" s="316">
        <f t="shared" si="72"/>
        <v>0</v>
      </c>
      <c r="K94" s="239" t="str">
        <f t="shared" si="70"/>
        <v/>
      </c>
      <c r="L94" s="318"/>
      <c r="M94" s="318"/>
      <c r="N94" s="195"/>
    </row>
    <row r="95" spans="2:20" ht="15" customHeight="1">
      <c r="B95" s="239">
        <f t="shared" si="66"/>
        <v>11</v>
      </c>
      <c r="C95" s="315"/>
      <c r="D95" s="239" t="str">
        <f t="shared" si="69"/>
        <v/>
      </c>
      <c r="E95" s="239" t="str">
        <f t="shared" si="67"/>
        <v/>
      </c>
      <c r="F95" s="239" t="e">
        <f t="shared" si="68"/>
        <v>#DIV/0!</v>
      </c>
      <c r="G95" s="316">
        <f t="shared" si="71"/>
        <v>0</v>
      </c>
      <c r="H95" s="316">
        <f t="shared" si="72"/>
        <v>0</v>
      </c>
      <c r="I95" s="316">
        <f t="shared" si="72"/>
        <v>0</v>
      </c>
      <c r="J95" s="316">
        <f t="shared" si="72"/>
        <v>0</v>
      </c>
      <c r="K95" s="239" t="str">
        <f t="shared" si="70"/>
        <v/>
      </c>
      <c r="L95" s="195"/>
      <c r="M95" s="195"/>
      <c r="N95" s="195"/>
    </row>
    <row r="96" spans="2:20" ht="15" customHeight="1">
      <c r="B96" s="239">
        <f t="shared" si="66"/>
        <v>12</v>
      </c>
      <c r="C96" s="315"/>
      <c r="D96" s="239" t="str">
        <f t="shared" si="69"/>
        <v/>
      </c>
      <c r="E96" s="239" t="str">
        <f t="shared" si="67"/>
        <v/>
      </c>
      <c r="F96" s="239" t="e">
        <f t="shared" si="68"/>
        <v>#DIV/0!</v>
      </c>
      <c r="G96" s="316">
        <f t="shared" si="71"/>
        <v>0</v>
      </c>
      <c r="H96" s="316">
        <f t="shared" si="72"/>
        <v>0</v>
      </c>
      <c r="I96" s="316">
        <f t="shared" si="72"/>
        <v>0</v>
      </c>
      <c r="J96" s="316">
        <f t="shared" si="72"/>
        <v>0</v>
      </c>
      <c r="K96" s="239" t="str">
        <f t="shared" si="70"/>
        <v/>
      </c>
      <c r="L96" s="195"/>
      <c r="M96" s="195"/>
      <c r="N96" s="195"/>
    </row>
    <row r="97" spans="1:24" ht="15" customHeight="1">
      <c r="B97" s="239">
        <f t="shared" si="66"/>
        <v>13</v>
      </c>
      <c r="C97" s="315"/>
      <c r="D97" s="239" t="str">
        <f t="shared" si="69"/>
        <v/>
      </c>
      <c r="E97" s="239" t="str">
        <f t="shared" si="67"/>
        <v/>
      </c>
      <c r="F97" s="239" t="e">
        <f t="shared" si="68"/>
        <v>#DIV/0!</v>
      </c>
      <c r="G97" s="316">
        <f t="shared" si="71"/>
        <v>0</v>
      </c>
      <c r="H97" s="316">
        <f t="shared" si="72"/>
        <v>0</v>
      </c>
      <c r="I97" s="316">
        <f t="shared" si="72"/>
        <v>0</v>
      </c>
      <c r="J97" s="316">
        <f t="shared" si="72"/>
        <v>0</v>
      </c>
      <c r="K97" s="239" t="str">
        <f t="shared" si="70"/>
        <v/>
      </c>
      <c r="L97" s="195"/>
      <c r="M97" s="195"/>
      <c r="N97" s="195"/>
    </row>
    <row r="98" spans="1:24" ht="15" customHeight="1">
      <c r="B98" s="239">
        <f t="shared" si="66"/>
        <v>14</v>
      </c>
      <c r="C98" s="315"/>
      <c r="D98" s="239" t="str">
        <f t="shared" si="69"/>
        <v/>
      </c>
      <c r="E98" s="239" t="str">
        <f t="shared" si="67"/>
        <v/>
      </c>
      <c r="F98" s="239" t="e">
        <f t="shared" si="68"/>
        <v>#DIV/0!</v>
      </c>
      <c r="G98" s="316">
        <f t="shared" si="71"/>
        <v>0</v>
      </c>
      <c r="H98" s="316">
        <f t="shared" si="72"/>
        <v>0</v>
      </c>
      <c r="I98" s="316">
        <f t="shared" si="72"/>
        <v>0</v>
      </c>
      <c r="J98" s="316">
        <f t="shared" si="72"/>
        <v>0</v>
      </c>
      <c r="K98" s="239" t="str">
        <f t="shared" si="70"/>
        <v/>
      </c>
      <c r="L98" s="195"/>
      <c r="M98" s="195"/>
      <c r="N98" s="195"/>
    </row>
    <row r="99" spans="1:24" ht="15" customHeight="1">
      <c r="B99" s="239">
        <f t="shared" si="66"/>
        <v>15</v>
      </c>
      <c r="C99" s="315"/>
      <c r="D99" s="239" t="str">
        <f t="shared" si="69"/>
        <v/>
      </c>
      <c r="E99" s="239" t="str">
        <f t="shared" si="67"/>
        <v/>
      </c>
      <c r="F99" s="239" t="e">
        <f t="shared" si="68"/>
        <v>#DIV/0!</v>
      </c>
      <c r="G99" s="316">
        <f t="shared" si="71"/>
        <v>0</v>
      </c>
      <c r="H99" s="316">
        <f t="shared" si="72"/>
        <v>0</v>
      </c>
      <c r="I99" s="316">
        <f t="shared" si="72"/>
        <v>0</v>
      </c>
      <c r="J99" s="316">
        <f t="shared" si="72"/>
        <v>0</v>
      </c>
      <c r="K99" s="239" t="str">
        <f t="shared" si="70"/>
        <v/>
      </c>
      <c r="L99" s="195"/>
      <c r="M99" s="195"/>
      <c r="N99" s="195"/>
    </row>
    <row r="100" spans="1:24" ht="15" customHeight="1">
      <c r="B100" s="180"/>
      <c r="C100" s="180"/>
      <c r="D100" s="180"/>
      <c r="E100" s="180"/>
      <c r="H100" s="195"/>
      <c r="I100" s="195"/>
      <c r="J100" s="195"/>
      <c r="K100" s="195"/>
      <c r="L100" s="195"/>
      <c r="M100" s="195"/>
      <c r="N100" s="195"/>
    </row>
    <row r="101" spans="1:24" ht="15" customHeight="1">
      <c r="B101" s="180"/>
      <c r="C101" s="180"/>
      <c r="D101" s="180"/>
      <c r="E101" s="180"/>
      <c r="H101" s="195"/>
      <c r="I101" s="195"/>
      <c r="J101" s="195"/>
      <c r="K101" s="195"/>
      <c r="L101" s="195"/>
      <c r="M101" s="195"/>
      <c r="N101" s="195"/>
    </row>
    <row r="102" spans="1:24" ht="15" customHeight="1">
      <c r="B102" s="257" t="s">
        <v>563</v>
      </c>
      <c r="C102" s="257" t="s">
        <v>564</v>
      </c>
      <c r="D102" s="257" t="s">
        <v>565</v>
      </c>
      <c r="E102" s="257" t="s">
        <v>376</v>
      </c>
      <c r="F102" s="257" t="s">
        <v>566</v>
      </c>
      <c r="G102" s="257" t="s">
        <v>377</v>
      </c>
      <c r="I102" s="257" t="s">
        <v>379</v>
      </c>
      <c r="J102" s="257" t="s">
        <v>375</v>
      </c>
      <c r="K102" s="257" t="s">
        <v>565</v>
      </c>
      <c r="L102" s="257" t="s">
        <v>376</v>
      </c>
      <c r="M102" s="257" t="s">
        <v>566</v>
      </c>
      <c r="N102" s="257" t="s">
        <v>567</v>
      </c>
    </row>
    <row r="103" spans="1:24" ht="15" customHeight="1">
      <c r="B103" s="228" t="s">
        <v>675</v>
      </c>
      <c r="C103" s="230" t="str">
        <f>IF(F$8="mA","압력 전송기","압력 변환기")</f>
        <v>압력 변환기</v>
      </c>
      <c r="D103" s="230" t="str">
        <f>IF(F8="mA","Pressure Transmitter","Pressure Transducer")</f>
        <v>Pressure Transducer</v>
      </c>
      <c r="E103" s="230" t="s">
        <v>309</v>
      </c>
      <c r="F103" s="230" t="s">
        <v>568</v>
      </c>
      <c r="G103" s="230"/>
      <c r="I103" s="228">
        <f>기본정보!C9</f>
        <v>0</v>
      </c>
      <c r="J103" s="228" t="e">
        <f>VLOOKUP($I103,$B103:$G108,2,FALSE)</f>
        <v>#N/A</v>
      </c>
      <c r="K103" s="228" t="e">
        <f>VLOOKUP($I103,$B103:$G108,3,FALSE)</f>
        <v>#N/A</v>
      </c>
      <c r="L103" s="228" t="e">
        <f>VLOOKUP($I103,$B103:$G108,4,FALSE)</f>
        <v>#N/A</v>
      </c>
      <c r="M103" s="228" t="e">
        <f>VLOOKUP($I103,$B103:$G108,5,FALSE)</f>
        <v>#N/A</v>
      </c>
      <c r="N103" s="228" t="e">
        <f>VLOOKUP($I103,$B103:$G108,6,FALSE)</f>
        <v>#N/A</v>
      </c>
    </row>
    <row r="104" spans="1:24" ht="15" customHeight="1">
      <c r="B104" s="394" t="s">
        <v>699</v>
      </c>
      <c r="C104" s="230" t="str">
        <f>IF(F$8="mA","압력 전송기","압력 변환기")</f>
        <v>압력 변환기</v>
      </c>
      <c r="D104" s="395" t="str">
        <f>IF(F9="mA","Pressure Transmitter","Pressure Transducer")</f>
        <v>Pressure Transducer</v>
      </c>
      <c r="E104" s="395" t="s">
        <v>700</v>
      </c>
      <c r="F104" s="395" t="s">
        <v>700</v>
      </c>
      <c r="G104" s="395" t="s">
        <v>701</v>
      </c>
    </row>
    <row r="105" spans="1:24" ht="15" customHeight="1">
      <c r="B105" s="394" t="s">
        <v>756</v>
      </c>
      <c r="C105" s="395" t="str">
        <f>IF(F$8="mA","압력 전송기","압력 변환기")</f>
        <v>압력 변환기</v>
      </c>
      <c r="D105" s="395" t="str">
        <f>IF(F10="mA","Pressure Transmitter","Pressure Transducer")</f>
        <v>Pressure Transducer</v>
      </c>
      <c r="E105" s="395" t="s">
        <v>309</v>
      </c>
      <c r="F105" s="395" t="s">
        <v>568</v>
      </c>
      <c r="G105" s="395" t="s">
        <v>757</v>
      </c>
    </row>
    <row r="106" spans="1:24" ht="15" customHeight="1">
      <c r="B106" s="228"/>
      <c r="C106" s="230"/>
      <c r="D106" s="230"/>
      <c r="E106" s="230"/>
      <c r="F106" s="230"/>
      <c r="G106" s="230"/>
    </row>
    <row r="107" spans="1:24" ht="15" customHeight="1">
      <c r="B107" s="228"/>
      <c r="C107" s="230"/>
      <c r="D107" s="230"/>
      <c r="E107" s="230"/>
      <c r="F107" s="230"/>
      <c r="G107" s="230"/>
    </row>
    <row r="108" spans="1:24" ht="15" customHeight="1">
      <c r="B108" s="228"/>
      <c r="C108" s="230"/>
      <c r="D108" s="230"/>
      <c r="E108" s="230"/>
      <c r="F108" s="230"/>
      <c r="G108" s="230"/>
    </row>
    <row r="110" spans="1:24" ht="15" customHeight="1">
      <c r="A110" s="226" t="s">
        <v>378</v>
      </c>
    </row>
    <row r="111" spans="1:24" ht="15" customHeight="1">
      <c r="B111" s="228" t="s">
        <v>379</v>
      </c>
      <c r="C111" s="261" t="s">
        <v>569</v>
      </c>
      <c r="D111" s="262"/>
      <c r="E111" s="263"/>
      <c r="F111" s="261" t="s">
        <v>570</v>
      </c>
      <c r="G111" s="263"/>
      <c r="H111" s="228" t="s">
        <v>380</v>
      </c>
      <c r="I111" s="228" t="s">
        <v>571</v>
      </c>
      <c r="J111" s="228" t="s">
        <v>381</v>
      </c>
      <c r="L111" s="228" t="s">
        <v>572</v>
      </c>
      <c r="M111" s="228" t="s">
        <v>573</v>
      </c>
      <c r="N111" s="228" t="s">
        <v>574</v>
      </c>
      <c r="O111" s="228" t="s">
        <v>575</v>
      </c>
      <c r="P111" s="228" t="s">
        <v>571</v>
      </c>
      <c r="Q111" s="228" t="s">
        <v>643</v>
      </c>
      <c r="R111" s="228" t="s">
        <v>576</v>
      </c>
      <c r="S111" s="228" t="s">
        <v>577</v>
      </c>
      <c r="U111" s="193"/>
      <c r="V111" s="193"/>
      <c r="W111" s="193"/>
      <c r="X111" s="193"/>
    </row>
    <row r="112" spans="1:24" ht="15" customHeight="1">
      <c r="B112" s="255" t="s">
        <v>676</v>
      </c>
      <c r="C112" s="255" t="s">
        <v>578</v>
      </c>
      <c r="D112" s="255" t="s">
        <v>579</v>
      </c>
      <c r="E112" s="255">
        <v>0.01</v>
      </c>
      <c r="F112" s="255" t="s">
        <v>383</v>
      </c>
      <c r="G112" s="255">
        <v>100</v>
      </c>
      <c r="H112" s="255"/>
      <c r="I112" s="234">
        <v>105500</v>
      </c>
      <c r="J112" s="945" t="s">
        <v>580</v>
      </c>
      <c r="L112" s="228" t="s">
        <v>581</v>
      </c>
      <c r="M112" s="231">
        <f>COUNT(F9:H38)</f>
        <v>0</v>
      </c>
      <c r="N112" s="228" t="b">
        <f>NOT(M112=0)</f>
        <v>0</v>
      </c>
      <c r="O112" s="228">
        <f>IF((M112-16)&lt;0,0,M112-16)</f>
        <v>0</v>
      </c>
      <c r="P112" s="229" t="e">
        <f ca="1">IF(L118="20412-2",I115,OFFSET(I$111,L118+P118+T118,0))</f>
        <v>#N/A</v>
      </c>
      <c r="Q112" s="229" t="e">
        <f ca="1">P112*6.25%*O112</f>
        <v>#N/A</v>
      </c>
      <c r="R112" s="229">
        <f>IF(N112=TRUE,P112+Q112,0)</f>
        <v>0</v>
      </c>
      <c r="S112" s="951">
        <f>SUM(R112:R115)</f>
        <v>0</v>
      </c>
      <c r="U112" s="193"/>
      <c r="V112" s="193"/>
      <c r="W112" s="193"/>
      <c r="X112" s="193"/>
    </row>
    <row r="113" spans="2:24" ht="15" customHeight="1">
      <c r="B113" s="255"/>
      <c r="C113" s="255" t="s">
        <v>382</v>
      </c>
      <c r="D113" s="255" t="s">
        <v>383</v>
      </c>
      <c r="E113" s="255">
        <v>0.01</v>
      </c>
      <c r="F113" s="255" t="s">
        <v>383</v>
      </c>
      <c r="G113" s="255">
        <v>100</v>
      </c>
      <c r="H113" s="255"/>
      <c r="I113" s="234">
        <v>97500</v>
      </c>
      <c r="J113" s="946"/>
      <c r="L113" s="228" t="s">
        <v>582</v>
      </c>
      <c r="M113" s="231">
        <f>COUNT(#REF!)</f>
        <v>0</v>
      </c>
      <c r="N113" s="228" t="b">
        <f>NOT(M113=0)</f>
        <v>0</v>
      </c>
      <c r="O113" s="228">
        <f>IF((M113-16)&lt;0,0,M113-16)</f>
        <v>0</v>
      </c>
      <c r="P113" s="229" t="e">
        <f ca="1">IF(L119="20412-2",I115,OFFSET(I$111,L119+P119+T119,0))</f>
        <v>#N/A</v>
      </c>
      <c r="Q113" s="229" t="e">
        <f ca="1">P113*6.25%*O113</f>
        <v>#N/A</v>
      </c>
      <c r="R113" s="229">
        <f>IF(N113=TRUE,P113+Q113,0)</f>
        <v>0</v>
      </c>
      <c r="S113" s="952"/>
      <c r="U113" s="193"/>
      <c r="V113" s="193"/>
      <c r="W113" s="193"/>
      <c r="X113" s="193"/>
    </row>
    <row r="114" spans="2:24" ht="15" customHeight="1">
      <c r="B114" s="255"/>
      <c r="C114" s="255" t="s">
        <v>583</v>
      </c>
      <c r="D114" s="255" t="s">
        <v>383</v>
      </c>
      <c r="E114" s="255">
        <v>0.01</v>
      </c>
      <c r="F114" s="255" t="s">
        <v>384</v>
      </c>
      <c r="G114" s="255">
        <v>100</v>
      </c>
      <c r="H114" s="255"/>
      <c r="I114" s="234">
        <v>122100</v>
      </c>
      <c r="J114" s="946"/>
      <c r="L114" s="228" t="s">
        <v>584</v>
      </c>
      <c r="M114" s="231">
        <f>COUNT(#REF!)</f>
        <v>0</v>
      </c>
      <c r="N114" s="228" t="b">
        <f>NOT(M114=0)</f>
        <v>0</v>
      </c>
      <c r="O114" s="228">
        <f>IF((M114-16)&lt;0,0,M114-16)</f>
        <v>0</v>
      </c>
      <c r="P114" s="229" t="e">
        <f ca="1">IF(L120="20412-2",I115,OFFSET(I$111,L120+P120+T120,0))</f>
        <v>#N/A</v>
      </c>
      <c r="Q114" s="229" t="e">
        <f ca="1">P114*6.25%*O114</f>
        <v>#N/A</v>
      </c>
      <c r="R114" s="229">
        <f>IF(N114=TRUE,P114+Q114,0)</f>
        <v>0</v>
      </c>
      <c r="S114" s="952"/>
      <c r="U114" s="193"/>
      <c r="V114" s="193"/>
      <c r="W114" s="193"/>
      <c r="X114" s="193"/>
    </row>
    <row r="115" spans="2:24" ht="15" customHeight="1">
      <c r="B115" s="393" t="s">
        <v>702</v>
      </c>
      <c r="C115" s="393" t="s">
        <v>703</v>
      </c>
      <c r="D115" s="393"/>
      <c r="E115" s="393"/>
      <c r="F115" s="393"/>
      <c r="G115" s="393"/>
      <c r="H115" s="393"/>
      <c r="I115" s="234">
        <v>151400</v>
      </c>
      <c r="J115" s="946"/>
      <c r="L115" s="228" t="s">
        <v>585</v>
      </c>
      <c r="M115" s="231">
        <f>COUNT(#REF!)</f>
        <v>0</v>
      </c>
      <c r="N115" s="228" t="b">
        <f>NOT(M115=0)</f>
        <v>0</v>
      </c>
      <c r="O115" s="228">
        <f>IF((M115-16)&lt;0,0,M115-16)</f>
        <v>0</v>
      </c>
      <c r="P115" s="229" t="e">
        <f ca="1">IF(L121="20412-2",I115,OFFSET(I$111,L121+P121+T121,0))</f>
        <v>#N/A</v>
      </c>
      <c r="Q115" s="229" t="e">
        <f ca="1">P115*6.25%*O115</f>
        <v>#N/A</v>
      </c>
      <c r="R115" s="229">
        <f>IF(N115=TRUE,P115+Q115,0)</f>
        <v>0</v>
      </c>
      <c r="S115" s="953"/>
      <c r="U115" s="193"/>
      <c r="V115" s="193"/>
      <c r="W115" s="193"/>
      <c r="X115" s="193"/>
    </row>
    <row r="116" spans="2:24" ht="15" customHeight="1">
      <c r="B116" s="393"/>
      <c r="C116" s="393"/>
      <c r="D116" s="393"/>
      <c r="E116" s="393"/>
      <c r="F116" s="393"/>
      <c r="G116" s="393"/>
      <c r="H116" s="393"/>
      <c r="I116" s="234"/>
      <c r="J116" s="946"/>
      <c r="L116" s="180"/>
      <c r="U116" s="193"/>
      <c r="V116" s="193"/>
      <c r="W116" s="193"/>
      <c r="X116" s="193"/>
    </row>
    <row r="117" spans="2:24" ht="15" customHeight="1">
      <c r="B117" s="393"/>
      <c r="C117" s="393"/>
      <c r="D117" s="393"/>
      <c r="E117" s="393"/>
      <c r="F117" s="393"/>
      <c r="G117" s="393"/>
      <c r="H117" s="393"/>
      <c r="I117" s="234"/>
      <c r="J117" s="946"/>
      <c r="L117" s="228" t="s">
        <v>586</v>
      </c>
      <c r="M117" s="960" t="s">
        <v>587</v>
      </c>
      <c r="N117" s="961"/>
      <c r="O117" s="961"/>
      <c r="P117" s="962"/>
      <c r="Q117" s="960" t="s">
        <v>587</v>
      </c>
      <c r="R117" s="961"/>
      <c r="S117" s="961"/>
      <c r="T117" s="962"/>
    </row>
    <row r="118" spans="2:24" ht="15" customHeight="1">
      <c r="B118" s="235"/>
      <c r="C118" s="235"/>
      <c r="D118" s="235"/>
      <c r="E118" s="235"/>
      <c r="F118" s="235"/>
      <c r="G118" s="235"/>
      <c r="H118" s="235"/>
      <c r="I118" s="236"/>
      <c r="J118" s="946"/>
      <c r="L118" s="228" t="e">
        <f>MATCH(I103,B$112:B$131,0)</f>
        <v>#N/A</v>
      </c>
      <c r="M118" s="228" t="e">
        <f ca="1">MAX(D9:D38,ABS(MIN(D9:D38)))*OFFSET(AF6,MATCH(D8,AF7:AF31,0),MATCH("MPa",AG6:AN6,0))</f>
        <v>#N/A</v>
      </c>
      <c r="N118" s="228" t="e">
        <f t="shared" ref="N118:N121" ca="1" si="73">OFFSET(D$111,L118,0)</f>
        <v>#N/A</v>
      </c>
      <c r="O118" s="228" t="e">
        <f t="shared" ref="O118:O121" ca="1" si="74">OFFSET(E$111,L118,0)</f>
        <v>#N/A</v>
      </c>
      <c r="P118" s="228" t="e">
        <f ca="1">IF(IF(N118="&lt;",M118&gt;=O118,IF(N118="&gt;=",M118&lt;O118,IF(N118="&gt;",M118&lt;=O118,IF(N118="&lt;=",M118&gt;O118,FALSE))))=TRUE,1,0)</f>
        <v>#N/A</v>
      </c>
      <c r="Q118" s="228" t="e">
        <f ca="1">M118</f>
        <v>#N/A</v>
      </c>
      <c r="R118" s="228" t="e">
        <f ca="1">OFFSET(F$111,L118,0)</f>
        <v>#N/A</v>
      </c>
      <c r="S118" s="228" t="e">
        <f ca="1">OFFSET(G$111,L118,0)</f>
        <v>#N/A</v>
      </c>
      <c r="T118" s="228" t="e">
        <f ca="1">IF(IF(R118="&lt;",Q118&gt;=S118,IF(R118="&gt;=",Q118&lt;S118,IF(R118="&gt;",Q118&lt;=S118,IF(R118="&lt;=",Q118&gt;S118,FALSE))))=TRUE,1,0)</f>
        <v>#N/A</v>
      </c>
    </row>
    <row r="119" spans="2:24" ht="15" customHeight="1">
      <c r="B119" s="235"/>
      <c r="C119" s="235"/>
      <c r="D119" s="235"/>
      <c r="E119" s="235"/>
      <c r="F119" s="235"/>
      <c r="G119" s="235"/>
      <c r="H119" s="235"/>
      <c r="I119" s="236"/>
      <c r="J119" s="946"/>
      <c r="L119" s="228" t="e">
        <f>L118</f>
        <v>#N/A</v>
      </c>
      <c r="M119" s="228" t="e">
        <f ca="1">MAX(#REF!,ABS(MIN(#REF!)))*OFFSET(AF6,MATCH(#REF!,AF7:AF31,0),MATCH("MPa",AG6:AN6,0))</f>
        <v>#REF!</v>
      </c>
      <c r="N119" s="228" t="e">
        <f ca="1">OFFSET(D$111,L119,0)</f>
        <v>#N/A</v>
      </c>
      <c r="O119" s="228" t="e">
        <f t="shared" ca="1" si="74"/>
        <v>#N/A</v>
      </c>
      <c r="P119" s="228" t="e">
        <f t="shared" ref="P119:P121" ca="1" si="75">IF(IF(N119="&lt;",M119&gt;=O119,IF(N119="&gt;=",M119&lt;O119,IF(N119="&gt;",M119&lt;=O119,IF(N119="&lt;=",M119&gt;O119,FALSE))))=TRUE,1,0)</f>
        <v>#N/A</v>
      </c>
      <c r="Q119" s="228" t="e">
        <f t="shared" ref="Q119:Q121" ca="1" si="76">M119</f>
        <v>#REF!</v>
      </c>
      <c r="R119" s="228" t="e">
        <f ca="1">OFFSET(F$111,L119,0)</f>
        <v>#N/A</v>
      </c>
      <c r="S119" s="228" t="e">
        <f t="shared" ref="S119:S121" ca="1" si="77">OFFSET(G$111,L119,0)</f>
        <v>#N/A</v>
      </c>
      <c r="T119" s="228" t="e">
        <f ca="1">IF(IF(R119="&lt;",Q119&gt;=S119,IF(R119="&gt;=",Q119&lt;S119,IF(R119="&gt;",Q119&lt;=S119,IF(R119="&lt;=",Q119&gt;S119,FALSE))))=TRUE,1,0)</f>
        <v>#N/A</v>
      </c>
    </row>
    <row r="120" spans="2:24" ht="15" customHeight="1">
      <c r="B120" s="235"/>
      <c r="C120" s="235"/>
      <c r="D120" s="235"/>
      <c r="E120" s="235"/>
      <c r="F120" s="235"/>
      <c r="G120" s="235"/>
      <c r="H120" s="235"/>
      <c r="I120" s="236"/>
      <c r="J120" s="946"/>
      <c r="L120" s="228" t="e">
        <f>L119</f>
        <v>#N/A</v>
      </c>
      <c r="M120" s="228" t="e">
        <f ca="1">MAX(#REF!,ABS(MIN(#REF!)))*OFFSET(AF6,MATCH(#REF!,AF7:AF31,0),MATCH("MPa",AG6:AN6,0))</f>
        <v>#REF!</v>
      </c>
      <c r="N120" s="228" t="e">
        <f ca="1">OFFSET(D$111,L120,0)</f>
        <v>#N/A</v>
      </c>
      <c r="O120" s="228" t="e">
        <f t="shared" ca="1" si="74"/>
        <v>#N/A</v>
      </c>
      <c r="P120" s="228" t="e">
        <f t="shared" ca="1" si="75"/>
        <v>#N/A</v>
      </c>
      <c r="Q120" s="228" t="e">
        <f t="shared" ca="1" si="76"/>
        <v>#REF!</v>
      </c>
      <c r="R120" s="228" t="e">
        <f ca="1">OFFSET(F$111,L120,0)</f>
        <v>#N/A</v>
      </c>
      <c r="S120" s="228" t="e">
        <f t="shared" ca="1" si="77"/>
        <v>#N/A</v>
      </c>
      <c r="T120" s="228" t="e">
        <f ca="1">IF(IF(R120="&lt;",Q120&gt;=S120,IF(R120="&gt;=",Q120&lt;S120,IF(R120="&gt;",Q120&lt;=S120,IF(R120="&lt;=",Q120&gt;S120,FALSE))))=TRUE,1,0)</f>
        <v>#N/A</v>
      </c>
    </row>
    <row r="121" spans="2:24" ht="15" customHeight="1">
      <c r="B121" s="235"/>
      <c r="C121" s="235"/>
      <c r="D121" s="235"/>
      <c r="E121" s="235"/>
      <c r="F121" s="235"/>
      <c r="G121" s="235"/>
      <c r="H121" s="235"/>
      <c r="I121" s="236"/>
      <c r="J121" s="946"/>
      <c r="L121" s="228" t="e">
        <f>L120</f>
        <v>#N/A</v>
      </c>
      <c r="M121" s="228" t="e">
        <f ca="1">MAX(#REF!,ABS(MIN(#REF!)))*OFFSET(AF6,MATCH(#REF!,AF7:AF31,0),MATCH("MPa",AG6:AN6,0))</f>
        <v>#REF!</v>
      </c>
      <c r="N121" s="228" t="e">
        <f t="shared" ca="1" si="73"/>
        <v>#N/A</v>
      </c>
      <c r="O121" s="228" t="e">
        <f t="shared" ca="1" si="74"/>
        <v>#N/A</v>
      </c>
      <c r="P121" s="228" t="e">
        <f t="shared" ca="1" si="75"/>
        <v>#N/A</v>
      </c>
      <c r="Q121" s="228" t="e">
        <f t="shared" ca="1" si="76"/>
        <v>#REF!</v>
      </c>
      <c r="R121" s="228" t="e">
        <f ca="1">OFFSET(F$111,L121,0)</f>
        <v>#N/A</v>
      </c>
      <c r="S121" s="228" t="e">
        <f t="shared" ca="1" si="77"/>
        <v>#N/A</v>
      </c>
      <c r="T121" s="228" t="e">
        <f ca="1">IF(IF(R121="&lt;",Q121&gt;=S121,IF(R121="&gt;=",Q121&lt;S121,IF(R121="&gt;",Q121&lt;=S121,IF(R121="&lt;=",Q121&gt;S121,FALSE))))=TRUE,1,0)</f>
        <v>#N/A</v>
      </c>
    </row>
    <row r="122" spans="2:24" ht="15" customHeight="1">
      <c r="B122" s="255"/>
      <c r="C122" s="255"/>
      <c r="D122" s="255"/>
      <c r="E122" s="255"/>
      <c r="F122" s="255"/>
      <c r="G122" s="255"/>
      <c r="H122" s="255"/>
      <c r="I122" s="234"/>
      <c r="J122" s="946"/>
      <c r="K122" s="180"/>
      <c r="L122" s="180"/>
      <c r="M122" s="180"/>
      <c r="N122" s="180"/>
      <c r="O122" s="180"/>
      <c r="P122" s="180"/>
      <c r="U122" s="193"/>
      <c r="V122" s="193"/>
      <c r="W122" s="193"/>
      <c r="X122" s="193"/>
    </row>
    <row r="123" spans="2:24" ht="15" customHeight="1">
      <c r="B123" s="255"/>
      <c r="C123" s="255"/>
      <c r="D123" s="255"/>
      <c r="E123" s="255"/>
      <c r="F123" s="255"/>
      <c r="G123" s="255"/>
      <c r="H123" s="255"/>
      <c r="I123" s="234"/>
      <c r="J123" s="946"/>
      <c r="L123" s="232" t="s">
        <v>588</v>
      </c>
      <c r="U123" s="193"/>
      <c r="V123" s="193"/>
      <c r="W123" s="193"/>
      <c r="X123" s="193"/>
    </row>
    <row r="124" spans="2:24" ht="15" customHeight="1">
      <c r="B124" s="235"/>
      <c r="C124" s="235"/>
      <c r="D124" s="235"/>
      <c r="E124" s="235"/>
      <c r="F124" s="235"/>
      <c r="G124" s="235"/>
      <c r="H124" s="235"/>
      <c r="I124" s="236"/>
      <c r="J124" s="946"/>
      <c r="L124" s="333" t="s">
        <v>642</v>
      </c>
      <c r="M124" s="180"/>
      <c r="N124" s="180"/>
      <c r="O124" s="180"/>
      <c r="P124" s="180"/>
      <c r="U124" s="193"/>
      <c r="V124" s="193"/>
      <c r="W124" s="193"/>
    </row>
    <row r="125" spans="2:24" ht="15" customHeight="1">
      <c r="B125" s="235"/>
      <c r="C125" s="235"/>
      <c r="D125" s="235"/>
      <c r="E125" s="235"/>
      <c r="F125" s="235"/>
      <c r="G125" s="235"/>
      <c r="H125" s="235"/>
      <c r="I125" s="236"/>
      <c r="J125" s="946"/>
      <c r="L125" s="233" t="s">
        <v>589</v>
      </c>
      <c r="M125" s="180"/>
      <c r="N125" s="180"/>
      <c r="O125" s="180"/>
      <c r="P125" s="180"/>
      <c r="U125" s="193"/>
      <c r="V125" s="193"/>
      <c r="W125" s="193"/>
      <c r="X125" s="193"/>
    </row>
    <row r="126" spans="2:24" ht="15" customHeight="1">
      <c r="B126" s="235"/>
      <c r="C126" s="235"/>
      <c r="D126" s="235"/>
      <c r="E126" s="235"/>
      <c r="F126" s="235"/>
      <c r="G126" s="235"/>
      <c r="H126" s="235"/>
      <c r="I126" s="236"/>
      <c r="J126" s="946"/>
      <c r="L126" s="233" t="s">
        <v>590</v>
      </c>
      <c r="M126" s="180"/>
      <c r="N126" s="180"/>
      <c r="O126" s="180"/>
      <c r="P126" s="180"/>
      <c r="U126" s="193"/>
      <c r="V126" s="193"/>
      <c r="W126" s="193"/>
      <c r="X126" s="193"/>
    </row>
    <row r="127" spans="2:24" ht="15" customHeight="1">
      <c r="B127" s="235"/>
      <c r="C127" s="235"/>
      <c r="D127" s="235"/>
      <c r="E127" s="235"/>
      <c r="F127" s="235"/>
      <c r="G127" s="235"/>
      <c r="H127" s="235"/>
      <c r="I127" s="236"/>
      <c r="J127" s="946"/>
      <c r="L127" s="233" t="s">
        <v>591</v>
      </c>
      <c r="M127" s="180"/>
      <c r="N127" s="180"/>
      <c r="O127" s="180"/>
      <c r="P127" s="180"/>
      <c r="Q127" s="180"/>
      <c r="U127" s="193"/>
      <c r="V127" s="193"/>
      <c r="W127" s="193"/>
      <c r="X127" s="193"/>
    </row>
    <row r="128" spans="2:24" ht="15" customHeight="1">
      <c r="B128" s="255"/>
      <c r="C128" s="255"/>
      <c r="D128" s="255"/>
      <c r="E128" s="255"/>
      <c r="F128" s="255"/>
      <c r="G128" s="255"/>
      <c r="H128" s="255"/>
      <c r="I128" s="234"/>
      <c r="J128" s="946"/>
      <c r="K128" s="180"/>
      <c r="L128" s="180"/>
      <c r="M128" s="180"/>
      <c r="N128" s="180"/>
      <c r="O128" s="180"/>
      <c r="X128" s="193"/>
    </row>
    <row r="129" spans="2:24" ht="15" customHeight="1">
      <c r="B129" s="255"/>
      <c r="C129" s="255"/>
      <c r="D129" s="255"/>
      <c r="E129" s="255"/>
      <c r="F129" s="255"/>
      <c r="G129" s="255"/>
      <c r="H129" s="255"/>
      <c r="I129" s="234"/>
      <c r="J129" s="946"/>
      <c r="K129" s="180"/>
      <c r="L129" s="180"/>
      <c r="M129" s="180"/>
      <c r="N129" s="180"/>
      <c r="O129" s="180"/>
      <c r="X129" s="193"/>
    </row>
    <row r="130" spans="2:24" ht="15" customHeight="1">
      <c r="B130" s="235"/>
      <c r="C130" s="235"/>
      <c r="D130" s="235"/>
      <c r="E130" s="235"/>
      <c r="F130" s="235"/>
      <c r="G130" s="235"/>
      <c r="H130" s="235"/>
      <c r="I130" s="236"/>
      <c r="J130" s="946"/>
      <c r="K130" s="180"/>
      <c r="L130" s="180"/>
      <c r="M130" s="180"/>
      <c r="N130" s="180"/>
      <c r="O130" s="180"/>
      <c r="X130" s="193"/>
    </row>
    <row r="131" spans="2:24" ht="15" customHeight="1">
      <c r="B131" s="235"/>
      <c r="C131" s="235"/>
      <c r="D131" s="235"/>
      <c r="E131" s="235"/>
      <c r="F131" s="235"/>
      <c r="G131" s="235"/>
      <c r="H131" s="235"/>
      <c r="I131" s="236"/>
      <c r="J131" s="947"/>
      <c r="K131" s="180"/>
      <c r="L131" s="180"/>
      <c r="M131" s="180"/>
      <c r="N131" s="180"/>
      <c r="O131" s="180"/>
      <c r="X131" s="193"/>
    </row>
  </sheetData>
  <mergeCells count="61">
    <mergeCell ref="C82:C83"/>
    <mergeCell ref="B82:B84"/>
    <mergeCell ref="D82:L82"/>
    <mergeCell ref="D83:D84"/>
    <mergeCell ref="E83:E84"/>
    <mergeCell ref="F83:F84"/>
    <mergeCell ref="G83:G84"/>
    <mergeCell ref="H83:H84"/>
    <mergeCell ref="I83:I84"/>
    <mergeCell ref="J83:J84"/>
    <mergeCell ref="K83:K84"/>
    <mergeCell ref="L83:L84"/>
    <mergeCell ref="J112:J131"/>
    <mergeCell ref="I62:K62"/>
    <mergeCell ref="S112:S115"/>
    <mergeCell ref="O62:S62"/>
    <mergeCell ref="M82:M83"/>
    <mergeCell ref="L62:L63"/>
    <mergeCell ref="M117:P117"/>
    <mergeCell ref="Q117:T117"/>
    <mergeCell ref="AA6:AD6"/>
    <mergeCell ref="T6:T8"/>
    <mergeCell ref="V42:V43"/>
    <mergeCell ref="X42:X43"/>
    <mergeCell ref="Y41:Y44"/>
    <mergeCell ref="U6:U8"/>
    <mergeCell ref="U42:U43"/>
    <mergeCell ref="V6:Z6"/>
    <mergeCell ref="W42:W43"/>
    <mergeCell ref="T41:X41"/>
    <mergeCell ref="T42:T43"/>
    <mergeCell ref="U76:V76"/>
    <mergeCell ref="S6:S8"/>
    <mergeCell ref="S41:S43"/>
    <mergeCell ref="J6:J7"/>
    <mergeCell ref="I6:I8"/>
    <mergeCell ref="Q42:Q43"/>
    <mergeCell ref="R42:R43"/>
    <mergeCell ref="K6:M6"/>
    <mergeCell ref="M41:M43"/>
    <mergeCell ref="N41:R41"/>
    <mergeCell ref="P42:P43"/>
    <mergeCell ref="N42:N43"/>
    <mergeCell ref="O42:O43"/>
    <mergeCell ref="N6:Q6"/>
    <mergeCell ref="B62:B64"/>
    <mergeCell ref="C62:C63"/>
    <mergeCell ref="D62:F62"/>
    <mergeCell ref="B6:B8"/>
    <mergeCell ref="C6:C8"/>
    <mergeCell ref="D6:D7"/>
    <mergeCell ref="B41:B44"/>
    <mergeCell ref="C41:C43"/>
    <mergeCell ref="D41:D43"/>
    <mergeCell ref="E41:E43"/>
    <mergeCell ref="D63:E63"/>
    <mergeCell ref="F41:F43"/>
    <mergeCell ref="E6:E7"/>
    <mergeCell ref="F6:H6"/>
    <mergeCell ref="G41:G43"/>
    <mergeCell ref="H41:L41"/>
  </mergeCells>
  <phoneticPr fontId="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0"/>
  <sheetViews>
    <sheetView showGridLines="0" workbookViewId="0"/>
  </sheetViews>
  <sheetFormatPr defaultColWidth="10" defaultRowHeight="15" customHeight="1"/>
  <cols>
    <col min="1" max="1" width="3.88671875" style="180" customWidth="1"/>
    <col min="2" max="2" width="10" style="195"/>
    <col min="3" max="3" width="10.44140625" style="195" bestFit="1" customWidth="1"/>
    <col min="4" max="4" width="10" style="195"/>
    <col min="5" max="20" width="10" style="193"/>
    <col min="21" max="16384" width="10" style="180"/>
  </cols>
  <sheetData>
    <row r="1" spans="1:40" ht="15" customHeight="1">
      <c r="A1" s="177" t="s">
        <v>136</v>
      </c>
      <c r="B1" s="178"/>
      <c r="C1" s="178"/>
      <c r="D1" s="178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80"/>
      <c r="T1" s="180"/>
    </row>
    <row r="2" spans="1:40" ht="15" customHeight="1" thickBot="1">
      <c r="B2" s="379" t="s">
        <v>332</v>
      </c>
      <c r="C2" s="238" t="s">
        <v>362</v>
      </c>
      <c r="D2" s="238" t="s">
        <v>323</v>
      </c>
      <c r="E2" s="238" t="s">
        <v>319</v>
      </c>
      <c r="F2" s="238" t="s">
        <v>320</v>
      </c>
      <c r="G2" s="238" t="s">
        <v>321</v>
      </c>
      <c r="H2" s="242" t="s">
        <v>52</v>
      </c>
      <c r="I2" s="242" t="s">
        <v>516</v>
      </c>
      <c r="J2" s="242" t="s">
        <v>183</v>
      </c>
      <c r="K2" s="330" t="s">
        <v>640</v>
      </c>
      <c r="M2" s="179"/>
      <c r="N2" s="179"/>
      <c r="O2" s="179"/>
      <c r="P2" s="179"/>
      <c r="Q2" s="179"/>
      <c r="R2" s="180"/>
      <c r="S2" s="180"/>
      <c r="T2" s="180"/>
    </row>
    <row r="3" spans="1:40" ht="15" customHeight="1" thickBot="1">
      <c r="B3" s="211" t="str">
        <f>IF(SUM(Y45:Y59)=0,"","초과")</f>
        <v/>
      </c>
      <c r="C3" s="239">
        <f>COUNTIF(B9:B38,TRUE)/2</f>
        <v>0</v>
      </c>
      <c r="D3" s="239">
        <f>Pressure_2_R1!H$4</f>
        <v>0</v>
      </c>
      <c r="E3" s="239">
        <f>Pressure_2_R1!I$4</f>
        <v>0</v>
      </c>
      <c r="F3" s="239">
        <f>Pressure_2_R1!J$4</f>
        <v>0</v>
      </c>
      <c r="G3" s="239">
        <f>Pressure_2_R1!K$4</f>
        <v>0</v>
      </c>
      <c r="H3" s="250">
        <f>Pressure_2_R1!Q4</f>
        <v>0</v>
      </c>
      <c r="I3" s="250">
        <f>IF(TYPE(FIND(".",H3))=16,0,LEN(H3)-2)</f>
        <v>0</v>
      </c>
      <c r="J3" s="250">
        <f ca="1">OFFSET(V63,MATCH(I3,W64:W73,0),0)</f>
        <v>0</v>
      </c>
      <c r="K3" s="329" t="str">
        <f>D9</f>
        <v/>
      </c>
      <c r="M3" s="179"/>
      <c r="N3" s="179"/>
      <c r="O3" s="179"/>
      <c r="P3" s="179"/>
      <c r="Q3" s="179"/>
      <c r="R3" s="180"/>
      <c r="S3" s="180"/>
      <c r="T3" s="180"/>
    </row>
    <row r="4" spans="1:40" ht="15" customHeight="1">
      <c r="C4" s="178"/>
      <c r="D4" s="179"/>
      <c r="E4" s="179"/>
      <c r="F4" s="179"/>
      <c r="G4" s="179"/>
      <c r="I4" s="179"/>
      <c r="J4" s="179"/>
      <c r="K4" s="179"/>
      <c r="L4" s="179"/>
      <c r="M4" s="179"/>
      <c r="N4" s="179"/>
      <c r="O4" s="179"/>
      <c r="P4" s="180"/>
      <c r="Q4" s="180"/>
      <c r="R4" s="180"/>
      <c r="S4" s="180"/>
      <c r="T4" s="180"/>
    </row>
    <row r="5" spans="1:40" s="185" customFormat="1" ht="15" customHeight="1">
      <c r="B5" s="184" t="s">
        <v>333</v>
      </c>
      <c r="C5" s="182"/>
      <c r="D5" s="182"/>
      <c r="E5" s="183"/>
      <c r="F5" s="182"/>
      <c r="G5" s="178"/>
      <c r="H5" s="182"/>
      <c r="I5" s="182"/>
      <c r="J5" s="182"/>
      <c r="K5" s="182"/>
      <c r="L5" s="182"/>
      <c r="M5" s="182"/>
      <c r="N5" s="182"/>
      <c r="O5" s="182"/>
      <c r="P5" s="182"/>
      <c r="Q5" s="182"/>
      <c r="R5" s="182"/>
      <c r="S5" s="184" t="s">
        <v>517</v>
      </c>
    </row>
    <row r="6" spans="1:40" s="179" customFormat="1" ht="15" customHeight="1">
      <c r="B6" s="921" t="s">
        <v>518</v>
      </c>
      <c r="C6" s="921" t="s">
        <v>137</v>
      </c>
      <c r="D6" s="921" t="s">
        <v>182</v>
      </c>
      <c r="E6" s="932" t="s">
        <v>519</v>
      </c>
      <c r="F6" s="921" t="s">
        <v>334</v>
      </c>
      <c r="G6" s="921"/>
      <c r="H6" s="921"/>
      <c r="I6" s="921" t="s">
        <v>335</v>
      </c>
      <c r="J6" s="921" t="s">
        <v>336</v>
      </c>
      <c r="K6" s="932" t="s">
        <v>337</v>
      </c>
      <c r="L6" s="932"/>
      <c r="M6" s="932"/>
      <c r="N6" s="932" t="s">
        <v>520</v>
      </c>
      <c r="O6" s="932"/>
      <c r="P6" s="932"/>
      <c r="Q6" s="932"/>
      <c r="R6" s="182"/>
      <c r="S6" s="936" t="s">
        <v>518</v>
      </c>
      <c r="T6" s="936" t="s">
        <v>338</v>
      </c>
      <c r="U6" s="936" t="s">
        <v>401</v>
      </c>
      <c r="V6" s="939" t="s">
        <v>339</v>
      </c>
      <c r="W6" s="940"/>
      <c r="X6" s="940"/>
      <c r="Y6" s="940"/>
      <c r="Z6" s="941"/>
      <c r="AA6" s="939" t="s">
        <v>363</v>
      </c>
      <c r="AB6" s="940"/>
      <c r="AC6" s="940"/>
      <c r="AD6" s="941"/>
      <c r="AF6" s="338" t="s">
        <v>71</v>
      </c>
      <c r="AG6" s="337" t="s">
        <v>306</v>
      </c>
      <c r="AH6" s="337" t="s">
        <v>308</v>
      </c>
      <c r="AI6" s="337" t="s">
        <v>133</v>
      </c>
      <c r="AJ6" s="337" t="s">
        <v>134</v>
      </c>
      <c r="AK6" s="337" t="s">
        <v>311</v>
      </c>
      <c r="AL6" s="337" t="s">
        <v>312</v>
      </c>
      <c r="AM6" s="337" t="s">
        <v>313</v>
      </c>
      <c r="AN6" s="337" t="s">
        <v>314</v>
      </c>
    </row>
    <row r="7" spans="1:40" s="179" customFormat="1" ht="15" customHeight="1">
      <c r="B7" s="921"/>
      <c r="C7" s="921"/>
      <c r="D7" s="921"/>
      <c r="E7" s="932"/>
      <c r="F7" s="382" t="s">
        <v>65</v>
      </c>
      <c r="G7" s="382" t="s">
        <v>66</v>
      </c>
      <c r="H7" s="382" t="s">
        <v>0</v>
      </c>
      <c r="I7" s="921"/>
      <c r="J7" s="921"/>
      <c r="K7" s="381" t="s">
        <v>65</v>
      </c>
      <c r="L7" s="381" t="s">
        <v>364</v>
      </c>
      <c r="M7" s="381" t="s">
        <v>94</v>
      </c>
      <c r="N7" s="382" t="s">
        <v>340</v>
      </c>
      <c r="O7" s="189" t="e">
        <f>SUM(O9:Q38)/(SUM(N9:N38)*3)</f>
        <v>#DIV/0!</v>
      </c>
      <c r="P7" s="382" t="s">
        <v>521</v>
      </c>
      <c r="Q7" s="189" t="e">
        <f>1/O7</f>
        <v>#DIV/0!</v>
      </c>
      <c r="R7" s="182"/>
      <c r="S7" s="937"/>
      <c r="T7" s="937"/>
      <c r="U7" s="937"/>
      <c r="V7" s="381" t="s">
        <v>65</v>
      </c>
      <c r="W7" s="381" t="s">
        <v>66</v>
      </c>
      <c r="X7" s="381" t="s">
        <v>94</v>
      </c>
      <c r="Y7" s="381" t="s">
        <v>341</v>
      </c>
      <c r="Z7" s="381" t="s">
        <v>342</v>
      </c>
      <c r="AA7" s="381" t="s">
        <v>65</v>
      </c>
      <c r="AB7" s="381" t="s">
        <v>66</v>
      </c>
      <c r="AC7" s="381" t="s">
        <v>94</v>
      </c>
      <c r="AD7" s="381" t="s">
        <v>343</v>
      </c>
      <c r="AF7" s="337" t="s">
        <v>306</v>
      </c>
      <c r="AG7" s="339">
        <f t="shared" ref="AG7:AG21" si="0">AI7*1000</f>
        <v>1</v>
      </c>
      <c r="AH7" s="339">
        <f>AI7*10</f>
        <v>0.01</v>
      </c>
      <c r="AI7" s="339">
        <f t="shared" ref="AI7:AI21" si="1">AJ7*1000</f>
        <v>1E-3</v>
      </c>
      <c r="AJ7" s="339">
        <v>9.9999999999999995E-7</v>
      </c>
      <c r="AK7" s="339">
        <f t="shared" ref="AK7:AK21" si="2">AM7*1000</f>
        <v>1</v>
      </c>
      <c r="AL7" s="339">
        <f>AM7*10</f>
        <v>0.01</v>
      </c>
      <c r="AM7" s="339">
        <f t="shared" ref="AM7:AM21" si="3">AN7*1000</f>
        <v>1E-3</v>
      </c>
      <c r="AN7" s="339">
        <v>9.9999999999999995E-7</v>
      </c>
    </row>
    <row r="8" spans="1:40" s="179" customFormat="1" ht="15" customHeight="1">
      <c r="B8" s="921"/>
      <c r="C8" s="921"/>
      <c r="D8" s="411">
        <f>표준압력!G4</f>
        <v>0</v>
      </c>
      <c r="E8" s="411">
        <f>D8</f>
        <v>0</v>
      </c>
      <c r="F8" s="381">
        <f>IF(D3="mV/V","mV",D3)</f>
        <v>0</v>
      </c>
      <c r="G8" s="381">
        <f>F8</f>
        <v>0</v>
      </c>
      <c r="H8" s="381">
        <f>G8</f>
        <v>0</v>
      </c>
      <c r="I8" s="921"/>
      <c r="J8" s="382">
        <f>Pressure_2_R1!E136</f>
        <v>0</v>
      </c>
      <c r="K8" s="382">
        <f>D3</f>
        <v>0</v>
      </c>
      <c r="L8" s="382">
        <f>K8</f>
        <v>0</v>
      </c>
      <c r="M8" s="382">
        <f>L8</f>
        <v>0</v>
      </c>
      <c r="N8" s="382" t="s">
        <v>522</v>
      </c>
      <c r="O8" s="382" t="s">
        <v>344</v>
      </c>
      <c r="P8" s="382" t="s">
        <v>523</v>
      </c>
      <c r="Q8" s="382" t="s">
        <v>331</v>
      </c>
      <c r="R8" s="182"/>
      <c r="S8" s="938"/>
      <c r="T8" s="938"/>
      <c r="U8" s="938"/>
      <c r="V8" s="382">
        <f>K8</f>
        <v>0</v>
      </c>
      <c r="W8" s="382">
        <f>V8</f>
        <v>0</v>
      </c>
      <c r="X8" s="382">
        <f>W8</f>
        <v>0</v>
      </c>
      <c r="Y8" s="382">
        <f>K8</f>
        <v>0</v>
      </c>
      <c r="Z8" s="382">
        <f>E8</f>
        <v>0</v>
      </c>
      <c r="AA8" s="382">
        <f>V8</f>
        <v>0</v>
      </c>
      <c r="AB8" s="382">
        <f>AA8</f>
        <v>0</v>
      </c>
      <c r="AC8" s="382">
        <f>AB8</f>
        <v>0</v>
      </c>
      <c r="AD8" s="382">
        <f>AC8</f>
        <v>0</v>
      </c>
      <c r="AF8" s="337" t="s">
        <v>308</v>
      </c>
      <c r="AG8" s="339">
        <f t="shared" si="0"/>
        <v>100</v>
      </c>
      <c r="AH8" s="339">
        <f t="shared" ref="AH8:AH30" si="4">AI8*10</f>
        <v>1</v>
      </c>
      <c r="AI8" s="339">
        <f t="shared" si="1"/>
        <v>0.1</v>
      </c>
      <c r="AJ8" s="339">
        <v>1E-4</v>
      </c>
      <c r="AK8" s="339">
        <f t="shared" si="2"/>
        <v>100</v>
      </c>
      <c r="AL8" s="339">
        <f t="shared" ref="AL8:AL30" si="5">AM8*10</f>
        <v>1</v>
      </c>
      <c r="AM8" s="339">
        <f t="shared" si="3"/>
        <v>0.1</v>
      </c>
      <c r="AN8" s="339">
        <v>1E-4</v>
      </c>
    </row>
    <row r="9" spans="1:40" s="179" customFormat="1" ht="15" customHeight="1">
      <c r="B9" s="186" t="b">
        <f>IF(Pressure_2_R1!Z4="",FALSE,TRUE)</f>
        <v>0</v>
      </c>
      <c r="C9" s="187">
        <v>1</v>
      </c>
      <c r="D9" s="514" t="str">
        <f>IF($B9=FALSE,"",표준압력!F4)</f>
        <v/>
      </c>
      <c r="E9" s="188" t="str">
        <f>IF($B9=FALSE,"",표준압력!H4)</f>
        <v/>
      </c>
      <c r="F9" s="188" t="str">
        <f>IF($B9=FALSE,"",Pressure_2_R1!Z4)</f>
        <v/>
      </c>
      <c r="G9" s="189" t="str">
        <f>IF($B9=FALSE,"",Pressure_2_R1!AA4)</f>
        <v/>
      </c>
      <c r="H9" s="268" t="str">
        <f>IF($B9=FALSE,"",Pressure_2_R1!AB4)</f>
        <v/>
      </c>
      <c r="I9" s="270" t="b">
        <f>TYPE(G9)=1</f>
        <v>0</v>
      </c>
      <c r="J9" s="269" t="str">
        <f>IF($B9=FALSE,"",IF(Pressure_2_R1!D136="","기준기값없음",IF(Pressure_2_R1!L136="ok",Pressure_2_R1!D136,"파워선택안함")))</f>
        <v/>
      </c>
      <c r="K9" s="190" t="str">
        <f t="shared" ref="K9:K38" si="6">IF($B9=FALSE,"",IF(D$3="mV/V",F9/G$3+J9,F9+J9))</f>
        <v/>
      </c>
      <c r="L9" s="191" t="str">
        <f t="shared" ref="L9:L38" si="7">IF($B9=FALSE,"",IF(G9="ⅹ",K9,IF(D$3="mV/V",G9/G$3+J9,G9+J9)))</f>
        <v/>
      </c>
      <c r="M9" s="271" t="str">
        <f t="shared" ref="M9:M38" si="8">IF($B9=FALSE,"",IF(H9="ⅹ",L9,IF(D$3="mV/V",H9/G$3+J9,H9+J9)))</f>
        <v/>
      </c>
      <c r="N9" s="188" t="str">
        <f>IF($B9=FALSE,"",(E9-K$3)^2)</f>
        <v/>
      </c>
      <c r="O9" s="189" t="str">
        <f>IF($B9=FALSE,"",(E9-K$3)*(K9-E$3))</f>
        <v/>
      </c>
      <c r="P9" s="189" t="str">
        <f>IF($B9=FALSE,"",(E9-K$3)*(L9-E$3))</f>
        <v/>
      </c>
      <c r="Q9" s="272" t="str">
        <f>IF($B9=FALSE,"",(E9-K$3)*(M9-E$3))</f>
        <v/>
      </c>
      <c r="R9" s="182"/>
      <c r="S9" s="192" t="b">
        <f t="shared" ref="S9:S38" si="9">IF($U9&gt;$C$3,FALSE,TRUE)</f>
        <v>0</v>
      </c>
      <c r="T9" s="396" t="s">
        <v>704</v>
      </c>
      <c r="U9" s="397">
        <v>1</v>
      </c>
      <c r="V9" s="192" t="str">
        <f t="shared" ref="V9:X38" ca="1" si="10">IF($S9=FALSE,"",IF($T9="가압",K9,OFFSET(K$8,$C$3*2-($U9-1),0)))</f>
        <v/>
      </c>
      <c r="W9" s="192" t="str">
        <f t="shared" ca="1" si="10"/>
        <v/>
      </c>
      <c r="X9" s="192" t="str">
        <f t="shared" ca="1" si="10"/>
        <v/>
      </c>
      <c r="Y9" s="401" t="str">
        <f>IF($S9=FALSE,"",AVERAGE(V9:X9))</f>
        <v/>
      </c>
      <c r="Z9" s="249" t="str">
        <f t="shared" ref="Z9:Z38" si="11">IF($S9=FALSE,"",K$3+Q$7*(Y9-E$3))</f>
        <v/>
      </c>
      <c r="AA9" s="190" t="str">
        <f>IF($S9=FALSE,"",V9-V$9)</f>
        <v/>
      </c>
      <c r="AB9" s="192" t="str">
        <f>IF($S9=FALSE,"",W9-W$9)</f>
        <v/>
      </c>
      <c r="AC9" s="192" t="str">
        <f>IF($S9=FALSE,"",X9-X$9)</f>
        <v/>
      </c>
      <c r="AD9" s="400" t="str">
        <f t="shared" ref="AD9:AD38" si="12">IF($S9=FALSE,"",MAX(AA9:AC9)-MIN(AA9:AC9))</f>
        <v/>
      </c>
      <c r="AF9" s="337" t="s">
        <v>651</v>
      </c>
      <c r="AG9" s="339">
        <f t="shared" si="0"/>
        <v>1000</v>
      </c>
      <c r="AH9" s="339">
        <f t="shared" si="4"/>
        <v>10</v>
      </c>
      <c r="AI9" s="339">
        <f t="shared" si="1"/>
        <v>1</v>
      </c>
      <c r="AJ9" s="339">
        <v>1E-3</v>
      </c>
      <c r="AK9" s="339">
        <f t="shared" si="2"/>
        <v>1000</v>
      </c>
      <c r="AL9" s="339">
        <f t="shared" si="5"/>
        <v>10</v>
      </c>
      <c r="AM9" s="339">
        <f t="shared" si="3"/>
        <v>1</v>
      </c>
      <c r="AN9" s="339">
        <v>1E-3</v>
      </c>
    </row>
    <row r="10" spans="1:40" s="179" customFormat="1" ht="15" customHeight="1">
      <c r="B10" s="186" t="b">
        <f>IF(Pressure_2_R1!Z5="",FALSE,TRUE)</f>
        <v>0</v>
      </c>
      <c r="C10" s="187">
        <v>2</v>
      </c>
      <c r="D10" s="514" t="str">
        <f>IF($B10=FALSE,"",표준압력!F5)</f>
        <v/>
      </c>
      <c r="E10" s="188" t="str">
        <f>IF($B10=FALSE,"",표준압력!H5)</f>
        <v/>
      </c>
      <c r="F10" s="188" t="str">
        <f>IF($B10=FALSE,"",Pressure_2_R1!Z5)</f>
        <v/>
      </c>
      <c r="G10" s="189" t="str">
        <f>IF($B10=FALSE,"",Pressure_2_R1!AA5)</f>
        <v/>
      </c>
      <c r="H10" s="268" t="str">
        <f>IF($B10=FALSE,"",Pressure_2_R1!AB5)</f>
        <v/>
      </c>
      <c r="I10" s="270" t="b">
        <f t="shared" ref="I10:I38" si="13">TYPE(G10)=1</f>
        <v>0</v>
      </c>
      <c r="J10" s="269" t="str">
        <f>IF($B10=FALSE,"",IF(Pressure_2_R1!D137="","기준기값없음",IF(Pressure_2_R1!L137="ok",Pressure_2_R1!D137,"파워선택안함")))</f>
        <v/>
      </c>
      <c r="K10" s="190" t="str">
        <f t="shared" si="6"/>
        <v/>
      </c>
      <c r="L10" s="191" t="str">
        <f t="shared" si="7"/>
        <v/>
      </c>
      <c r="M10" s="271" t="str">
        <f t="shared" si="8"/>
        <v/>
      </c>
      <c r="N10" s="188" t="str">
        <f t="shared" ref="N10:N38" si="14">IF($B10=FALSE,"",(E10-K$3)^2)</f>
        <v/>
      </c>
      <c r="O10" s="189" t="str">
        <f t="shared" ref="O10:O38" si="15">IF($B10=FALSE,"",(E10-K$3)*(K10-E$3))</f>
        <v/>
      </c>
      <c r="P10" s="189" t="str">
        <f t="shared" ref="P10:P38" si="16">IF($B10=FALSE,"",(E10-K$3)*(L10-E$3))</f>
        <v/>
      </c>
      <c r="Q10" s="272" t="str">
        <f t="shared" ref="Q10:Q38" si="17">IF($B10=FALSE,"",(E10-K$3)*(M10-E$3))</f>
        <v/>
      </c>
      <c r="R10" s="182"/>
      <c r="S10" s="192" t="b">
        <f t="shared" si="9"/>
        <v>0</v>
      </c>
      <c r="T10" s="396" t="s">
        <v>705</v>
      </c>
      <c r="U10" s="397">
        <v>2</v>
      </c>
      <c r="V10" s="192" t="str">
        <f t="shared" ca="1" si="10"/>
        <v/>
      </c>
      <c r="W10" s="192" t="str">
        <f t="shared" ca="1" si="10"/>
        <v/>
      </c>
      <c r="X10" s="192" t="str">
        <f t="shared" ca="1" si="10"/>
        <v/>
      </c>
      <c r="Y10" s="401" t="str">
        <f t="shared" ref="Y10:Y38" si="18">IF($S10=FALSE,"",AVERAGE(V10:X10))</f>
        <v/>
      </c>
      <c r="Z10" s="249" t="str">
        <f t="shared" si="11"/>
        <v/>
      </c>
      <c r="AA10" s="190" t="str">
        <f t="shared" ref="AA10:AC23" si="19">IF($S10=FALSE,"",V10-V$9)</f>
        <v/>
      </c>
      <c r="AB10" s="192" t="str">
        <f t="shared" si="19"/>
        <v/>
      </c>
      <c r="AC10" s="192" t="str">
        <f t="shared" si="19"/>
        <v/>
      </c>
      <c r="AD10" s="400" t="str">
        <f t="shared" si="12"/>
        <v/>
      </c>
      <c r="AF10" s="337" t="s">
        <v>134</v>
      </c>
      <c r="AG10" s="339">
        <f t="shared" si="0"/>
        <v>1000000</v>
      </c>
      <c r="AH10" s="339">
        <f t="shared" si="4"/>
        <v>10000</v>
      </c>
      <c r="AI10" s="339">
        <f t="shared" si="1"/>
        <v>1000</v>
      </c>
      <c r="AJ10" s="339">
        <v>1</v>
      </c>
      <c r="AK10" s="339">
        <f t="shared" si="2"/>
        <v>1000000</v>
      </c>
      <c r="AL10" s="339">
        <f t="shared" si="5"/>
        <v>10000</v>
      </c>
      <c r="AM10" s="339">
        <f t="shared" si="3"/>
        <v>1000</v>
      </c>
      <c r="AN10" s="339">
        <v>1</v>
      </c>
    </row>
    <row r="11" spans="1:40" s="179" customFormat="1" ht="15" customHeight="1">
      <c r="B11" s="186" t="b">
        <f>IF(Pressure_2_R1!Z6="",FALSE,TRUE)</f>
        <v>0</v>
      </c>
      <c r="C11" s="187">
        <v>3</v>
      </c>
      <c r="D11" s="514" t="str">
        <f>IF($B11=FALSE,"",표준압력!F6)</f>
        <v/>
      </c>
      <c r="E11" s="188" t="str">
        <f>IF($B11=FALSE,"",표준압력!H6)</f>
        <v/>
      </c>
      <c r="F11" s="188" t="str">
        <f>IF($B11=FALSE,"",Pressure_2_R1!Z6)</f>
        <v/>
      </c>
      <c r="G11" s="189" t="str">
        <f>IF($B11=FALSE,"",Pressure_2_R1!AA6)</f>
        <v/>
      </c>
      <c r="H11" s="268" t="str">
        <f>IF($B11=FALSE,"",Pressure_2_R1!AB6)</f>
        <v/>
      </c>
      <c r="I11" s="270" t="b">
        <f t="shared" si="13"/>
        <v>0</v>
      </c>
      <c r="J11" s="269" t="str">
        <f>IF($B11=FALSE,"",IF(Pressure_2_R1!D138="","기준기값없음",IF(Pressure_2_R1!L138="ok",Pressure_2_R1!D138,"파워선택안함")))</f>
        <v/>
      </c>
      <c r="K11" s="190" t="str">
        <f t="shared" si="6"/>
        <v/>
      </c>
      <c r="L11" s="191" t="str">
        <f t="shared" si="7"/>
        <v/>
      </c>
      <c r="M11" s="271" t="str">
        <f t="shared" si="8"/>
        <v/>
      </c>
      <c r="N11" s="188" t="str">
        <f t="shared" si="14"/>
        <v/>
      </c>
      <c r="O11" s="189" t="str">
        <f t="shared" si="15"/>
        <v/>
      </c>
      <c r="P11" s="189" t="str">
        <f t="shared" si="16"/>
        <v/>
      </c>
      <c r="Q11" s="272" t="str">
        <f t="shared" si="17"/>
        <v/>
      </c>
      <c r="R11" s="182"/>
      <c r="S11" s="192" t="b">
        <f t="shared" si="9"/>
        <v>0</v>
      </c>
      <c r="T11" s="396" t="s">
        <v>524</v>
      </c>
      <c r="U11" s="397">
        <v>3</v>
      </c>
      <c r="V11" s="192" t="str">
        <f t="shared" ca="1" si="10"/>
        <v/>
      </c>
      <c r="W11" s="192" t="str">
        <f t="shared" ca="1" si="10"/>
        <v/>
      </c>
      <c r="X11" s="192" t="str">
        <f t="shared" ca="1" si="10"/>
        <v/>
      </c>
      <c r="Y11" s="401" t="str">
        <f t="shared" si="18"/>
        <v/>
      </c>
      <c r="Z11" s="249" t="str">
        <f t="shared" si="11"/>
        <v/>
      </c>
      <c r="AA11" s="190" t="str">
        <f t="shared" si="19"/>
        <v/>
      </c>
      <c r="AB11" s="192" t="str">
        <f t="shared" si="19"/>
        <v/>
      </c>
      <c r="AC11" s="192" t="str">
        <f t="shared" si="19"/>
        <v/>
      </c>
      <c r="AD11" s="400" t="str">
        <f t="shared" si="12"/>
        <v/>
      </c>
      <c r="AF11" s="337" t="s">
        <v>345</v>
      </c>
      <c r="AG11" s="339">
        <f t="shared" si="0"/>
        <v>100</v>
      </c>
      <c r="AH11" s="339">
        <f t="shared" si="4"/>
        <v>1</v>
      </c>
      <c r="AI11" s="339">
        <f t="shared" si="1"/>
        <v>0.1</v>
      </c>
      <c r="AJ11" s="339">
        <v>1E-4</v>
      </c>
      <c r="AK11" s="339">
        <f t="shared" si="2"/>
        <v>100</v>
      </c>
      <c r="AL11" s="339">
        <f t="shared" si="5"/>
        <v>1</v>
      </c>
      <c r="AM11" s="339">
        <f t="shared" si="3"/>
        <v>0.1</v>
      </c>
      <c r="AN11" s="339">
        <v>1E-4</v>
      </c>
    </row>
    <row r="12" spans="1:40" s="179" customFormat="1" ht="15" customHeight="1">
      <c r="B12" s="186" t="b">
        <f>IF(Pressure_2_R1!Z7="",FALSE,TRUE)</f>
        <v>0</v>
      </c>
      <c r="C12" s="187">
        <v>4</v>
      </c>
      <c r="D12" s="514" t="str">
        <f>IF($B12=FALSE,"",표준압력!F7)</f>
        <v/>
      </c>
      <c r="E12" s="188" t="str">
        <f>IF($B12=FALSE,"",표준압력!H7)</f>
        <v/>
      </c>
      <c r="F12" s="188" t="str">
        <f>IF($B12=FALSE,"",Pressure_2_R1!Z7)</f>
        <v/>
      </c>
      <c r="G12" s="189" t="str">
        <f>IF($B12=FALSE,"",Pressure_2_R1!AA7)</f>
        <v/>
      </c>
      <c r="H12" s="268" t="str">
        <f>IF($B12=FALSE,"",Pressure_2_R1!AB7)</f>
        <v/>
      </c>
      <c r="I12" s="270" t="b">
        <f t="shared" si="13"/>
        <v>0</v>
      </c>
      <c r="J12" s="269" t="str">
        <f>IF($B12=FALSE,"",IF(Pressure_2_R1!D139="","기준기값없음",IF(Pressure_2_R1!L139="ok",Pressure_2_R1!D139,"파워선택안함")))</f>
        <v/>
      </c>
      <c r="K12" s="190" t="str">
        <f t="shared" si="6"/>
        <v/>
      </c>
      <c r="L12" s="191" t="str">
        <f t="shared" si="7"/>
        <v/>
      </c>
      <c r="M12" s="271" t="str">
        <f t="shared" si="8"/>
        <v/>
      </c>
      <c r="N12" s="188" t="str">
        <f t="shared" si="14"/>
        <v/>
      </c>
      <c r="O12" s="189" t="str">
        <f t="shared" si="15"/>
        <v/>
      </c>
      <c r="P12" s="189" t="str">
        <f t="shared" si="16"/>
        <v/>
      </c>
      <c r="Q12" s="272" t="str">
        <f t="shared" si="17"/>
        <v/>
      </c>
      <c r="R12" s="182"/>
      <c r="S12" s="192" t="b">
        <f t="shared" si="9"/>
        <v>0</v>
      </c>
      <c r="T12" s="396" t="s">
        <v>706</v>
      </c>
      <c r="U12" s="397">
        <v>4</v>
      </c>
      <c r="V12" s="192" t="str">
        <f t="shared" ca="1" si="10"/>
        <v/>
      </c>
      <c r="W12" s="192" t="str">
        <f t="shared" ca="1" si="10"/>
        <v/>
      </c>
      <c r="X12" s="192" t="str">
        <f t="shared" ca="1" si="10"/>
        <v/>
      </c>
      <c r="Y12" s="401" t="str">
        <f t="shared" si="18"/>
        <v/>
      </c>
      <c r="Z12" s="249" t="str">
        <f t="shared" si="11"/>
        <v/>
      </c>
      <c r="AA12" s="190" t="str">
        <f t="shared" si="19"/>
        <v/>
      </c>
      <c r="AB12" s="192" t="str">
        <f t="shared" si="19"/>
        <v/>
      </c>
      <c r="AC12" s="192" t="str">
        <f t="shared" si="19"/>
        <v/>
      </c>
      <c r="AD12" s="400" t="str">
        <f t="shared" si="12"/>
        <v/>
      </c>
      <c r="AF12" s="337" t="s">
        <v>652</v>
      </c>
      <c r="AG12" s="339">
        <f t="shared" si="0"/>
        <v>100000</v>
      </c>
      <c r="AH12" s="339">
        <f t="shared" si="4"/>
        <v>1000</v>
      </c>
      <c r="AI12" s="339">
        <f t="shared" si="1"/>
        <v>100</v>
      </c>
      <c r="AJ12" s="339">
        <v>0.1</v>
      </c>
      <c r="AK12" s="339">
        <f t="shared" si="2"/>
        <v>100000</v>
      </c>
      <c r="AL12" s="339">
        <f t="shared" si="5"/>
        <v>1000</v>
      </c>
      <c r="AM12" s="339">
        <f t="shared" si="3"/>
        <v>100</v>
      </c>
      <c r="AN12" s="339">
        <v>0.1</v>
      </c>
    </row>
    <row r="13" spans="1:40" s="179" customFormat="1" ht="15" customHeight="1">
      <c r="B13" s="186" t="b">
        <f>IF(Pressure_2_R1!Z8="",FALSE,TRUE)</f>
        <v>0</v>
      </c>
      <c r="C13" s="187">
        <v>5</v>
      </c>
      <c r="D13" s="514" t="str">
        <f>IF($B13=FALSE,"",표준압력!F8)</f>
        <v/>
      </c>
      <c r="E13" s="188" t="str">
        <f>IF($B13=FALSE,"",표준압력!H8)</f>
        <v/>
      </c>
      <c r="F13" s="188" t="str">
        <f>IF($B13=FALSE,"",Pressure_2_R1!Z8)</f>
        <v/>
      </c>
      <c r="G13" s="189" t="str">
        <f>IF($B13=FALSE,"",Pressure_2_R1!AA8)</f>
        <v/>
      </c>
      <c r="H13" s="268" t="str">
        <f>IF($B13=FALSE,"",Pressure_2_R1!AB8)</f>
        <v/>
      </c>
      <c r="I13" s="270" t="b">
        <f t="shared" si="13"/>
        <v>0</v>
      </c>
      <c r="J13" s="269" t="str">
        <f>IF($B13=FALSE,"",IF(Pressure_2_R1!D140="","기준기값없음",IF(Pressure_2_R1!L140="ok",Pressure_2_R1!D140,"파워선택안함")))</f>
        <v/>
      </c>
      <c r="K13" s="190" t="str">
        <f t="shared" si="6"/>
        <v/>
      </c>
      <c r="L13" s="191" t="str">
        <f t="shared" si="7"/>
        <v/>
      </c>
      <c r="M13" s="271" t="str">
        <f t="shared" si="8"/>
        <v/>
      </c>
      <c r="N13" s="188" t="str">
        <f t="shared" si="14"/>
        <v/>
      </c>
      <c r="O13" s="189" t="str">
        <f t="shared" si="15"/>
        <v/>
      </c>
      <c r="P13" s="189" t="str">
        <f t="shared" si="16"/>
        <v/>
      </c>
      <c r="Q13" s="272" t="str">
        <f t="shared" si="17"/>
        <v/>
      </c>
      <c r="R13" s="182"/>
      <c r="S13" s="192" t="b">
        <f t="shared" si="9"/>
        <v>0</v>
      </c>
      <c r="T13" s="396" t="s">
        <v>704</v>
      </c>
      <c r="U13" s="397">
        <v>5</v>
      </c>
      <c r="V13" s="192" t="str">
        <f t="shared" ca="1" si="10"/>
        <v/>
      </c>
      <c r="W13" s="192" t="str">
        <f t="shared" ca="1" si="10"/>
        <v/>
      </c>
      <c r="X13" s="192" t="str">
        <f t="shared" ca="1" si="10"/>
        <v/>
      </c>
      <c r="Y13" s="401" t="str">
        <f t="shared" si="18"/>
        <v/>
      </c>
      <c r="Z13" s="249" t="str">
        <f t="shared" si="11"/>
        <v/>
      </c>
      <c r="AA13" s="190" t="str">
        <f t="shared" si="19"/>
        <v/>
      </c>
      <c r="AB13" s="192" t="str">
        <f t="shared" si="19"/>
        <v/>
      </c>
      <c r="AC13" s="192" t="str">
        <f t="shared" si="19"/>
        <v/>
      </c>
      <c r="AD13" s="400" t="str">
        <f t="shared" si="12"/>
        <v/>
      </c>
      <c r="AF13" s="337" t="s">
        <v>653</v>
      </c>
      <c r="AG13" s="339">
        <f t="shared" si="0"/>
        <v>6894.7569999999996</v>
      </c>
      <c r="AH13" s="339">
        <f t="shared" si="4"/>
        <v>68.947569999999999</v>
      </c>
      <c r="AI13" s="339">
        <f t="shared" si="1"/>
        <v>6.8947569999999994</v>
      </c>
      <c r="AJ13" s="339">
        <v>6.8947569999999996E-3</v>
      </c>
      <c r="AK13" s="339">
        <f t="shared" si="2"/>
        <v>6894.7569999999996</v>
      </c>
      <c r="AL13" s="339">
        <f t="shared" si="5"/>
        <v>68.947569999999999</v>
      </c>
      <c r="AM13" s="339">
        <f t="shared" si="3"/>
        <v>6.8947569999999994</v>
      </c>
      <c r="AN13" s="339">
        <v>6.8947569999999996E-3</v>
      </c>
    </row>
    <row r="14" spans="1:40" s="179" customFormat="1" ht="15" customHeight="1">
      <c r="B14" s="186" t="b">
        <f>IF(Pressure_2_R1!Z9="",FALSE,TRUE)</f>
        <v>0</v>
      </c>
      <c r="C14" s="187">
        <v>6</v>
      </c>
      <c r="D14" s="514" t="str">
        <f>IF($B14=FALSE,"",표준압력!F9)</f>
        <v/>
      </c>
      <c r="E14" s="188" t="str">
        <f>IF($B14=FALSE,"",표준압력!H9)</f>
        <v/>
      </c>
      <c r="F14" s="188" t="str">
        <f>IF($B14=FALSE,"",Pressure_2_R1!Z9)</f>
        <v/>
      </c>
      <c r="G14" s="189" t="str">
        <f>IF($B14=FALSE,"",Pressure_2_R1!AA9)</f>
        <v/>
      </c>
      <c r="H14" s="268" t="str">
        <f>IF($B14=FALSE,"",Pressure_2_R1!AB9)</f>
        <v/>
      </c>
      <c r="I14" s="270" t="b">
        <f t="shared" si="13"/>
        <v>0</v>
      </c>
      <c r="J14" s="269" t="str">
        <f>IF($B14=FALSE,"",IF(Pressure_2_R1!D141="","기준기값없음",IF(Pressure_2_R1!L141="ok",Pressure_2_R1!D141,"파워선택안함")))</f>
        <v/>
      </c>
      <c r="K14" s="190" t="str">
        <f t="shared" si="6"/>
        <v/>
      </c>
      <c r="L14" s="191" t="str">
        <f t="shared" si="7"/>
        <v/>
      </c>
      <c r="M14" s="271" t="str">
        <f t="shared" si="8"/>
        <v/>
      </c>
      <c r="N14" s="188" t="str">
        <f t="shared" si="14"/>
        <v/>
      </c>
      <c r="O14" s="189" t="str">
        <f t="shared" si="15"/>
        <v/>
      </c>
      <c r="P14" s="189" t="str">
        <f t="shared" si="16"/>
        <v/>
      </c>
      <c r="Q14" s="272" t="str">
        <f t="shared" si="17"/>
        <v/>
      </c>
      <c r="R14" s="182"/>
      <c r="S14" s="192" t="b">
        <f t="shared" si="9"/>
        <v>0</v>
      </c>
      <c r="T14" s="396" t="s">
        <v>704</v>
      </c>
      <c r="U14" s="397">
        <v>6</v>
      </c>
      <c r="V14" s="192" t="str">
        <f t="shared" ca="1" si="10"/>
        <v/>
      </c>
      <c r="W14" s="192" t="str">
        <f t="shared" ca="1" si="10"/>
        <v/>
      </c>
      <c r="X14" s="192" t="str">
        <f t="shared" ca="1" si="10"/>
        <v/>
      </c>
      <c r="Y14" s="401" t="str">
        <f t="shared" si="18"/>
        <v/>
      </c>
      <c r="Z14" s="249" t="str">
        <f t="shared" si="11"/>
        <v/>
      </c>
      <c r="AA14" s="190" t="str">
        <f t="shared" si="19"/>
        <v/>
      </c>
      <c r="AB14" s="192" t="str">
        <f t="shared" si="19"/>
        <v/>
      </c>
      <c r="AC14" s="192" t="str">
        <f t="shared" si="19"/>
        <v/>
      </c>
      <c r="AD14" s="400" t="str">
        <f t="shared" si="12"/>
        <v/>
      </c>
      <c r="AF14" s="337" t="s">
        <v>654</v>
      </c>
      <c r="AG14" s="339">
        <f t="shared" si="0"/>
        <v>98066.5</v>
      </c>
      <c r="AH14" s="339">
        <f t="shared" si="4"/>
        <v>980.66500000000008</v>
      </c>
      <c r="AI14" s="339">
        <f t="shared" si="1"/>
        <v>98.066500000000005</v>
      </c>
      <c r="AJ14" s="339">
        <v>9.8066500000000001E-2</v>
      </c>
      <c r="AK14" s="339">
        <f t="shared" si="2"/>
        <v>98066.5</v>
      </c>
      <c r="AL14" s="339">
        <f t="shared" si="5"/>
        <v>980.66500000000008</v>
      </c>
      <c r="AM14" s="339">
        <f t="shared" si="3"/>
        <v>98.066500000000005</v>
      </c>
      <c r="AN14" s="339">
        <v>9.8066500000000001E-2</v>
      </c>
    </row>
    <row r="15" spans="1:40" s="179" customFormat="1" ht="15" customHeight="1">
      <c r="B15" s="186" t="b">
        <f>IF(Pressure_2_R1!Z10="",FALSE,TRUE)</f>
        <v>0</v>
      </c>
      <c r="C15" s="187">
        <v>7</v>
      </c>
      <c r="D15" s="514" t="str">
        <f>IF($B15=FALSE,"",표준압력!F10)</f>
        <v/>
      </c>
      <c r="E15" s="188" t="str">
        <f>IF($B15=FALSE,"",표준압력!H10)</f>
        <v/>
      </c>
      <c r="F15" s="188" t="str">
        <f>IF($B15=FALSE,"",Pressure_2_R1!Z10)</f>
        <v/>
      </c>
      <c r="G15" s="189" t="str">
        <f>IF($B15=FALSE,"",Pressure_2_R1!AA10)</f>
        <v/>
      </c>
      <c r="H15" s="268" t="str">
        <f>IF($B15=FALSE,"",Pressure_2_R1!AB10)</f>
        <v/>
      </c>
      <c r="I15" s="270" t="b">
        <f t="shared" si="13"/>
        <v>0</v>
      </c>
      <c r="J15" s="269" t="str">
        <f>IF($B15=FALSE,"",IF(Pressure_2_R1!D142="","기준기값없음",IF(Pressure_2_R1!L142="ok",Pressure_2_R1!D142,"파워선택안함")))</f>
        <v/>
      </c>
      <c r="K15" s="190" t="str">
        <f t="shared" si="6"/>
        <v/>
      </c>
      <c r="L15" s="191" t="str">
        <f t="shared" si="7"/>
        <v/>
      </c>
      <c r="M15" s="271" t="str">
        <f t="shared" si="8"/>
        <v/>
      </c>
      <c r="N15" s="188" t="str">
        <f t="shared" si="14"/>
        <v/>
      </c>
      <c r="O15" s="189" t="str">
        <f t="shared" si="15"/>
        <v/>
      </c>
      <c r="P15" s="189" t="str">
        <f t="shared" si="16"/>
        <v/>
      </c>
      <c r="Q15" s="272" t="str">
        <f t="shared" si="17"/>
        <v/>
      </c>
      <c r="R15" s="182"/>
      <c r="S15" s="192" t="b">
        <f t="shared" si="9"/>
        <v>0</v>
      </c>
      <c r="T15" s="396" t="s">
        <v>704</v>
      </c>
      <c r="U15" s="397">
        <v>7</v>
      </c>
      <c r="V15" s="192" t="str">
        <f t="shared" ca="1" si="10"/>
        <v/>
      </c>
      <c r="W15" s="192" t="str">
        <f t="shared" ca="1" si="10"/>
        <v/>
      </c>
      <c r="X15" s="192" t="str">
        <f t="shared" ca="1" si="10"/>
        <v/>
      </c>
      <c r="Y15" s="401" t="str">
        <f t="shared" si="18"/>
        <v/>
      </c>
      <c r="Z15" s="249" t="str">
        <f t="shared" si="11"/>
        <v/>
      </c>
      <c r="AA15" s="190" t="str">
        <f t="shared" si="19"/>
        <v/>
      </c>
      <c r="AB15" s="192" t="str">
        <f t="shared" si="19"/>
        <v/>
      </c>
      <c r="AC15" s="192" t="str">
        <f t="shared" si="19"/>
        <v/>
      </c>
      <c r="AD15" s="400" t="str">
        <f t="shared" si="12"/>
        <v/>
      </c>
      <c r="AF15" s="337" t="s">
        <v>112</v>
      </c>
      <c r="AG15" s="339">
        <f t="shared" si="0"/>
        <v>9.8066499999999994</v>
      </c>
      <c r="AH15" s="339">
        <f t="shared" si="4"/>
        <v>9.8066500000000001E-2</v>
      </c>
      <c r="AI15" s="339">
        <f t="shared" si="1"/>
        <v>9.8066500000000001E-3</v>
      </c>
      <c r="AJ15" s="340">
        <v>9.8066500000000004E-6</v>
      </c>
      <c r="AK15" s="339">
        <f t="shared" si="2"/>
        <v>9.8066499999999994</v>
      </c>
      <c r="AL15" s="339">
        <f t="shared" si="5"/>
        <v>9.8066500000000001E-2</v>
      </c>
      <c r="AM15" s="339">
        <f t="shared" si="3"/>
        <v>9.8066500000000001E-3</v>
      </c>
      <c r="AN15" s="340">
        <v>9.8066500000000004E-6</v>
      </c>
    </row>
    <row r="16" spans="1:40" s="179" customFormat="1" ht="15" customHeight="1">
      <c r="B16" s="186" t="b">
        <f>IF(Pressure_2_R1!Z11="",FALSE,TRUE)</f>
        <v>0</v>
      </c>
      <c r="C16" s="187">
        <v>8</v>
      </c>
      <c r="D16" s="514" t="str">
        <f>IF($B16=FALSE,"",표준압력!F11)</f>
        <v/>
      </c>
      <c r="E16" s="188" t="str">
        <f>IF($B16=FALSE,"",표준압력!H11)</f>
        <v/>
      </c>
      <c r="F16" s="188" t="str">
        <f>IF($B16=FALSE,"",Pressure_2_R1!Z11)</f>
        <v/>
      </c>
      <c r="G16" s="189" t="str">
        <f>IF($B16=FALSE,"",Pressure_2_R1!AA11)</f>
        <v/>
      </c>
      <c r="H16" s="268" t="str">
        <f>IF($B16=FALSE,"",Pressure_2_R1!AB11)</f>
        <v/>
      </c>
      <c r="I16" s="270" t="b">
        <f t="shared" si="13"/>
        <v>0</v>
      </c>
      <c r="J16" s="269" t="str">
        <f>IF($B16=FALSE,"",IF(Pressure_2_R1!D143="","기준기값없음",IF(Pressure_2_R1!L143="ok",Pressure_2_R1!D143,"파워선택안함")))</f>
        <v/>
      </c>
      <c r="K16" s="190" t="str">
        <f t="shared" si="6"/>
        <v/>
      </c>
      <c r="L16" s="191" t="str">
        <f t="shared" si="7"/>
        <v/>
      </c>
      <c r="M16" s="271" t="str">
        <f t="shared" si="8"/>
        <v/>
      </c>
      <c r="N16" s="188" t="str">
        <f t="shared" si="14"/>
        <v/>
      </c>
      <c r="O16" s="189" t="str">
        <f t="shared" si="15"/>
        <v/>
      </c>
      <c r="P16" s="189" t="str">
        <f t="shared" si="16"/>
        <v/>
      </c>
      <c r="Q16" s="272" t="str">
        <f t="shared" si="17"/>
        <v/>
      </c>
      <c r="R16" s="182"/>
      <c r="S16" s="192" t="b">
        <f t="shared" si="9"/>
        <v>0</v>
      </c>
      <c r="T16" s="396" t="s">
        <v>524</v>
      </c>
      <c r="U16" s="397">
        <v>8</v>
      </c>
      <c r="V16" s="192" t="str">
        <f t="shared" ca="1" si="10"/>
        <v/>
      </c>
      <c r="W16" s="192" t="str">
        <f t="shared" ca="1" si="10"/>
        <v/>
      </c>
      <c r="X16" s="192" t="str">
        <f t="shared" ca="1" si="10"/>
        <v/>
      </c>
      <c r="Y16" s="401" t="str">
        <f t="shared" si="18"/>
        <v/>
      </c>
      <c r="Z16" s="249" t="str">
        <f t="shared" si="11"/>
        <v/>
      </c>
      <c r="AA16" s="190" t="str">
        <f t="shared" si="19"/>
        <v/>
      </c>
      <c r="AB16" s="192" t="str">
        <f t="shared" si="19"/>
        <v/>
      </c>
      <c r="AC16" s="192" t="str">
        <f t="shared" si="19"/>
        <v/>
      </c>
      <c r="AD16" s="400" t="str">
        <f t="shared" si="12"/>
        <v/>
      </c>
      <c r="AF16" s="337" t="s">
        <v>655</v>
      </c>
      <c r="AG16" s="339">
        <f t="shared" si="0"/>
        <v>3386.3889999999997</v>
      </c>
      <c r="AH16" s="339">
        <f t="shared" si="4"/>
        <v>33.863889999999998</v>
      </c>
      <c r="AI16" s="339">
        <f t="shared" si="1"/>
        <v>3.3863889999999999</v>
      </c>
      <c r="AJ16" s="339">
        <v>3.3863890000000001E-3</v>
      </c>
      <c r="AK16" s="339">
        <f t="shared" si="2"/>
        <v>3386.3889999999997</v>
      </c>
      <c r="AL16" s="339">
        <f t="shared" si="5"/>
        <v>33.863889999999998</v>
      </c>
      <c r="AM16" s="339">
        <f t="shared" si="3"/>
        <v>3.3863889999999999</v>
      </c>
      <c r="AN16" s="339">
        <v>3.3863890000000001E-3</v>
      </c>
    </row>
    <row r="17" spans="2:40" s="179" customFormat="1" ht="15" customHeight="1">
      <c r="B17" s="186" t="b">
        <f>IF(Pressure_2_R1!Z12="",FALSE,TRUE)</f>
        <v>0</v>
      </c>
      <c r="C17" s="187">
        <v>9</v>
      </c>
      <c r="D17" s="514" t="str">
        <f>IF($B17=FALSE,"",표준압력!F12)</f>
        <v/>
      </c>
      <c r="E17" s="188" t="str">
        <f>IF($B17=FALSE,"",표준압력!H12)</f>
        <v/>
      </c>
      <c r="F17" s="188" t="str">
        <f>IF($B17=FALSE,"",Pressure_2_R1!Z12)</f>
        <v/>
      </c>
      <c r="G17" s="189" t="str">
        <f>IF($B17=FALSE,"",Pressure_2_R1!AA12)</f>
        <v/>
      </c>
      <c r="H17" s="268" t="str">
        <f>IF($B17=FALSE,"",Pressure_2_R1!AB12)</f>
        <v/>
      </c>
      <c r="I17" s="270" t="b">
        <f t="shared" si="13"/>
        <v>0</v>
      </c>
      <c r="J17" s="269" t="str">
        <f>IF($B17=FALSE,"",IF(Pressure_2_R1!D144="","기준기값없음",IF(Pressure_2_R1!L144="ok",Pressure_2_R1!D144,"파워선택안함")))</f>
        <v/>
      </c>
      <c r="K17" s="190" t="str">
        <f t="shared" si="6"/>
        <v/>
      </c>
      <c r="L17" s="191" t="str">
        <f t="shared" si="7"/>
        <v/>
      </c>
      <c r="M17" s="271" t="str">
        <f t="shared" si="8"/>
        <v/>
      </c>
      <c r="N17" s="188" t="str">
        <f t="shared" si="14"/>
        <v/>
      </c>
      <c r="O17" s="189" t="str">
        <f t="shared" si="15"/>
        <v/>
      </c>
      <c r="P17" s="189" t="str">
        <f t="shared" si="16"/>
        <v/>
      </c>
      <c r="Q17" s="272" t="str">
        <f t="shared" si="17"/>
        <v/>
      </c>
      <c r="R17" s="182"/>
      <c r="S17" s="192" t="b">
        <f t="shared" si="9"/>
        <v>0</v>
      </c>
      <c r="T17" s="396" t="s">
        <v>524</v>
      </c>
      <c r="U17" s="397">
        <v>9</v>
      </c>
      <c r="V17" s="192" t="str">
        <f t="shared" ca="1" si="10"/>
        <v/>
      </c>
      <c r="W17" s="192" t="str">
        <f t="shared" ca="1" si="10"/>
        <v/>
      </c>
      <c r="X17" s="192" t="str">
        <f t="shared" ca="1" si="10"/>
        <v/>
      </c>
      <c r="Y17" s="401" t="str">
        <f t="shared" si="18"/>
        <v/>
      </c>
      <c r="Z17" s="249" t="str">
        <f t="shared" si="11"/>
        <v/>
      </c>
      <c r="AA17" s="190" t="str">
        <f t="shared" si="19"/>
        <v/>
      </c>
      <c r="AB17" s="192" t="str">
        <f t="shared" si="19"/>
        <v/>
      </c>
      <c r="AC17" s="192" t="str">
        <f t="shared" si="19"/>
        <v/>
      </c>
      <c r="AD17" s="400" t="str">
        <f t="shared" si="12"/>
        <v/>
      </c>
      <c r="AF17" s="337" t="s">
        <v>656</v>
      </c>
      <c r="AG17" s="339">
        <f t="shared" si="0"/>
        <v>133.32240000000002</v>
      </c>
      <c r="AH17" s="339">
        <f t="shared" si="4"/>
        <v>1.333224</v>
      </c>
      <c r="AI17" s="339">
        <f t="shared" si="1"/>
        <v>0.13332240000000001</v>
      </c>
      <c r="AJ17" s="339">
        <v>1.3332240000000001E-4</v>
      </c>
      <c r="AK17" s="339">
        <f t="shared" si="2"/>
        <v>133.32240000000002</v>
      </c>
      <c r="AL17" s="339">
        <f t="shared" si="5"/>
        <v>1.333224</v>
      </c>
      <c r="AM17" s="339">
        <f t="shared" si="3"/>
        <v>0.13332240000000001</v>
      </c>
      <c r="AN17" s="339">
        <v>1.3332240000000001E-4</v>
      </c>
    </row>
    <row r="18" spans="2:40" s="179" customFormat="1" ht="15" customHeight="1">
      <c r="B18" s="186" t="b">
        <f>IF(Pressure_2_R1!Z13="",FALSE,TRUE)</f>
        <v>0</v>
      </c>
      <c r="C18" s="187">
        <v>10</v>
      </c>
      <c r="D18" s="514" t="str">
        <f>IF($B18=FALSE,"",표준압력!F13)</f>
        <v/>
      </c>
      <c r="E18" s="188" t="str">
        <f>IF($B18=FALSE,"",표준압력!H13)</f>
        <v/>
      </c>
      <c r="F18" s="188" t="str">
        <f>IF($B18=FALSE,"",Pressure_2_R1!Z13)</f>
        <v/>
      </c>
      <c r="G18" s="189" t="str">
        <f>IF($B18=FALSE,"",Pressure_2_R1!AA13)</f>
        <v/>
      </c>
      <c r="H18" s="268" t="str">
        <f>IF($B18=FALSE,"",Pressure_2_R1!AB13)</f>
        <v/>
      </c>
      <c r="I18" s="270" t="b">
        <f t="shared" si="13"/>
        <v>0</v>
      </c>
      <c r="J18" s="269" t="str">
        <f>IF($B18=FALSE,"",IF(Pressure_2_R1!D145="","기준기값없음",IF(Pressure_2_R1!L145="ok",Pressure_2_R1!D145,"파워선택안함")))</f>
        <v/>
      </c>
      <c r="K18" s="190" t="str">
        <f t="shared" si="6"/>
        <v/>
      </c>
      <c r="L18" s="191" t="str">
        <f t="shared" si="7"/>
        <v/>
      </c>
      <c r="M18" s="271" t="str">
        <f t="shared" si="8"/>
        <v/>
      </c>
      <c r="N18" s="188" t="str">
        <f t="shared" si="14"/>
        <v/>
      </c>
      <c r="O18" s="189" t="str">
        <f t="shared" si="15"/>
        <v/>
      </c>
      <c r="P18" s="189" t="str">
        <f t="shared" si="16"/>
        <v/>
      </c>
      <c r="Q18" s="272" t="str">
        <f t="shared" si="17"/>
        <v/>
      </c>
      <c r="R18" s="182"/>
      <c r="S18" s="192" t="b">
        <f t="shared" si="9"/>
        <v>0</v>
      </c>
      <c r="T18" s="396" t="s">
        <v>524</v>
      </c>
      <c r="U18" s="397">
        <v>10</v>
      </c>
      <c r="V18" s="192" t="str">
        <f t="shared" ca="1" si="10"/>
        <v/>
      </c>
      <c r="W18" s="192" t="str">
        <f t="shared" ca="1" si="10"/>
        <v/>
      </c>
      <c r="X18" s="192" t="str">
        <f t="shared" ca="1" si="10"/>
        <v/>
      </c>
      <c r="Y18" s="401" t="str">
        <f t="shared" si="18"/>
        <v/>
      </c>
      <c r="Z18" s="249" t="str">
        <f t="shared" si="11"/>
        <v/>
      </c>
      <c r="AA18" s="190" t="str">
        <f t="shared" si="19"/>
        <v/>
      </c>
      <c r="AB18" s="192" t="str">
        <f t="shared" si="19"/>
        <v/>
      </c>
      <c r="AC18" s="192" t="str">
        <f t="shared" si="19"/>
        <v/>
      </c>
      <c r="AD18" s="400" t="str">
        <f t="shared" si="12"/>
        <v/>
      </c>
      <c r="AF18" s="337" t="s">
        <v>657</v>
      </c>
      <c r="AG18" s="339">
        <f t="shared" si="0"/>
        <v>1333.2239999999999</v>
      </c>
      <c r="AH18" s="339">
        <f t="shared" si="4"/>
        <v>13.332239999999999</v>
      </c>
      <c r="AI18" s="339">
        <f t="shared" si="1"/>
        <v>1.333224</v>
      </c>
      <c r="AJ18" s="339">
        <v>1.333224E-3</v>
      </c>
      <c r="AK18" s="339">
        <f t="shared" si="2"/>
        <v>1333.2239999999999</v>
      </c>
      <c r="AL18" s="339">
        <f t="shared" si="5"/>
        <v>13.332239999999999</v>
      </c>
      <c r="AM18" s="339">
        <f t="shared" si="3"/>
        <v>1.333224</v>
      </c>
      <c r="AN18" s="339">
        <v>1.333224E-3</v>
      </c>
    </row>
    <row r="19" spans="2:40" s="179" customFormat="1" ht="15" customHeight="1">
      <c r="B19" s="186" t="b">
        <f>IF(Pressure_2_R1!Z14="",FALSE,TRUE)</f>
        <v>0</v>
      </c>
      <c r="C19" s="187">
        <v>11</v>
      </c>
      <c r="D19" s="514" t="str">
        <f>IF($B19=FALSE,"",표준압력!F14)</f>
        <v/>
      </c>
      <c r="E19" s="188" t="str">
        <f>IF($B19=FALSE,"",표준압력!H14)</f>
        <v/>
      </c>
      <c r="F19" s="188" t="str">
        <f>IF($B19=FALSE,"",Pressure_2_R1!Z14)</f>
        <v/>
      </c>
      <c r="G19" s="189" t="str">
        <f>IF($B19=FALSE,"",Pressure_2_R1!AA14)</f>
        <v/>
      </c>
      <c r="H19" s="268" t="str">
        <f>IF($B19=FALSE,"",Pressure_2_R1!AB14)</f>
        <v/>
      </c>
      <c r="I19" s="270" t="b">
        <f t="shared" si="13"/>
        <v>0</v>
      </c>
      <c r="J19" s="269" t="str">
        <f>IF($B19=FALSE,"",IF(Pressure_2_R1!D146="","기준기값없음",IF(Pressure_2_R1!L146="ok",Pressure_2_R1!D146,"파워선택안함")))</f>
        <v/>
      </c>
      <c r="K19" s="190" t="str">
        <f t="shared" si="6"/>
        <v/>
      </c>
      <c r="L19" s="191" t="str">
        <f t="shared" si="7"/>
        <v/>
      </c>
      <c r="M19" s="271" t="str">
        <f t="shared" si="8"/>
        <v/>
      </c>
      <c r="N19" s="188" t="str">
        <f t="shared" si="14"/>
        <v/>
      </c>
      <c r="O19" s="189" t="str">
        <f t="shared" si="15"/>
        <v/>
      </c>
      <c r="P19" s="189" t="str">
        <f t="shared" si="16"/>
        <v/>
      </c>
      <c r="Q19" s="272" t="str">
        <f t="shared" si="17"/>
        <v/>
      </c>
      <c r="R19" s="182"/>
      <c r="S19" s="192" t="b">
        <f t="shared" si="9"/>
        <v>0</v>
      </c>
      <c r="T19" s="396" t="s">
        <v>704</v>
      </c>
      <c r="U19" s="397">
        <v>11</v>
      </c>
      <c r="V19" s="192" t="str">
        <f t="shared" ca="1" si="10"/>
        <v/>
      </c>
      <c r="W19" s="192" t="str">
        <f t="shared" ca="1" si="10"/>
        <v/>
      </c>
      <c r="X19" s="192" t="str">
        <f t="shared" ca="1" si="10"/>
        <v/>
      </c>
      <c r="Y19" s="401" t="str">
        <f t="shared" si="18"/>
        <v/>
      </c>
      <c r="Z19" s="249" t="str">
        <f t="shared" si="11"/>
        <v/>
      </c>
      <c r="AA19" s="190" t="str">
        <f t="shared" si="19"/>
        <v/>
      </c>
      <c r="AB19" s="192" t="str">
        <f t="shared" si="19"/>
        <v/>
      </c>
      <c r="AC19" s="192" t="str">
        <f t="shared" si="19"/>
        <v/>
      </c>
      <c r="AD19" s="400" t="str">
        <f t="shared" si="12"/>
        <v/>
      </c>
      <c r="AF19" s="337" t="s">
        <v>658</v>
      </c>
      <c r="AG19" s="339">
        <f t="shared" si="0"/>
        <v>249.0889</v>
      </c>
      <c r="AH19" s="339">
        <f t="shared" si="4"/>
        <v>2.4908890000000001</v>
      </c>
      <c r="AI19" s="339">
        <f t="shared" si="1"/>
        <v>0.2490889</v>
      </c>
      <c r="AJ19" s="339">
        <v>2.4908889999999999E-4</v>
      </c>
      <c r="AK19" s="339">
        <f t="shared" si="2"/>
        <v>249.0889</v>
      </c>
      <c r="AL19" s="339">
        <f t="shared" si="5"/>
        <v>2.4908890000000001</v>
      </c>
      <c r="AM19" s="339">
        <f t="shared" si="3"/>
        <v>0.2490889</v>
      </c>
      <c r="AN19" s="339">
        <v>2.4908889999999999E-4</v>
      </c>
    </row>
    <row r="20" spans="2:40" s="179" customFormat="1" ht="15" customHeight="1">
      <c r="B20" s="186" t="b">
        <f>IF(Pressure_2_R1!Z15="",FALSE,TRUE)</f>
        <v>0</v>
      </c>
      <c r="C20" s="187">
        <v>12</v>
      </c>
      <c r="D20" s="514" t="str">
        <f>IF($B20=FALSE,"",표준압력!F15)</f>
        <v/>
      </c>
      <c r="E20" s="188" t="str">
        <f>IF($B20=FALSE,"",표준압력!H15)</f>
        <v/>
      </c>
      <c r="F20" s="188" t="str">
        <f>IF($B20=FALSE,"",Pressure_2_R1!Z15)</f>
        <v/>
      </c>
      <c r="G20" s="189" t="str">
        <f>IF($B20=FALSE,"",Pressure_2_R1!AA15)</f>
        <v/>
      </c>
      <c r="H20" s="268" t="str">
        <f>IF($B20=FALSE,"",Pressure_2_R1!AB15)</f>
        <v/>
      </c>
      <c r="I20" s="270" t="b">
        <f t="shared" si="13"/>
        <v>0</v>
      </c>
      <c r="J20" s="269" t="str">
        <f>IF($B20=FALSE,"",IF(Pressure_2_R1!D147="","기준기값없음",IF(Pressure_2_R1!L147="ok",Pressure_2_R1!D147,"파워선택안함")))</f>
        <v/>
      </c>
      <c r="K20" s="190" t="str">
        <f t="shared" si="6"/>
        <v/>
      </c>
      <c r="L20" s="191" t="str">
        <f t="shared" si="7"/>
        <v/>
      </c>
      <c r="M20" s="271" t="str">
        <f t="shared" si="8"/>
        <v/>
      </c>
      <c r="N20" s="188" t="str">
        <f t="shared" si="14"/>
        <v/>
      </c>
      <c r="O20" s="189" t="str">
        <f t="shared" si="15"/>
        <v/>
      </c>
      <c r="P20" s="189" t="str">
        <f t="shared" si="16"/>
        <v/>
      </c>
      <c r="Q20" s="272" t="str">
        <f t="shared" si="17"/>
        <v/>
      </c>
      <c r="R20" s="182"/>
      <c r="S20" s="192" t="b">
        <f t="shared" si="9"/>
        <v>0</v>
      </c>
      <c r="T20" s="396" t="s">
        <v>705</v>
      </c>
      <c r="U20" s="397">
        <v>12</v>
      </c>
      <c r="V20" s="192" t="str">
        <f t="shared" ca="1" si="10"/>
        <v/>
      </c>
      <c r="W20" s="192" t="str">
        <f t="shared" ca="1" si="10"/>
        <v/>
      </c>
      <c r="X20" s="192" t="str">
        <f t="shared" ca="1" si="10"/>
        <v/>
      </c>
      <c r="Y20" s="401" t="str">
        <f t="shared" si="18"/>
        <v/>
      </c>
      <c r="Z20" s="249" t="str">
        <f t="shared" si="11"/>
        <v/>
      </c>
      <c r="AA20" s="190" t="str">
        <f t="shared" si="19"/>
        <v/>
      </c>
      <c r="AB20" s="192" t="str">
        <f t="shared" si="19"/>
        <v/>
      </c>
      <c r="AC20" s="192" t="str">
        <f t="shared" si="19"/>
        <v/>
      </c>
      <c r="AD20" s="400" t="str">
        <f t="shared" si="12"/>
        <v/>
      </c>
      <c r="AF20" s="337" t="s">
        <v>659</v>
      </c>
      <c r="AG20" s="339">
        <f t="shared" si="0"/>
        <v>9.8066499999999994</v>
      </c>
      <c r="AH20" s="339">
        <f t="shared" si="4"/>
        <v>9.8066500000000001E-2</v>
      </c>
      <c r="AI20" s="339">
        <f t="shared" si="1"/>
        <v>9.8066500000000001E-3</v>
      </c>
      <c r="AJ20" s="339">
        <v>9.8066500000000004E-6</v>
      </c>
      <c r="AK20" s="339">
        <f t="shared" si="2"/>
        <v>9.8066499999999994</v>
      </c>
      <c r="AL20" s="339">
        <f t="shared" si="5"/>
        <v>9.8066500000000001E-2</v>
      </c>
      <c r="AM20" s="339">
        <f t="shared" si="3"/>
        <v>9.8066500000000001E-3</v>
      </c>
      <c r="AN20" s="339">
        <v>9.8066500000000004E-6</v>
      </c>
    </row>
    <row r="21" spans="2:40" s="179" customFormat="1" ht="15" customHeight="1">
      <c r="B21" s="186" t="b">
        <f>IF(Pressure_2_R1!Z16="",FALSE,TRUE)</f>
        <v>0</v>
      </c>
      <c r="C21" s="187">
        <v>13</v>
      </c>
      <c r="D21" s="514" t="str">
        <f>IF($B21=FALSE,"",표준압력!F16)</f>
        <v/>
      </c>
      <c r="E21" s="188" t="str">
        <f>IF($B21=FALSE,"",표준압력!H16)</f>
        <v/>
      </c>
      <c r="F21" s="188" t="str">
        <f>IF($B21=FALSE,"",Pressure_2_R1!Z16)</f>
        <v/>
      </c>
      <c r="G21" s="189" t="str">
        <f>IF($B21=FALSE,"",Pressure_2_R1!AA16)</f>
        <v/>
      </c>
      <c r="H21" s="268" t="str">
        <f>IF($B21=FALSE,"",Pressure_2_R1!AB16)</f>
        <v/>
      </c>
      <c r="I21" s="270" t="b">
        <f t="shared" si="13"/>
        <v>0</v>
      </c>
      <c r="J21" s="269" t="str">
        <f>IF($B21=FALSE,"",IF(Pressure_2_R1!D148="","기준기값없음",IF(Pressure_2_R1!L148="ok",Pressure_2_R1!D148,"파워선택안함")))</f>
        <v/>
      </c>
      <c r="K21" s="190" t="str">
        <f t="shared" si="6"/>
        <v/>
      </c>
      <c r="L21" s="191" t="str">
        <f t="shared" si="7"/>
        <v/>
      </c>
      <c r="M21" s="271" t="str">
        <f t="shared" si="8"/>
        <v/>
      </c>
      <c r="N21" s="188" t="str">
        <f t="shared" si="14"/>
        <v/>
      </c>
      <c r="O21" s="189" t="str">
        <f t="shared" si="15"/>
        <v/>
      </c>
      <c r="P21" s="189" t="str">
        <f t="shared" si="16"/>
        <v/>
      </c>
      <c r="Q21" s="272" t="str">
        <f t="shared" si="17"/>
        <v/>
      </c>
      <c r="R21" s="182"/>
      <c r="S21" s="192" t="b">
        <f t="shared" si="9"/>
        <v>0</v>
      </c>
      <c r="T21" s="396" t="s">
        <v>524</v>
      </c>
      <c r="U21" s="397">
        <v>13</v>
      </c>
      <c r="V21" s="192" t="str">
        <f t="shared" ca="1" si="10"/>
        <v/>
      </c>
      <c r="W21" s="192" t="str">
        <f t="shared" ca="1" si="10"/>
        <v/>
      </c>
      <c r="X21" s="192" t="str">
        <f t="shared" ca="1" si="10"/>
        <v/>
      </c>
      <c r="Y21" s="401" t="str">
        <f t="shared" si="18"/>
        <v/>
      </c>
      <c r="Z21" s="249" t="str">
        <f t="shared" si="11"/>
        <v/>
      </c>
      <c r="AA21" s="190" t="str">
        <f t="shared" si="19"/>
        <v/>
      </c>
      <c r="AB21" s="192" t="str">
        <f t="shared" si="19"/>
        <v/>
      </c>
      <c r="AC21" s="192" t="str">
        <f t="shared" si="19"/>
        <v/>
      </c>
      <c r="AD21" s="400" t="str">
        <f t="shared" si="12"/>
        <v/>
      </c>
      <c r="AF21" s="337" t="s">
        <v>660</v>
      </c>
      <c r="AG21" s="339">
        <f t="shared" si="0"/>
        <v>98.066500000000005</v>
      </c>
      <c r="AH21" s="339">
        <f t="shared" si="4"/>
        <v>0.98066500000000001</v>
      </c>
      <c r="AI21" s="339">
        <f t="shared" si="1"/>
        <v>9.8066500000000001E-2</v>
      </c>
      <c r="AJ21" s="340">
        <v>9.80665E-5</v>
      </c>
      <c r="AK21" s="339">
        <f t="shared" si="2"/>
        <v>98.066500000000005</v>
      </c>
      <c r="AL21" s="339">
        <f t="shared" si="5"/>
        <v>0.98066500000000001</v>
      </c>
      <c r="AM21" s="339">
        <f t="shared" si="3"/>
        <v>9.8066500000000001E-2</v>
      </c>
      <c r="AN21" s="340">
        <v>9.80665E-5</v>
      </c>
    </row>
    <row r="22" spans="2:40" s="179" customFormat="1" ht="15" customHeight="1">
      <c r="B22" s="186" t="b">
        <f>IF(Pressure_2_R1!Z17="",FALSE,TRUE)</f>
        <v>0</v>
      </c>
      <c r="C22" s="187">
        <v>14</v>
      </c>
      <c r="D22" s="514" t="str">
        <f>IF($B22=FALSE,"",표준압력!F17)</f>
        <v/>
      </c>
      <c r="E22" s="188" t="str">
        <f>IF($B22=FALSE,"",표준압력!H17)</f>
        <v/>
      </c>
      <c r="F22" s="188" t="str">
        <f>IF($B22=FALSE,"",Pressure_2_R1!Z17)</f>
        <v/>
      </c>
      <c r="G22" s="189" t="str">
        <f>IF($B22=FALSE,"",Pressure_2_R1!AA17)</f>
        <v/>
      </c>
      <c r="H22" s="268" t="str">
        <f>IF($B22=FALSE,"",Pressure_2_R1!AB17)</f>
        <v/>
      </c>
      <c r="I22" s="270" t="b">
        <f t="shared" si="13"/>
        <v>0</v>
      </c>
      <c r="J22" s="269" t="str">
        <f>IF($B22=FALSE,"",IF(Pressure_2_R1!D149="","기준기값없음",IF(Pressure_2_R1!L149="ok",Pressure_2_R1!D149,"파워선택안함")))</f>
        <v/>
      </c>
      <c r="K22" s="190" t="str">
        <f t="shared" si="6"/>
        <v/>
      </c>
      <c r="L22" s="191" t="str">
        <f t="shared" si="7"/>
        <v/>
      </c>
      <c r="M22" s="271" t="str">
        <f t="shared" si="8"/>
        <v/>
      </c>
      <c r="N22" s="188" t="str">
        <f t="shared" si="14"/>
        <v/>
      </c>
      <c r="O22" s="189" t="str">
        <f t="shared" si="15"/>
        <v/>
      </c>
      <c r="P22" s="189" t="str">
        <f t="shared" si="16"/>
        <v/>
      </c>
      <c r="Q22" s="272" t="str">
        <f t="shared" si="17"/>
        <v/>
      </c>
      <c r="R22" s="182"/>
      <c r="S22" s="192" t="b">
        <f t="shared" si="9"/>
        <v>0</v>
      </c>
      <c r="T22" s="396" t="s">
        <v>524</v>
      </c>
      <c r="U22" s="397">
        <v>14</v>
      </c>
      <c r="V22" s="192" t="str">
        <f t="shared" ca="1" si="10"/>
        <v/>
      </c>
      <c r="W22" s="192" t="str">
        <f t="shared" ca="1" si="10"/>
        <v/>
      </c>
      <c r="X22" s="192" t="str">
        <f t="shared" ca="1" si="10"/>
        <v/>
      </c>
      <c r="Y22" s="401" t="str">
        <f t="shared" si="18"/>
        <v/>
      </c>
      <c r="Z22" s="249" t="str">
        <f t="shared" si="11"/>
        <v/>
      </c>
      <c r="AA22" s="190" t="str">
        <f t="shared" si="19"/>
        <v/>
      </c>
      <c r="AB22" s="192" t="str">
        <f t="shared" si="19"/>
        <v/>
      </c>
      <c r="AC22" s="192" t="str">
        <f t="shared" si="19"/>
        <v/>
      </c>
      <c r="AD22" s="400" t="str">
        <f t="shared" si="12"/>
        <v/>
      </c>
      <c r="AF22" s="337" t="s">
        <v>661</v>
      </c>
      <c r="AG22" s="339">
        <v>10000</v>
      </c>
      <c r="AH22" s="339">
        <f t="shared" si="4"/>
        <v>100</v>
      </c>
      <c r="AI22" s="339">
        <v>10</v>
      </c>
      <c r="AJ22" s="340">
        <v>0.01</v>
      </c>
      <c r="AK22" s="339">
        <v>10000</v>
      </c>
      <c r="AL22" s="339">
        <f t="shared" si="5"/>
        <v>100</v>
      </c>
      <c r="AM22" s="339">
        <v>10</v>
      </c>
      <c r="AN22" s="340">
        <v>0.01</v>
      </c>
    </row>
    <row r="23" spans="2:40" s="179" customFormat="1" ht="15" customHeight="1">
      <c r="B23" s="186" t="b">
        <f>IF(Pressure_2_R1!Z18="",FALSE,TRUE)</f>
        <v>0</v>
      </c>
      <c r="C23" s="187">
        <v>15</v>
      </c>
      <c r="D23" s="514" t="str">
        <f>IF($B23=FALSE,"",표준압력!F18)</f>
        <v/>
      </c>
      <c r="E23" s="188" t="str">
        <f>IF($B23=FALSE,"",표준압력!H18)</f>
        <v/>
      </c>
      <c r="F23" s="188" t="str">
        <f>IF($B23=FALSE,"",Pressure_2_R1!Z18)</f>
        <v/>
      </c>
      <c r="G23" s="189" t="str">
        <f>IF($B23=FALSE,"",Pressure_2_R1!AA18)</f>
        <v/>
      </c>
      <c r="H23" s="268" t="str">
        <f>IF($B23=FALSE,"",Pressure_2_R1!AB18)</f>
        <v/>
      </c>
      <c r="I23" s="270" t="b">
        <f t="shared" si="13"/>
        <v>0</v>
      </c>
      <c r="J23" s="269" t="str">
        <f>IF($B23=FALSE,"",IF(Pressure_2_R1!D150="","기준기값없음",IF(Pressure_2_R1!L150="ok",Pressure_2_R1!D150,"파워선택안함")))</f>
        <v/>
      </c>
      <c r="K23" s="190" t="str">
        <f t="shared" si="6"/>
        <v/>
      </c>
      <c r="L23" s="191" t="str">
        <f t="shared" si="7"/>
        <v/>
      </c>
      <c r="M23" s="271" t="str">
        <f t="shared" si="8"/>
        <v/>
      </c>
      <c r="N23" s="188" t="str">
        <f t="shared" si="14"/>
        <v/>
      </c>
      <c r="O23" s="189" t="str">
        <f t="shared" si="15"/>
        <v/>
      </c>
      <c r="P23" s="189" t="str">
        <f t="shared" si="16"/>
        <v/>
      </c>
      <c r="Q23" s="272" t="str">
        <f t="shared" si="17"/>
        <v/>
      </c>
      <c r="R23" s="182"/>
      <c r="S23" s="192" t="b">
        <f t="shared" si="9"/>
        <v>0</v>
      </c>
      <c r="T23" s="396" t="s">
        <v>706</v>
      </c>
      <c r="U23" s="397">
        <v>15</v>
      </c>
      <c r="V23" s="192" t="str">
        <f t="shared" ca="1" si="10"/>
        <v/>
      </c>
      <c r="W23" s="192" t="str">
        <f t="shared" ca="1" si="10"/>
        <v/>
      </c>
      <c r="X23" s="192" t="str">
        <f t="shared" ca="1" si="10"/>
        <v/>
      </c>
      <c r="Y23" s="401" t="str">
        <f t="shared" si="18"/>
        <v/>
      </c>
      <c r="Z23" s="249" t="str">
        <f t="shared" si="11"/>
        <v/>
      </c>
      <c r="AA23" s="190" t="str">
        <f t="shared" si="19"/>
        <v/>
      </c>
      <c r="AB23" s="192" t="str">
        <f t="shared" si="19"/>
        <v/>
      </c>
      <c r="AC23" s="192" t="str">
        <f t="shared" si="19"/>
        <v/>
      </c>
      <c r="AD23" s="400" t="str">
        <f t="shared" si="12"/>
        <v/>
      </c>
      <c r="AF23" s="337" t="s">
        <v>662</v>
      </c>
      <c r="AG23" s="339">
        <f t="shared" ref="AG23:AG30" si="20">AI23*1000</f>
        <v>1</v>
      </c>
      <c r="AH23" s="339">
        <f t="shared" si="4"/>
        <v>0.01</v>
      </c>
      <c r="AI23" s="339">
        <f t="shared" ref="AI23:AI30" si="21">AJ23*1000</f>
        <v>1E-3</v>
      </c>
      <c r="AJ23" s="339">
        <v>9.9999999999999995E-7</v>
      </c>
      <c r="AK23" s="339">
        <f t="shared" ref="AK23:AK30" si="22">AM23*1000</f>
        <v>1</v>
      </c>
      <c r="AL23" s="339">
        <f t="shared" si="5"/>
        <v>0.01</v>
      </c>
      <c r="AM23" s="339">
        <f t="shared" ref="AM23:AM30" si="23">AN23*1000</f>
        <v>1E-3</v>
      </c>
      <c r="AN23" s="339">
        <v>9.9999999999999995E-7</v>
      </c>
    </row>
    <row r="24" spans="2:40" s="179" customFormat="1" ht="15" customHeight="1">
      <c r="B24" s="186" t="b">
        <f>IF(Pressure_2_R1!Z19="",FALSE,TRUE)</f>
        <v>0</v>
      </c>
      <c r="C24" s="187">
        <v>16</v>
      </c>
      <c r="D24" s="514" t="str">
        <f>IF($B24=FALSE,"",표준압력!F19)</f>
        <v/>
      </c>
      <c r="E24" s="188" t="str">
        <f>IF($B24=FALSE,"",표준압력!H19)</f>
        <v/>
      </c>
      <c r="F24" s="188" t="str">
        <f>IF($B24=FALSE,"",Pressure_2_R1!Z19)</f>
        <v/>
      </c>
      <c r="G24" s="189" t="str">
        <f>IF($B24=FALSE,"",Pressure_2_R1!AA19)</f>
        <v/>
      </c>
      <c r="H24" s="268" t="str">
        <f>IF($B24=FALSE,"",Pressure_2_R1!AB19)</f>
        <v/>
      </c>
      <c r="I24" s="270" t="b">
        <f t="shared" si="13"/>
        <v>0</v>
      </c>
      <c r="J24" s="269" t="str">
        <f>IF($B24=FALSE,"",IF(Pressure_2_R1!D151="","기준기값없음",IF(Pressure_2_R1!L151="ok",Pressure_2_R1!D151,"파워선택안함")))</f>
        <v/>
      </c>
      <c r="K24" s="190" t="str">
        <f t="shared" si="6"/>
        <v/>
      </c>
      <c r="L24" s="191" t="str">
        <f t="shared" si="7"/>
        <v/>
      </c>
      <c r="M24" s="271" t="str">
        <f t="shared" si="8"/>
        <v/>
      </c>
      <c r="N24" s="188" t="str">
        <f t="shared" si="14"/>
        <v/>
      </c>
      <c r="O24" s="189" t="str">
        <f t="shared" si="15"/>
        <v/>
      </c>
      <c r="P24" s="189" t="str">
        <f t="shared" si="16"/>
        <v/>
      </c>
      <c r="Q24" s="272" t="str">
        <f t="shared" si="17"/>
        <v/>
      </c>
      <c r="R24" s="182"/>
      <c r="S24" s="192" t="b">
        <f t="shared" si="9"/>
        <v>0</v>
      </c>
      <c r="T24" s="398" t="s">
        <v>346</v>
      </c>
      <c r="U24" s="399">
        <v>1</v>
      </c>
      <c r="V24" s="192" t="str">
        <f ca="1">IF($S24=FALSE,"",IF($T24="가압",K24,OFFSET(K$8,$C$3*2-($U24-1),0)))</f>
        <v/>
      </c>
      <c r="W24" s="192" t="str">
        <f t="shared" ca="1" si="10"/>
        <v/>
      </c>
      <c r="X24" s="192" t="str">
        <f t="shared" ca="1" si="10"/>
        <v/>
      </c>
      <c r="Y24" s="401" t="str">
        <f t="shared" si="18"/>
        <v/>
      </c>
      <c r="Z24" s="249" t="str">
        <f t="shared" si="11"/>
        <v/>
      </c>
      <c r="AA24" s="402" t="str">
        <f>IF($S24=FALSE,"",V24-V$24)</f>
        <v/>
      </c>
      <c r="AB24" s="191" t="str">
        <f t="shared" ref="AB24:AC38" si="24">IF($S24=FALSE,"",W24-W$24)</f>
        <v/>
      </c>
      <c r="AC24" s="191" t="str">
        <f t="shared" si="24"/>
        <v/>
      </c>
      <c r="AD24" s="400" t="str">
        <f t="shared" si="12"/>
        <v/>
      </c>
      <c r="AF24" s="337" t="s">
        <v>663</v>
      </c>
      <c r="AG24" s="339">
        <f t="shared" si="20"/>
        <v>100</v>
      </c>
      <c r="AH24" s="339">
        <f t="shared" si="4"/>
        <v>1</v>
      </c>
      <c r="AI24" s="339">
        <f t="shared" si="21"/>
        <v>0.1</v>
      </c>
      <c r="AJ24" s="339">
        <v>1E-4</v>
      </c>
      <c r="AK24" s="339">
        <f t="shared" si="22"/>
        <v>100</v>
      </c>
      <c r="AL24" s="339">
        <f t="shared" si="5"/>
        <v>1</v>
      </c>
      <c r="AM24" s="339">
        <f t="shared" si="23"/>
        <v>0.1</v>
      </c>
      <c r="AN24" s="339">
        <v>1E-4</v>
      </c>
    </row>
    <row r="25" spans="2:40" s="179" customFormat="1" ht="15" customHeight="1">
      <c r="B25" s="186" t="b">
        <f>IF(Pressure_2_R1!Z20="",FALSE,TRUE)</f>
        <v>0</v>
      </c>
      <c r="C25" s="187">
        <v>17</v>
      </c>
      <c r="D25" s="514" t="str">
        <f>IF($B25=FALSE,"",표준압력!F20)</f>
        <v/>
      </c>
      <c r="E25" s="188" t="str">
        <f>IF($B25=FALSE,"",표준압력!H20)</f>
        <v/>
      </c>
      <c r="F25" s="188" t="str">
        <f>IF($B25=FALSE,"",Pressure_2_R1!Z20)</f>
        <v/>
      </c>
      <c r="G25" s="189" t="str">
        <f>IF($B25=FALSE,"",Pressure_2_R1!AA20)</f>
        <v/>
      </c>
      <c r="H25" s="268" t="str">
        <f>IF($B25=FALSE,"",Pressure_2_R1!AB20)</f>
        <v/>
      </c>
      <c r="I25" s="270" t="b">
        <f t="shared" si="13"/>
        <v>0</v>
      </c>
      <c r="J25" s="269" t="str">
        <f>IF($B25=FALSE,"",IF(Pressure_2_R1!D152="","기준기값없음",IF(Pressure_2_R1!L152="ok",Pressure_2_R1!D152,"파워선택안함")))</f>
        <v/>
      </c>
      <c r="K25" s="190" t="str">
        <f t="shared" si="6"/>
        <v/>
      </c>
      <c r="L25" s="191" t="str">
        <f t="shared" si="7"/>
        <v/>
      </c>
      <c r="M25" s="271" t="str">
        <f t="shared" si="8"/>
        <v/>
      </c>
      <c r="N25" s="188" t="str">
        <f t="shared" si="14"/>
        <v/>
      </c>
      <c r="O25" s="189" t="str">
        <f t="shared" si="15"/>
        <v/>
      </c>
      <c r="P25" s="189" t="str">
        <f t="shared" si="16"/>
        <v/>
      </c>
      <c r="Q25" s="272" t="str">
        <f t="shared" si="17"/>
        <v/>
      </c>
      <c r="R25" s="182"/>
      <c r="S25" s="192" t="b">
        <f t="shared" si="9"/>
        <v>0</v>
      </c>
      <c r="T25" s="398" t="s">
        <v>707</v>
      </c>
      <c r="U25" s="399">
        <v>2</v>
      </c>
      <c r="V25" s="192" t="str">
        <f t="shared" ref="V25:V38" ca="1" si="25">IF($S25=FALSE,"",IF($T25="가압",K25,OFFSET(K$8,$C$3*2-($U25-1),0)))</f>
        <v/>
      </c>
      <c r="W25" s="192" t="str">
        <f t="shared" ca="1" si="10"/>
        <v/>
      </c>
      <c r="X25" s="192" t="str">
        <f t="shared" ca="1" si="10"/>
        <v/>
      </c>
      <c r="Y25" s="401" t="str">
        <f t="shared" si="18"/>
        <v/>
      </c>
      <c r="Z25" s="249" t="str">
        <f t="shared" si="11"/>
        <v/>
      </c>
      <c r="AA25" s="402" t="str">
        <f t="shared" ref="AA25:AA38" si="26">IF($S25=FALSE,"",V25-V$24)</f>
        <v/>
      </c>
      <c r="AB25" s="191" t="str">
        <f t="shared" si="24"/>
        <v/>
      </c>
      <c r="AC25" s="191" t="str">
        <f t="shared" si="24"/>
        <v/>
      </c>
      <c r="AD25" s="400" t="str">
        <f t="shared" si="12"/>
        <v/>
      </c>
      <c r="AF25" s="337" t="s">
        <v>664</v>
      </c>
      <c r="AG25" s="339">
        <f t="shared" si="20"/>
        <v>1000</v>
      </c>
      <c r="AH25" s="339">
        <f t="shared" si="4"/>
        <v>10</v>
      </c>
      <c r="AI25" s="339">
        <f t="shared" si="21"/>
        <v>1</v>
      </c>
      <c r="AJ25" s="339">
        <v>1E-3</v>
      </c>
      <c r="AK25" s="339">
        <f t="shared" si="22"/>
        <v>1000</v>
      </c>
      <c r="AL25" s="339">
        <f t="shared" si="5"/>
        <v>10</v>
      </c>
      <c r="AM25" s="339">
        <f t="shared" si="23"/>
        <v>1</v>
      </c>
      <c r="AN25" s="339">
        <v>1E-3</v>
      </c>
    </row>
    <row r="26" spans="2:40" s="179" customFormat="1" ht="15" customHeight="1">
      <c r="B26" s="186" t="b">
        <f>IF(Pressure_2_R1!Z21="",FALSE,TRUE)</f>
        <v>0</v>
      </c>
      <c r="C26" s="187">
        <v>18</v>
      </c>
      <c r="D26" s="514" t="str">
        <f>IF($B26=FALSE,"",표준압력!F21)</f>
        <v/>
      </c>
      <c r="E26" s="188" t="str">
        <f>IF($B26=FALSE,"",표준압력!H21)</f>
        <v/>
      </c>
      <c r="F26" s="188" t="str">
        <f>IF($B26=FALSE,"",Pressure_2_R1!Z21)</f>
        <v/>
      </c>
      <c r="G26" s="189" t="str">
        <f>IF($B26=FALSE,"",Pressure_2_R1!AA21)</f>
        <v/>
      </c>
      <c r="H26" s="268" t="str">
        <f>IF($B26=FALSE,"",Pressure_2_R1!AB21)</f>
        <v/>
      </c>
      <c r="I26" s="270" t="b">
        <f t="shared" si="13"/>
        <v>0</v>
      </c>
      <c r="J26" s="269" t="str">
        <f>IF($B26=FALSE,"",IF(Pressure_2_R1!D153="","기준기값없음",IF(Pressure_2_R1!L153="ok",Pressure_2_R1!D153,"파워선택안함")))</f>
        <v/>
      </c>
      <c r="K26" s="190" t="str">
        <f t="shared" si="6"/>
        <v/>
      </c>
      <c r="L26" s="191" t="str">
        <f t="shared" si="7"/>
        <v/>
      </c>
      <c r="M26" s="271" t="str">
        <f t="shared" si="8"/>
        <v/>
      </c>
      <c r="N26" s="188" t="str">
        <f t="shared" si="14"/>
        <v/>
      </c>
      <c r="O26" s="189" t="str">
        <f t="shared" si="15"/>
        <v/>
      </c>
      <c r="P26" s="189" t="str">
        <f t="shared" si="16"/>
        <v/>
      </c>
      <c r="Q26" s="272" t="str">
        <f t="shared" si="17"/>
        <v/>
      </c>
      <c r="R26" s="182"/>
      <c r="S26" s="192" t="b">
        <f t="shared" si="9"/>
        <v>0</v>
      </c>
      <c r="T26" s="398" t="s">
        <v>346</v>
      </c>
      <c r="U26" s="399">
        <v>3</v>
      </c>
      <c r="V26" s="192" t="str">
        <f t="shared" ca="1" si="25"/>
        <v/>
      </c>
      <c r="W26" s="192" t="str">
        <f t="shared" ca="1" si="10"/>
        <v/>
      </c>
      <c r="X26" s="192" t="str">
        <f t="shared" ca="1" si="10"/>
        <v/>
      </c>
      <c r="Y26" s="401" t="str">
        <f t="shared" si="18"/>
        <v/>
      </c>
      <c r="Z26" s="249" t="str">
        <f t="shared" si="11"/>
        <v/>
      </c>
      <c r="AA26" s="402" t="str">
        <f t="shared" si="26"/>
        <v/>
      </c>
      <c r="AB26" s="191" t="str">
        <f t="shared" si="24"/>
        <v/>
      </c>
      <c r="AC26" s="191" t="str">
        <f t="shared" si="24"/>
        <v/>
      </c>
      <c r="AD26" s="400" t="str">
        <f t="shared" si="12"/>
        <v/>
      </c>
      <c r="AF26" s="337" t="s">
        <v>665</v>
      </c>
      <c r="AG26" s="339">
        <f t="shared" si="20"/>
        <v>1000000</v>
      </c>
      <c r="AH26" s="339">
        <f t="shared" si="4"/>
        <v>10000</v>
      </c>
      <c r="AI26" s="339">
        <f t="shared" si="21"/>
        <v>1000</v>
      </c>
      <c r="AJ26" s="339">
        <v>1</v>
      </c>
      <c r="AK26" s="339">
        <f t="shared" si="22"/>
        <v>1000000</v>
      </c>
      <c r="AL26" s="339">
        <f t="shared" si="5"/>
        <v>10000</v>
      </c>
      <c r="AM26" s="339">
        <f t="shared" si="23"/>
        <v>1000</v>
      </c>
      <c r="AN26" s="339">
        <v>1</v>
      </c>
    </row>
    <row r="27" spans="2:40" s="179" customFormat="1" ht="15" customHeight="1">
      <c r="B27" s="186" t="b">
        <f>IF(Pressure_2_R1!Z22="",FALSE,TRUE)</f>
        <v>0</v>
      </c>
      <c r="C27" s="187">
        <v>19</v>
      </c>
      <c r="D27" s="514" t="str">
        <f>IF($B27=FALSE,"",표준압력!F22)</f>
        <v/>
      </c>
      <c r="E27" s="188" t="str">
        <f>IF($B27=FALSE,"",표준압력!H22)</f>
        <v/>
      </c>
      <c r="F27" s="188" t="str">
        <f>IF($B27=FALSE,"",Pressure_2_R1!Z22)</f>
        <v/>
      </c>
      <c r="G27" s="189" t="str">
        <f>IF($B27=FALSE,"",Pressure_2_R1!AA22)</f>
        <v/>
      </c>
      <c r="H27" s="268" t="str">
        <f>IF($B27=FALSE,"",Pressure_2_R1!AB22)</f>
        <v/>
      </c>
      <c r="I27" s="270" t="b">
        <f t="shared" si="13"/>
        <v>0</v>
      </c>
      <c r="J27" s="269" t="str">
        <f>IF($B27=FALSE,"",IF(Pressure_2_R1!D154="","기준기값없음",IF(Pressure_2_R1!L154="ok",Pressure_2_R1!D154,"파워선택안함")))</f>
        <v/>
      </c>
      <c r="K27" s="190" t="str">
        <f t="shared" si="6"/>
        <v/>
      </c>
      <c r="L27" s="191" t="str">
        <f t="shared" si="7"/>
        <v/>
      </c>
      <c r="M27" s="271" t="str">
        <f t="shared" si="8"/>
        <v/>
      </c>
      <c r="N27" s="188" t="str">
        <f t="shared" si="14"/>
        <v/>
      </c>
      <c r="O27" s="189" t="str">
        <f t="shared" si="15"/>
        <v/>
      </c>
      <c r="P27" s="189" t="str">
        <f t="shared" si="16"/>
        <v/>
      </c>
      <c r="Q27" s="272" t="str">
        <f t="shared" si="17"/>
        <v/>
      </c>
      <c r="R27" s="182"/>
      <c r="S27" s="192" t="b">
        <f t="shared" si="9"/>
        <v>0</v>
      </c>
      <c r="T27" s="398" t="s">
        <v>708</v>
      </c>
      <c r="U27" s="399">
        <v>4</v>
      </c>
      <c r="V27" s="192" t="str">
        <f t="shared" ca="1" si="25"/>
        <v/>
      </c>
      <c r="W27" s="192" t="str">
        <f t="shared" ca="1" si="10"/>
        <v/>
      </c>
      <c r="X27" s="192" t="str">
        <f t="shared" ca="1" si="10"/>
        <v/>
      </c>
      <c r="Y27" s="401" t="str">
        <f t="shared" si="18"/>
        <v/>
      </c>
      <c r="Z27" s="249" t="str">
        <f t="shared" si="11"/>
        <v/>
      </c>
      <c r="AA27" s="402" t="str">
        <f t="shared" si="26"/>
        <v/>
      </c>
      <c r="AB27" s="191" t="str">
        <f t="shared" si="24"/>
        <v/>
      </c>
      <c r="AC27" s="191" t="str">
        <f t="shared" si="24"/>
        <v/>
      </c>
      <c r="AD27" s="400" t="str">
        <f t="shared" si="12"/>
        <v/>
      </c>
      <c r="AF27" s="337" t="s">
        <v>666</v>
      </c>
      <c r="AG27" s="339">
        <f t="shared" si="20"/>
        <v>100</v>
      </c>
      <c r="AH27" s="339">
        <f t="shared" si="4"/>
        <v>1</v>
      </c>
      <c r="AI27" s="339">
        <f t="shared" si="21"/>
        <v>0.1</v>
      </c>
      <c r="AJ27" s="339">
        <v>1E-4</v>
      </c>
      <c r="AK27" s="339">
        <f t="shared" si="22"/>
        <v>100</v>
      </c>
      <c r="AL27" s="339">
        <f t="shared" si="5"/>
        <v>1</v>
      </c>
      <c r="AM27" s="339">
        <f t="shared" si="23"/>
        <v>0.1</v>
      </c>
      <c r="AN27" s="339">
        <v>1E-4</v>
      </c>
    </row>
    <row r="28" spans="2:40" s="179" customFormat="1" ht="15" customHeight="1">
      <c r="B28" s="186" t="b">
        <f>IF(Pressure_2_R1!Z23="",FALSE,TRUE)</f>
        <v>0</v>
      </c>
      <c r="C28" s="187">
        <v>20</v>
      </c>
      <c r="D28" s="514" t="str">
        <f>IF($B28=FALSE,"",표준압력!F23)</f>
        <v/>
      </c>
      <c r="E28" s="188" t="str">
        <f>IF($B28=FALSE,"",표준압력!H23)</f>
        <v/>
      </c>
      <c r="F28" s="188" t="str">
        <f>IF($B28=FALSE,"",Pressure_2_R1!Z23)</f>
        <v/>
      </c>
      <c r="G28" s="189" t="str">
        <f>IF($B28=FALSE,"",Pressure_2_R1!AA23)</f>
        <v/>
      </c>
      <c r="H28" s="268" t="str">
        <f>IF($B28=FALSE,"",Pressure_2_R1!AB23)</f>
        <v/>
      </c>
      <c r="I28" s="270" t="b">
        <f t="shared" si="13"/>
        <v>0</v>
      </c>
      <c r="J28" s="269" t="str">
        <f>IF($B28=FALSE,"",IF(Pressure_2_R1!D155="","기준기값없음",IF(Pressure_2_R1!L155="ok",Pressure_2_R1!D155,"파워선택안함")))</f>
        <v/>
      </c>
      <c r="K28" s="190" t="str">
        <f t="shared" si="6"/>
        <v/>
      </c>
      <c r="L28" s="191" t="str">
        <f t="shared" si="7"/>
        <v/>
      </c>
      <c r="M28" s="271" t="str">
        <f t="shared" si="8"/>
        <v/>
      </c>
      <c r="N28" s="188" t="str">
        <f t="shared" si="14"/>
        <v/>
      </c>
      <c r="O28" s="189" t="str">
        <f t="shared" si="15"/>
        <v/>
      </c>
      <c r="P28" s="189" t="str">
        <f t="shared" si="16"/>
        <v/>
      </c>
      <c r="Q28" s="272" t="str">
        <f t="shared" si="17"/>
        <v/>
      </c>
      <c r="R28" s="182"/>
      <c r="S28" s="192" t="b">
        <f t="shared" si="9"/>
        <v>0</v>
      </c>
      <c r="T28" s="398" t="s">
        <v>707</v>
      </c>
      <c r="U28" s="399">
        <v>5</v>
      </c>
      <c r="V28" s="192" t="str">
        <f t="shared" ca="1" si="25"/>
        <v/>
      </c>
      <c r="W28" s="192" t="str">
        <f t="shared" ca="1" si="10"/>
        <v/>
      </c>
      <c r="X28" s="192" t="str">
        <f t="shared" ca="1" si="10"/>
        <v/>
      </c>
      <c r="Y28" s="401" t="str">
        <f t="shared" si="18"/>
        <v/>
      </c>
      <c r="Z28" s="249" t="str">
        <f t="shared" si="11"/>
        <v/>
      </c>
      <c r="AA28" s="402" t="str">
        <f t="shared" si="26"/>
        <v/>
      </c>
      <c r="AB28" s="191" t="str">
        <f t="shared" si="24"/>
        <v/>
      </c>
      <c r="AC28" s="191" t="str">
        <f t="shared" si="24"/>
        <v/>
      </c>
      <c r="AD28" s="400" t="str">
        <f t="shared" si="12"/>
        <v/>
      </c>
      <c r="AF28" s="337" t="s">
        <v>667</v>
      </c>
      <c r="AG28" s="339">
        <f t="shared" si="20"/>
        <v>100000</v>
      </c>
      <c r="AH28" s="339">
        <f t="shared" si="4"/>
        <v>1000</v>
      </c>
      <c r="AI28" s="339">
        <f t="shared" si="21"/>
        <v>100</v>
      </c>
      <c r="AJ28" s="339">
        <v>0.1</v>
      </c>
      <c r="AK28" s="339">
        <f t="shared" si="22"/>
        <v>100000</v>
      </c>
      <c r="AL28" s="339">
        <f t="shared" si="5"/>
        <v>1000</v>
      </c>
      <c r="AM28" s="339">
        <f t="shared" si="23"/>
        <v>100</v>
      </c>
      <c r="AN28" s="339">
        <v>0.1</v>
      </c>
    </row>
    <row r="29" spans="2:40" s="179" customFormat="1" ht="15" customHeight="1">
      <c r="B29" s="186" t="b">
        <f>IF(Pressure_2_R1!Z24="",FALSE,TRUE)</f>
        <v>0</v>
      </c>
      <c r="C29" s="187">
        <v>21</v>
      </c>
      <c r="D29" s="514" t="str">
        <f>IF($B29=FALSE,"",표준압력!F24)</f>
        <v/>
      </c>
      <c r="E29" s="188" t="str">
        <f>IF($B29=FALSE,"",표준압력!H24)</f>
        <v/>
      </c>
      <c r="F29" s="188" t="str">
        <f>IF($B29=FALSE,"",Pressure_2_R1!Z24)</f>
        <v/>
      </c>
      <c r="G29" s="189" t="str">
        <f>IF($B29=FALSE,"",Pressure_2_R1!AA24)</f>
        <v/>
      </c>
      <c r="H29" s="268" t="str">
        <f>IF($B29=FALSE,"",Pressure_2_R1!AB24)</f>
        <v/>
      </c>
      <c r="I29" s="270" t="b">
        <f t="shared" si="13"/>
        <v>0</v>
      </c>
      <c r="J29" s="269" t="str">
        <f>IF($B29=FALSE,"",IF(Pressure_2_R1!D156="","기준기값없음",IF(Pressure_2_R1!L156="ok",Pressure_2_R1!D156,"파워선택안함")))</f>
        <v/>
      </c>
      <c r="K29" s="190" t="str">
        <f t="shared" si="6"/>
        <v/>
      </c>
      <c r="L29" s="191" t="str">
        <f t="shared" si="7"/>
        <v/>
      </c>
      <c r="M29" s="271" t="str">
        <f t="shared" si="8"/>
        <v/>
      </c>
      <c r="N29" s="188" t="str">
        <f t="shared" si="14"/>
        <v/>
      </c>
      <c r="O29" s="189" t="str">
        <f t="shared" si="15"/>
        <v/>
      </c>
      <c r="P29" s="189" t="str">
        <f t="shared" si="16"/>
        <v/>
      </c>
      <c r="Q29" s="272" t="str">
        <f t="shared" si="17"/>
        <v/>
      </c>
      <c r="R29" s="182"/>
      <c r="S29" s="192" t="b">
        <f t="shared" si="9"/>
        <v>0</v>
      </c>
      <c r="T29" s="398" t="s">
        <v>709</v>
      </c>
      <c r="U29" s="399">
        <v>6</v>
      </c>
      <c r="V29" s="192" t="str">
        <f t="shared" ca="1" si="25"/>
        <v/>
      </c>
      <c r="W29" s="192" t="str">
        <f t="shared" ca="1" si="10"/>
        <v/>
      </c>
      <c r="X29" s="192" t="str">
        <f t="shared" ca="1" si="10"/>
        <v/>
      </c>
      <c r="Y29" s="401" t="str">
        <f t="shared" si="18"/>
        <v/>
      </c>
      <c r="Z29" s="249" t="str">
        <f t="shared" si="11"/>
        <v/>
      </c>
      <c r="AA29" s="402" t="str">
        <f t="shared" si="26"/>
        <v/>
      </c>
      <c r="AB29" s="191" t="str">
        <f t="shared" si="24"/>
        <v/>
      </c>
      <c r="AC29" s="191" t="str">
        <f t="shared" si="24"/>
        <v/>
      </c>
      <c r="AD29" s="400" t="str">
        <f t="shared" si="12"/>
        <v/>
      </c>
      <c r="AF29" s="337" t="s">
        <v>668</v>
      </c>
      <c r="AG29" s="339">
        <f t="shared" si="20"/>
        <v>6894.7569999999996</v>
      </c>
      <c r="AH29" s="339">
        <f t="shared" si="4"/>
        <v>68.947569999999999</v>
      </c>
      <c r="AI29" s="339">
        <f t="shared" si="21"/>
        <v>6.8947569999999994</v>
      </c>
      <c r="AJ29" s="339">
        <v>6.8947569999999996E-3</v>
      </c>
      <c r="AK29" s="339">
        <f t="shared" si="22"/>
        <v>6894.7569999999996</v>
      </c>
      <c r="AL29" s="339">
        <f t="shared" si="5"/>
        <v>68.947569999999999</v>
      </c>
      <c r="AM29" s="339">
        <f t="shared" si="23"/>
        <v>6.8947569999999994</v>
      </c>
      <c r="AN29" s="339">
        <v>6.8947569999999996E-3</v>
      </c>
    </row>
    <row r="30" spans="2:40" s="179" customFormat="1" ht="15" customHeight="1">
      <c r="B30" s="186" t="b">
        <f>IF(Pressure_2_R1!Z25="",FALSE,TRUE)</f>
        <v>0</v>
      </c>
      <c r="C30" s="187">
        <v>22</v>
      </c>
      <c r="D30" s="514" t="str">
        <f>IF($B30=FALSE,"",표준압력!F25)</f>
        <v/>
      </c>
      <c r="E30" s="188" t="str">
        <f>IF($B30=FALSE,"",표준압력!H25)</f>
        <v/>
      </c>
      <c r="F30" s="188" t="str">
        <f>IF($B30=FALSE,"",Pressure_2_R1!Z25)</f>
        <v/>
      </c>
      <c r="G30" s="189" t="str">
        <f>IF($B30=FALSE,"",Pressure_2_R1!AA25)</f>
        <v/>
      </c>
      <c r="H30" s="268" t="str">
        <f>IF($B30=FALSE,"",Pressure_2_R1!AB25)</f>
        <v/>
      </c>
      <c r="I30" s="270" t="b">
        <f t="shared" si="13"/>
        <v>0</v>
      </c>
      <c r="J30" s="269" t="str">
        <f>IF($B30=FALSE,"",IF(Pressure_2_R1!D157="","기준기값없음",IF(Pressure_2_R1!L157="ok",Pressure_2_R1!D157,"파워선택안함")))</f>
        <v/>
      </c>
      <c r="K30" s="190" t="str">
        <f t="shared" si="6"/>
        <v/>
      </c>
      <c r="L30" s="191" t="str">
        <f t="shared" si="7"/>
        <v/>
      </c>
      <c r="M30" s="271" t="str">
        <f t="shared" si="8"/>
        <v/>
      </c>
      <c r="N30" s="188" t="str">
        <f t="shared" si="14"/>
        <v/>
      </c>
      <c r="O30" s="189" t="str">
        <f t="shared" si="15"/>
        <v/>
      </c>
      <c r="P30" s="189" t="str">
        <f t="shared" si="16"/>
        <v/>
      </c>
      <c r="Q30" s="272" t="str">
        <f t="shared" si="17"/>
        <v/>
      </c>
      <c r="R30" s="182"/>
      <c r="S30" s="192" t="b">
        <f t="shared" si="9"/>
        <v>0</v>
      </c>
      <c r="T30" s="398" t="s">
        <v>707</v>
      </c>
      <c r="U30" s="399">
        <v>7</v>
      </c>
      <c r="V30" s="192" t="str">
        <f t="shared" ca="1" si="25"/>
        <v/>
      </c>
      <c r="W30" s="192" t="str">
        <f t="shared" ca="1" si="10"/>
        <v/>
      </c>
      <c r="X30" s="192" t="str">
        <f t="shared" ca="1" si="10"/>
        <v/>
      </c>
      <c r="Y30" s="401" t="str">
        <f t="shared" si="18"/>
        <v/>
      </c>
      <c r="Z30" s="249" t="str">
        <f t="shared" si="11"/>
        <v/>
      </c>
      <c r="AA30" s="402" t="str">
        <f t="shared" si="26"/>
        <v/>
      </c>
      <c r="AB30" s="191" t="str">
        <f t="shared" si="24"/>
        <v/>
      </c>
      <c r="AC30" s="191" t="str">
        <f t="shared" si="24"/>
        <v/>
      </c>
      <c r="AD30" s="400" t="str">
        <f t="shared" si="12"/>
        <v/>
      </c>
      <c r="AF30" s="337" t="s">
        <v>670</v>
      </c>
      <c r="AG30" s="339">
        <f t="shared" si="20"/>
        <v>98066.5</v>
      </c>
      <c r="AH30" s="339">
        <f t="shared" si="4"/>
        <v>980.66500000000008</v>
      </c>
      <c r="AI30" s="339">
        <f t="shared" si="21"/>
        <v>98.066500000000005</v>
      </c>
      <c r="AJ30" s="339">
        <v>9.8066500000000001E-2</v>
      </c>
      <c r="AK30" s="339">
        <f t="shared" si="22"/>
        <v>98066.5</v>
      </c>
      <c r="AL30" s="339">
        <f t="shared" si="5"/>
        <v>980.66500000000008</v>
      </c>
      <c r="AM30" s="339">
        <f t="shared" si="23"/>
        <v>98.066500000000005</v>
      </c>
      <c r="AN30" s="339">
        <v>9.8066500000000001E-2</v>
      </c>
    </row>
    <row r="31" spans="2:40" s="179" customFormat="1" ht="15" customHeight="1">
      <c r="B31" s="186" t="b">
        <f>IF(Pressure_2_R1!Z26="",FALSE,TRUE)</f>
        <v>0</v>
      </c>
      <c r="C31" s="187">
        <v>23</v>
      </c>
      <c r="D31" s="514" t="str">
        <f>IF($B31=FALSE,"",표준압력!F26)</f>
        <v/>
      </c>
      <c r="E31" s="188" t="str">
        <f>IF($B31=FALSE,"",표준압력!H26)</f>
        <v/>
      </c>
      <c r="F31" s="188" t="str">
        <f>IF($B31=FALSE,"",Pressure_2_R1!Z26)</f>
        <v/>
      </c>
      <c r="G31" s="189" t="str">
        <f>IF($B31=FALSE,"",Pressure_2_R1!AA26)</f>
        <v/>
      </c>
      <c r="H31" s="268" t="str">
        <f>IF($B31=FALSE,"",Pressure_2_R1!AB26)</f>
        <v/>
      </c>
      <c r="I31" s="270" t="b">
        <f t="shared" si="13"/>
        <v>0</v>
      </c>
      <c r="J31" s="269" t="str">
        <f>IF($B31=FALSE,"",IF(Pressure_2_R1!D158="","기준기값없음",IF(Pressure_2_R1!L158="ok",Pressure_2_R1!D158,"파워선택안함")))</f>
        <v/>
      </c>
      <c r="K31" s="190" t="str">
        <f t="shared" si="6"/>
        <v/>
      </c>
      <c r="L31" s="191" t="str">
        <f t="shared" si="7"/>
        <v/>
      </c>
      <c r="M31" s="271" t="str">
        <f t="shared" si="8"/>
        <v/>
      </c>
      <c r="N31" s="188" t="str">
        <f t="shared" si="14"/>
        <v/>
      </c>
      <c r="O31" s="189" t="str">
        <f t="shared" si="15"/>
        <v/>
      </c>
      <c r="P31" s="189" t="str">
        <f t="shared" si="16"/>
        <v/>
      </c>
      <c r="Q31" s="272" t="str">
        <f t="shared" si="17"/>
        <v/>
      </c>
      <c r="R31" s="182"/>
      <c r="S31" s="192" t="b">
        <f t="shared" si="9"/>
        <v>0</v>
      </c>
      <c r="T31" s="398" t="s">
        <v>707</v>
      </c>
      <c r="U31" s="399">
        <v>8</v>
      </c>
      <c r="V31" s="192" t="str">
        <f t="shared" ca="1" si="25"/>
        <v/>
      </c>
      <c r="W31" s="192" t="str">
        <f t="shared" ca="1" si="10"/>
        <v/>
      </c>
      <c r="X31" s="192" t="str">
        <f t="shared" ca="1" si="10"/>
        <v/>
      </c>
      <c r="Y31" s="401" t="str">
        <f t="shared" si="18"/>
        <v/>
      </c>
      <c r="Z31" s="249" t="str">
        <f t="shared" si="11"/>
        <v/>
      </c>
      <c r="AA31" s="402" t="str">
        <f t="shared" si="26"/>
        <v/>
      </c>
      <c r="AB31" s="191" t="str">
        <f t="shared" si="24"/>
        <v/>
      </c>
      <c r="AC31" s="191" t="str">
        <f t="shared" si="24"/>
        <v/>
      </c>
      <c r="AD31" s="400" t="str">
        <f t="shared" si="12"/>
        <v/>
      </c>
      <c r="AF31" s="337" t="s">
        <v>669</v>
      </c>
      <c r="AG31" s="339">
        <f>AI31*1000</f>
        <v>101325</v>
      </c>
      <c r="AH31" s="339">
        <f>AI31*10</f>
        <v>1013.25</v>
      </c>
      <c r="AI31" s="339">
        <f>AJ31*1000</f>
        <v>101.325</v>
      </c>
      <c r="AJ31" s="339">
        <v>0.101325</v>
      </c>
      <c r="AK31" s="339">
        <f>AM31*1000</f>
        <v>101325</v>
      </c>
      <c r="AL31" s="339">
        <f>AM31*10</f>
        <v>1013.25</v>
      </c>
      <c r="AM31" s="339">
        <f>AN31*1000</f>
        <v>101.325</v>
      </c>
      <c r="AN31" s="339">
        <v>0.101325</v>
      </c>
    </row>
    <row r="32" spans="2:40" s="179" customFormat="1" ht="15" customHeight="1">
      <c r="B32" s="186" t="b">
        <f>IF(Pressure_2_R1!Z27="",FALSE,TRUE)</f>
        <v>0</v>
      </c>
      <c r="C32" s="187">
        <v>24</v>
      </c>
      <c r="D32" s="514" t="str">
        <f>IF($B32=FALSE,"",표준압력!F27)</f>
        <v/>
      </c>
      <c r="E32" s="188" t="str">
        <f>IF($B32=FALSE,"",표준압력!H27)</f>
        <v/>
      </c>
      <c r="F32" s="188" t="str">
        <f>IF($B32=FALSE,"",Pressure_2_R1!Z27)</f>
        <v/>
      </c>
      <c r="G32" s="189" t="str">
        <f>IF($B32=FALSE,"",Pressure_2_R1!AA27)</f>
        <v/>
      </c>
      <c r="H32" s="268" t="str">
        <f>IF($B32=FALSE,"",Pressure_2_R1!AB27)</f>
        <v/>
      </c>
      <c r="I32" s="270" t="b">
        <f t="shared" si="13"/>
        <v>0</v>
      </c>
      <c r="J32" s="269" t="str">
        <f>IF($B32=FALSE,"",IF(Pressure_2_R1!D159="","기준기값없음",IF(Pressure_2_R1!L159="ok",Pressure_2_R1!D159,"파워선택안함")))</f>
        <v/>
      </c>
      <c r="K32" s="190" t="str">
        <f t="shared" si="6"/>
        <v/>
      </c>
      <c r="L32" s="191" t="str">
        <f t="shared" si="7"/>
        <v/>
      </c>
      <c r="M32" s="271" t="str">
        <f t="shared" si="8"/>
        <v/>
      </c>
      <c r="N32" s="188" t="str">
        <f t="shared" si="14"/>
        <v/>
      </c>
      <c r="O32" s="189" t="str">
        <f t="shared" si="15"/>
        <v/>
      </c>
      <c r="P32" s="189" t="str">
        <f t="shared" si="16"/>
        <v/>
      </c>
      <c r="Q32" s="272" t="str">
        <f t="shared" si="17"/>
        <v/>
      </c>
      <c r="R32" s="182"/>
      <c r="S32" s="192" t="b">
        <f t="shared" si="9"/>
        <v>0</v>
      </c>
      <c r="T32" s="398" t="s">
        <v>707</v>
      </c>
      <c r="U32" s="399">
        <v>9</v>
      </c>
      <c r="V32" s="192" t="str">
        <f t="shared" ca="1" si="25"/>
        <v/>
      </c>
      <c r="W32" s="192" t="str">
        <f t="shared" ca="1" si="10"/>
        <v/>
      </c>
      <c r="X32" s="192" t="str">
        <f t="shared" ca="1" si="10"/>
        <v/>
      </c>
      <c r="Y32" s="401" t="str">
        <f t="shared" si="18"/>
        <v/>
      </c>
      <c r="Z32" s="249" t="str">
        <f t="shared" si="11"/>
        <v/>
      </c>
      <c r="AA32" s="402" t="str">
        <f t="shared" si="26"/>
        <v/>
      </c>
      <c r="AB32" s="191" t="str">
        <f t="shared" si="24"/>
        <v/>
      </c>
      <c r="AC32" s="191" t="str">
        <f t="shared" si="24"/>
        <v/>
      </c>
      <c r="AD32" s="400" t="str">
        <f t="shared" si="12"/>
        <v/>
      </c>
    </row>
    <row r="33" spans="2:30" s="179" customFormat="1" ht="15" customHeight="1">
      <c r="B33" s="186" t="b">
        <f>IF(Pressure_2_R1!Z28="",FALSE,TRUE)</f>
        <v>0</v>
      </c>
      <c r="C33" s="187">
        <v>25</v>
      </c>
      <c r="D33" s="514" t="str">
        <f>IF($B33=FALSE,"",표준압력!F28)</f>
        <v/>
      </c>
      <c r="E33" s="188" t="str">
        <f>IF($B33=FALSE,"",표준압력!H28)</f>
        <v/>
      </c>
      <c r="F33" s="188" t="str">
        <f>IF($B33=FALSE,"",Pressure_2_R1!Z28)</f>
        <v/>
      </c>
      <c r="G33" s="189" t="str">
        <f>IF($B33=FALSE,"",Pressure_2_R1!AA28)</f>
        <v/>
      </c>
      <c r="H33" s="268" t="str">
        <f>IF($B33=FALSE,"",Pressure_2_R1!AB28)</f>
        <v/>
      </c>
      <c r="I33" s="270" t="b">
        <f t="shared" si="13"/>
        <v>0</v>
      </c>
      <c r="J33" s="269" t="str">
        <f>IF($B33=FALSE,"",IF(Pressure_2_R1!D160="","기준기값없음",IF(Pressure_2_R1!L160="ok",Pressure_2_R1!D160,"파워선택안함")))</f>
        <v/>
      </c>
      <c r="K33" s="190" t="str">
        <f t="shared" si="6"/>
        <v/>
      </c>
      <c r="L33" s="191" t="str">
        <f t="shared" si="7"/>
        <v/>
      </c>
      <c r="M33" s="271" t="str">
        <f t="shared" si="8"/>
        <v/>
      </c>
      <c r="N33" s="188" t="str">
        <f t="shared" si="14"/>
        <v/>
      </c>
      <c r="O33" s="189" t="str">
        <f t="shared" si="15"/>
        <v/>
      </c>
      <c r="P33" s="189" t="str">
        <f t="shared" si="16"/>
        <v/>
      </c>
      <c r="Q33" s="272" t="str">
        <f t="shared" si="17"/>
        <v/>
      </c>
      <c r="R33" s="182"/>
      <c r="S33" s="192" t="b">
        <f t="shared" si="9"/>
        <v>0</v>
      </c>
      <c r="T33" s="398" t="s">
        <v>346</v>
      </c>
      <c r="U33" s="399">
        <v>10</v>
      </c>
      <c r="V33" s="192" t="str">
        <f t="shared" ca="1" si="25"/>
        <v/>
      </c>
      <c r="W33" s="192" t="str">
        <f t="shared" ca="1" si="10"/>
        <v/>
      </c>
      <c r="X33" s="192" t="str">
        <f t="shared" ca="1" si="10"/>
        <v/>
      </c>
      <c r="Y33" s="401" t="str">
        <f t="shared" si="18"/>
        <v/>
      </c>
      <c r="Z33" s="249" t="str">
        <f t="shared" si="11"/>
        <v/>
      </c>
      <c r="AA33" s="402" t="str">
        <f t="shared" si="26"/>
        <v/>
      </c>
      <c r="AB33" s="191" t="str">
        <f t="shared" si="24"/>
        <v/>
      </c>
      <c r="AC33" s="191" t="str">
        <f t="shared" si="24"/>
        <v/>
      </c>
      <c r="AD33" s="400" t="str">
        <f t="shared" si="12"/>
        <v/>
      </c>
    </row>
    <row r="34" spans="2:30" s="179" customFormat="1" ht="15" customHeight="1">
      <c r="B34" s="186" t="b">
        <f>IF(Pressure_2_R1!Z29="",FALSE,TRUE)</f>
        <v>0</v>
      </c>
      <c r="C34" s="187">
        <v>26</v>
      </c>
      <c r="D34" s="514" t="str">
        <f>IF($B34=FALSE,"",표준압력!F29)</f>
        <v/>
      </c>
      <c r="E34" s="188" t="str">
        <f>IF($B34=FALSE,"",표준압력!H29)</f>
        <v/>
      </c>
      <c r="F34" s="188" t="str">
        <f>IF($B34=FALSE,"",Pressure_2_R1!Z29)</f>
        <v/>
      </c>
      <c r="G34" s="189" t="str">
        <f>IF($B34=FALSE,"",Pressure_2_R1!AA29)</f>
        <v/>
      </c>
      <c r="H34" s="268" t="str">
        <f>IF($B34=FALSE,"",Pressure_2_R1!AB29)</f>
        <v/>
      </c>
      <c r="I34" s="270" t="b">
        <f t="shared" si="13"/>
        <v>0</v>
      </c>
      <c r="J34" s="269" t="str">
        <f>IF($B34=FALSE,"",IF(Pressure_2_R1!D161="","기준기값없음",IF(Pressure_2_R1!L161="ok",Pressure_2_R1!D161,"파워선택안함")))</f>
        <v/>
      </c>
      <c r="K34" s="190" t="str">
        <f t="shared" si="6"/>
        <v/>
      </c>
      <c r="L34" s="191" t="str">
        <f t="shared" si="7"/>
        <v/>
      </c>
      <c r="M34" s="271" t="str">
        <f t="shared" si="8"/>
        <v/>
      </c>
      <c r="N34" s="188" t="str">
        <f t="shared" si="14"/>
        <v/>
      </c>
      <c r="O34" s="189" t="str">
        <f t="shared" si="15"/>
        <v/>
      </c>
      <c r="P34" s="189" t="str">
        <f t="shared" si="16"/>
        <v/>
      </c>
      <c r="Q34" s="272" t="str">
        <f t="shared" si="17"/>
        <v/>
      </c>
      <c r="R34" s="182"/>
      <c r="S34" s="192" t="b">
        <f t="shared" si="9"/>
        <v>0</v>
      </c>
      <c r="T34" s="398" t="s">
        <v>346</v>
      </c>
      <c r="U34" s="399">
        <v>11</v>
      </c>
      <c r="V34" s="192" t="str">
        <f t="shared" ca="1" si="25"/>
        <v/>
      </c>
      <c r="W34" s="192" t="str">
        <f t="shared" ca="1" si="10"/>
        <v/>
      </c>
      <c r="X34" s="192" t="str">
        <f t="shared" ca="1" si="10"/>
        <v/>
      </c>
      <c r="Y34" s="401" t="str">
        <f t="shared" si="18"/>
        <v/>
      </c>
      <c r="Z34" s="249" t="str">
        <f t="shared" si="11"/>
        <v/>
      </c>
      <c r="AA34" s="402" t="str">
        <f t="shared" si="26"/>
        <v/>
      </c>
      <c r="AB34" s="191" t="str">
        <f t="shared" si="24"/>
        <v/>
      </c>
      <c r="AC34" s="191" t="str">
        <f t="shared" si="24"/>
        <v/>
      </c>
      <c r="AD34" s="400" t="str">
        <f t="shared" si="12"/>
        <v/>
      </c>
    </row>
    <row r="35" spans="2:30" s="179" customFormat="1" ht="15" customHeight="1">
      <c r="B35" s="186" t="b">
        <f>IF(Pressure_2_R1!Z30="",FALSE,TRUE)</f>
        <v>0</v>
      </c>
      <c r="C35" s="187">
        <v>27</v>
      </c>
      <c r="D35" s="514" t="str">
        <f>IF($B35=FALSE,"",표준압력!F30)</f>
        <v/>
      </c>
      <c r="E35" s="188" t="str">
        <f>IF($B35=FALSE,"",표준압력!H30)</f>
        <v/>
      </c>
      <c r="F35" s="188" t="str">
        <f>IF($B35=FALSE,"",Pressure_2_R1!Z30)</f>
        <v/>
      </c>
      <c r="G35" s="189" t="str">
        <f>IF($B35=FALSE,"",Pressure_2_R1!AA30)</f>
        <v/>
      </c>
      <c r="H35" s="268" t="str">
        <f>IF($B35=FALSE,"",Pressure_2_R1!AB30)</f>
        <v/>
      </c>
      <c r="I35" s="270" t="b">
        <f t="shared" si="13"/>
        <v>0</v>
      </c>
      <c r="J35" s="269" t="str">
        <f>IF($B35=FALSE,"",IF(Pressure_2_R1!D162="","기준기값없음",IF(Pressure_2_R1!L162="ok",Pressure_2_R1!D162,"파워선택안함")))</f>
        <v/>
      </c>
      <c r="K35" s="190" t="str">
        <f t="shared" si="6"/>
        <v/>
      </c>
      <c r="L35" s="191" t="str">
        <f t="shared" si="7"/>
        <v/>
      </c>
      <c r="M35" s="271" t="str">
        <f t="shared" si="8"/>
        <v/>
      </c>
      <c r="N35" s="188" t="str">
        <f t="shared" si="14"/>
        <v/>
      </c>
      <c r="O35" s="189" t="str">
        <f t="shared" si="15"/>
        <v/>
      </c>
      <c r="P35" s="189" t="str">
        <f t="shared" si="16"/>
        <v/>
      </c>
      <c r="Q35" s="272" t="str">
        <f t="shared" si="17"/>
        <v/>
      </c>
      <c r="R35" s="182"/>
      <c r="S35" s="192" t="b">
        <f t="shared" si="9"/>
        <v>0</v>
      </c>
      <c r="T35" s="398" t="s">
        <v>346</v>
      </c>
      <c r="U35" s="399">
        <v>12</v>
      </c>
      <c r="V35" s="192" t="str">
        <f t="shared" ca="1" si="25"/>
        <v/>
      </c>
      <c r="W35" s="192" t="str">
        <f t="shared" ca="1" si="10"/>
        <v/>
      </c>
      <c r="X35" s="192" t="str">
        <f t="shared" ca="1" si="10"/>
        <v/>
      </c>
      <c r="Y35" s="401" t="str">
        <f t="shared" si="18"/>
        <v/>
      </c>
      <c r="Z35" s="249" t="str">
        <f t="shared" si="11"/>
        <v/>
      </c>
      <c r="AA35" s="402" t="str">
        <f t="shared" si="26"/>
        <v/>
      </c>
      <c r="AB35" s="191" t="str">
        <f t="shared" si="24"/>
        <v/>
      </c>
      <c r="AC35" s="191" t="str">
        <f t="shared" si="24"/>
        <v/>
      </c>
      <c r="AD35" s="400" t="str">
        <f t="shared" si="12"/>
        <v/>
      </c>
    </row>
    <row r="36" spans="2:30" s="179" customFormat="1" ht="15" customHeight="1">
      <c r="B36" s="186" t="b">
        <f>IF(Pressure_2_R1!Z31="",FALSE,TRUE)</f>
        <v>0</v>
      </c>
      <c r="C36" s="187">
        <v>28</v>
      </c>
      <c r="D36" s="514" t="str">
        <f>IF($B36=FALSE,"",표준압력!F31)</f>
        <v/>
      </c>
      <c r="E36" s="188" t="str">
        <f>IF($B36=FALSE,"",표준압력!H31)</f>
        <v/>
      </c>
      <c r="F36" s="188" t="str">
        <f>IF($B36=FALSE,"",Pressure_2_R1!Z31)</f>
        <v/>
      </c>
      <c r="G36" s="189" t="str">
        <f>IF($B36=FALSE,"",Pressure_2_R1!AA31)</f>
        <v/>
      </c>
      <c r="H36" s="268" t="str">
        <f>IF($B36=FALSE,"",Pressure_2_R1!AB31)</f>
        <v/>
      </c>
      <c r="I36" s="270" t="b">
        <f t="shared" si="13"/>
        <v>0</v>
      </c>
      <c r="J36" s="269" t="str">
        <f>IF($B36=FALSE,"",IF(Pressure_2_R1!D163="","기준기값없음",IF(Pressure_2_R1!L163="ok",Pressure_2_R1!D163,"파워선택안함")))</f>
        <v/>
      </c>
      <c r="K36" s="190" t="str">
        <f t="shared" si="6"/>
        <v/>
      </c>
      <c r="L36" s="191" t="str">
        <f t="shared" si="7"/>
        <v/>
      </c>
      <c r="M36" s="271" t="str">
        <f t="shared" si="8"/>
        <v/>
      </c>
      <c r="N36" s="188" t="str">
        <f t="shared" si="14"/>
        <v/>
      </c>
      <c r="O36" s="189" t="str">
        <f t="shared" si="15"/>
        <v/>
      </c>
      <c r="P36" s="189" t="str">
        <f t="shared" si="16"/>
        <v/>
      </c>
      <c r="Q36" s="272" t="str">
        <f t="shared" si="17"/>
        <v/>
      </c>
      <c r="R36" s="182"/>
      <c r="S36" s="192" t="b">
        <f t="shared" si="9"/>
        <v>0</v>
      </c>
      <c r="T36" s="398" t="s">
        <v>707</v>
      </c>
      <c r="U36" s="399">
        <v>13</v>
      </c>
      <c r="V36" s="192" t="str">
        <f t="shared" ca="1" si="25"/>
        <v/>
      </c>
      <c r="W36" s="192" t="str">
        <f t="shared" ca="1" si="10"/>
        <v/>
      </c>
      <c r="X36" s="192" t="str">
        <f t="shared" ca="1" si="10"/>
        <v/>
      </c>
      <c r="Y36" s="401" t="str">
        <f t="shared" si="18"/>
        <v/>
      </c>
      <c r="Z36" s="249" t="str">
        <f t="shared" si="11"/>
        <v/>
      </c>
      <c r="AA36" s="402" t="str">
        <f t="shared" si="26"/>
        <v/>
      </c>
      <c r="AB36" s="191" t="str">
        <f t="shared" si="24"/>
        <v/>
      </c>
      <c r="AC36" s="191" t="str">
        <f t="shared" si="24"/>
        <v/>
      </c>
      <c r="AD36" s="400" t="str">
        <f t="shared" si="12"/>
        <v/>
      </c>
    </row>
    <row r="37" spans="2:30" s="179" customFormat="1" ht="15" customHeight="1">
      <c r="B37" s="186" t="b">
        <f>IF(Pressure_2_R1!Z32="",FALSE,TRUE)</f>
        <v>0</v>
      </c>
      <c r="C37" s="187">
        <v>29</v>
      </c>
      <c r="D37" s="514" t="str">
        <f>IF($B37=FALSE,"",표준압력!F32)</f>
        <v/>
      </c>
      <c r="E37" s="188" t="str">
        <f>IF($B37=FALSE,"",표준압력!H32)</f>
        <v/>
      </c>
      <c r="F37" s="188" t="str">
        <f>IF($B37=FALSE,"",Pressure_2_R1!Z32)</f>
        <v/>
      </c>
      <c r="G37" s="189" t="str">
        <f>IF($B37=FALSE,"",Pressure_2_R1!AA32)</f>
        <v/>
      </c>
      <c r="H37" s="268" t="str">
        <f>IF($B37=FALSE,"",Pressure_2_R1!AB32)</f>
        <v/>
      </c>
      <c r="I37" s="270" t="b">
        <f t="shared" si="13"/>
        <v>0</v>
      </c>
      <c r="J37" s="269" t="str">
        <f>IF($B37=FALSE,"",IF(Pressure_2_R1!D164="","기준기값없음",IF(Pressure_2_R1!L164="ok",Pressure_2_R1!D164,"파워선택안함")))</f>
        <v/>
      </c>
      <c r="K37" s="190" t="str">
        <f t="shared" si="6"/>
        <v/>
      </c>
      <c r="L37" s="191" t="str">
        <f t="shared" si="7"/>
        <v/>
      </c>
      <c r="M37" s="271" t="str">
        <f t="shared" si="8"/>
        <v/>
      </c>
      <c r="N37" s="188" t="str">
        <f t="shared" si="14"/>
        <v/>
      </c>
      <c r="O37" s="189" t="str">
        <f t="shared" si="15"/>
        <v/>
      </c>
      <c r="P37" s="189" t="str">
        <f t="shared" si="16"/>
        <v/>
      </c>
      <c r="Q37" s="272" t="str">
        <f t="shared" si="17"/>
        <v/>
      </c>
      <c r="R37" s="182"/>
      <c r="S37" s="192" t="b">
        <f t="shared" si="9"/>
        <v>0</v>
      </c>
      <c r="T37" s="398" t="s">
        <v>710</v>
      </c>
      <c r="U37" s="399">
        <v>14</v>
      </c>
      <c r="V37" s="192" t="str">
        <f t="shared" ca="1" si="25"/>
        <v/>
      </c>
      <c r="W37" s="192" t="str">
        <f t="shared" ca="1" si="10"/>
        <v/>
      </c>
      <c r="X37" s="192" t="str">
        <f t="shared" ca="1" si="10"/>
        <v/>
      </c>
      <c r="Y37" s="401" t="str">
        <f t="shared" si="18"/>
        <v/>
      </c>
      <c r="Z37" s="249" t="str">
        <f t="shared" si="11"/>
        <v/>
      </c>
      <c r="AA37" s="402" t="str">
        <f t="shared" si="26"/>
        <v/>
      </c>
      <c r="AB37" s="191" t="str">
        <f t="shared" si="24"/>
        <v/>
      </c>
      <c r="AC37" s="191" t="str">
        <f t="shared" si="24"/>
        <v/>
      </c>
      <c r="AD37" s="400" t="str">
        <f t="shared" si="12"/>
        <v/>
      </c>
    </row>
    <row r="38" spans="2:30" s="179" customFormat="1" ht="15" customHeight="1">
      <c r="B38" s="186" t="b">
        <f>IF(Pressure_2_R1!Z33="",FALSE,TRUE)</f>
        <v>0</v>
      </c>
      <c r="C38" s="187">
        <v>30</v>
      </c>
      <c r="D38" s="514" t="str">
        <f>IF($B38=FALSE,"",표준압력!F33)</f>
        <v/>
      </c>
      <c r="E38" s="188" t="str">
        <f>IF($B38=FALSE,"",표준압력!H33)</f>
        <v/>
      </c>
      <c r="F38" s="188" t="str">
        <f>IF($B38=FALSE,"",Pressure_2_R1!Z33)</f>
        <v/>
      </c>
      <c r="G38" s="189" t="str">
        <f>IF($B38=FALSE,"",Pressure_2_R1!AA33)</f>
        <v/>
      </c>
      <c r="H38" s="268" t="str">
        <f>IF($B38=FALSE,"",Pressure_2_R1!AB33)</f>
        <v/>
      </c>
      <c r="I38" s="270" t="b">
        <f t="shared" si="13"/>
        <v>0</v>
      </c>
      <c r="J38" s="269" t="str">
        <f>IF($B38=FALSE,"",IF(Pressure_2_R1!D165="","기준기값없음",IF(Pressure_2_R1!L165="ok",Pressure_2_R1!D165,"파워선택안함")))</f>
        <v/>
      </c>
      <c r="K38" s="190" t="str">
        <f t="shared" si="6"/>
        <v/>
      </c>
      <c r="L38" s="191" t="str">
        <f t="shared" si="7"/>
        <v/>
      </c>
      <c r="M38" s="271" t="str">
        <f t="shared" si="8"/>
        <v/>
      </c>
      <c r="N38" s="188" t="str">
        <f t="shared" si="14"/>
        <v/>
      </c>
      <c r="O38" s="189" t="str">
        <f t="shared" si="15"/>
        <v/>
      </c>
      <c r="P38" s="189" t="str">
        <f t="shared" si="16"/>
        <v/>
      </c>
      <c r="Q38" s="272" t="str">
        <f t="shared" si="17"/>
        <v/>
      </c>
      <c r="R38" s="182"/>
      <c r="S38" s="192" t="b">
        <f t="shared" si="9"/>
        <v>0</v>
      </c>
      <c r="T38" s="398" t="s">
        <v>710</v>
      </c>
      <c r="U38" s="399">
        <v>15</v>
      </c>
      <c r="V38" s="192" t="str">
        <f t="shared" ca="1" si="25"/>
        <v/>
      </c>
      <c r="W38" s="192" t="str">
        <f t="shared" ca="1" si="10"/>
        <v/>
      </c>
      <c r="X38" s="192" t="str">
        <f t="shared" ca="1" si="10"/>
        <v/>
      </c>
      <c r="Y38" s="401" t="str">
        <f t="shared" si="18"/>
        <v/>
      </c>
      <c r="Z38" s="249" t="str">
        <f t="shared" si="11"/>
        <v/>
      </c>
      <c r="AA38" s="402" t="str">
        <f t="shared" si="26"/>
        <v/>
      </c>
      <c r="AB38" s="191" t="str">
        <f t="shared" si="24"/>
        <v/>
      </c>
      <c r="AC38" s="191" t="str">
        <f t="shared" si="24"/>
        <v/>
      </c>
      <c r="AD38" s="400" t="str">
        <f t="shared" si="12"/>
        <v/>
      </c>
    </row>
    <row r="39" spans="2:30" ht="15" customHeight="1">
      <c r="B39" s="178"/>
      <c r="C39" s="178"/>
      <c r="D39" s="178"/>
      <c r="E39" s="179"/>
      <c r="F39" s="179"/>
      <c r="G39" s="179"/>
      <c r="H39" s="179"/>
      <c r="I39" s="179"/>
      <c r="J39" s="179"/>
      <c r="K39" s="179"/>
      <c r="L39" s="179"/>
      <c r="M39" s="179"/>
      <c r="N39" s="179"/>
      <c r="O39" s="179"/>
      <c r="P39" s="179"/>
      <c r="Q39" s="179"/>
      <c r="R39" s="179"/>
      <c r="S39" s="179"/>
      <c r="T39" s="179"/>
    </row>
    <row r="40" spans="2:30" ht="15" customHeight="1">
      <c r="B40" s="184" t="s">
        <v>347</v>
      </c>
      <c r="C40" s="178"/>
      <c r="D40" s="178"/>
      <c r="E40" s="185"/>
      <c r="F40" s="185"/>
      <c r="G40" s="185"/>
      <c r="H40" s="185"/>
      <c r="I40" s="185"/>
      <c r="J40" s="185"/>
      <c r="K40" s="185"/>
      <c r="L40" s="185"/>
      <c r="M40" s="185"/>
      <c r="N40" s="185"/>
      <c r="O40" s="185"/>
      <c r="P40" s="185"/>
      <c r="Q40" s="185"/>
      <c r="R40" s="185"/>
      <c r="S40" s="185"/>
      <c r="U40" s="193"/>
    </row>
    <row r="41" spans="2:30" ht="15" customHeight="1">
      <c r="B41" s="922" t="s">
        <v>525</v>
      </c>
      <c r="C41" s="925" t="s">
        <v>182</v>
      </c>
      <c r="D41" s="925" t="s">
        <v>527</v>
      </c>
      <c r="E41" s="928" t="s">
        <v>528</v>
      </c>
      <c r="F41" s="918" t="s">
        <v>751</v>
      </c>
      <c r="G41" s="918" t="s">
        <v>529</v>
      </c>
      <c r="H41" s="901" t="s">
        <v>530</v>
      </c>
      <c r="I41" s="920"/>
      <c r="J41" s="920"/>
      <c r="K41" s="920"/>
      <c r="L41" s="902"/>
      <c r="M41" s="918" t="s">
        <v>348</v>
      </c>
      <c r="N41" s="901" t="s">
        <v>365</v>
      </c>
      <c r="O41" s="920"/>
      <c r="P41" s="920"/>
      <c r="Q41" s="920"/>
      <c r="R41" s="902"/>
      <c r="S41" s="918" t="s">
        <v>349</v>
      </c>
      <c r="T41" s="942" t="s">
        <v>531</v>
      </c>
      <c r="U41" s="943"/>
      <c r="V41" s="943"/>
      <c r="W41" s="943"/>
      <c r="X41" s="944"/>
      <c r="Y41" s="918" t="s">
        <v>350</v>
      </c>
    </row>
    <row r="42" spans="2:30" ht="15" customHeight="1">
      <c r="B42" s="923"/>
      <c r="C42" s="926"/>
      <c r="D42" s="926"/>
      <c r="E42" s="929"/>
      <c r="F42" s="931"/>
      <c r="G42" s="933"/>
      <c r="H42" s="238" t="s">
        <v>433</v>
      </c>
      <c r="I42" s="238" t="s">
        <v>433</v>
      </c>
      <c r="J42" s="238" t="s">
        <v>121</v>
      </c>
      <c r="K42" s="238" t="s">
        <v>70</v>
      </c>
      <c r="L42" s="238" t="s">
        <v>366</v>
      </c>
      <c r="M42" s="933"/>
      <c r="N42" s="918" t="s">
        <v>367</v>
      </c>
      <c r="O42" s="918" t="s">
        <v>351</v>
      </c>
      <c r="P42" s="918" t="s">
        <v>366</v>
      </c>
      <c r="Q42" s="918" t="s">
        <v>70</v>
      </c>
      <c r="R42" s="918" t="s">
        <v>534</v>
      </c>
      <c r="S42" s="933"/>
      <c r="T42" s="915" t="s">
        <v>535</v>
      </c>
      <c r="U42" s="915" t="s">
        <v>51</v>
      </c>
      <c r="V42" s="915" t="s">
        <v>352</v>
      </c>
      <c r="W42" s="915" t="s">
        <v>353</v>
      </c>
      <c r="X42" s="915" t="s">
        <v>354</v>
      </c>
      <c r="Y42" s="933"/>
    </row>
    <row r="43" spans="2:30" ht="15" customHeight="1">
      <c r="B43" s="923"/>
      <c r="C43" s="927"/>
      <c r="D43" s="927"/>
      <c r="E43" s="930"/>
      <c r="F43" s="919"/>
      <c r="G43" s="919"/>
      <c r="H43" s="238" t="s">
        <v>536</v>
      </c>
      <c r="I43" s="238" t="s">
        <v>537</v>
      </c>
      <c r="J43" s="238" t="s">
        <v>538</v>
      </c>
      <c r="K43" s="238" t="s">
        <v>539</v>
      </c>
      <c r="L43" s="238" t="s">
        <v>355</v>
      </c>
      <c r="M43" s="919"/>
      <c r="N43" s="919"/>
      <c r="O43" s="919"/>
      <c r="P43" s="919"/>
      <c r="Q43" s="919"/>
      <c r="R43" s="919"/>
      <c r="S43" s="919"/>
      <c r="T43" s="917"/>
      <c r="U43" s="917"/>
      <c r="V43" s="917"/>
      <c r="W43" s="917"/>
      <c r="X43" s="917"/>
      <c r="Y43" s="933"/>
    </row>
    <row r="44" spans="2:30" ht="15" customHeight="1">
      <c r="B44" s="924"/>
      <c r="C44" s="383">
        <f>D8</f>
        <v>0</v>
      </c>
      <c r="D44" s="383">
        <f>E8</f>
        <v>0</v>
      </c>
      <c r="E44" s="380">
        <f>D44</f>
        <v>0</v>
      </c>
      <c r="F44" s="410">
        <f>E44</f>
        <v>0</v>
      </c>
      <c r="G44" s="380">
        <f>F8</f>
        <v>0</v>
      </c>
      <c r="H44" s="380">
        <f>Y8</f>
        <v>0</v>
      </c>
      <c r="I44" s="380">
        <f>Z8</f>
        <v>0</v>
      </c>
      <c r="J44" s="380">
        <f>I44</f>
        <v>0</v>
      </c>
      <c r="K44" s="380">
        <f>H44</f>
        <v>0</v>
      </c>
      <c r="L44" s="380">
        <f>K44</f>
        <v>0</v>
      </c>
      <c r="M44" s="380">
        <f>E44</f>
        <v>0</v>
      </c>
      <c r="N44" s="380">
        <f t="shared" ref="N44:S44" si="27">M44</f>
        <v>0</v>
      </c>
      <c r="O44" s="380">
        <f>N44</f>
        <v>0</v>
      </c>
      <c r="P44" s="380">
        <f t="shared" si="27"/>
        <v>0</v>
      </c>
      <c r="Q44" s="380">
        <f t="shared" si="27"/>
        <v>0</v>
      </c>
      <c r="R44" s="380">
        <f t="shared" si="27"/>
        <v>0</v>
      </c>
      <c r="S44" s="380">
        <f t="shared" si="27"/>
        <v>0</v>
      </c>
      <c r="T44" s="380">
        <f>S44</f>
        <v>0</v>
      </c>
      <c r="U44" s="380">
        <f>X44</f>
        <v>0</v>
      </c>
      <c r="V44" s="380">
        <f>U44</f>
        <v>0</v>
      </c>
      <c r="W44" s="380"/>
      <c r="X44" s="380">
        <f>T44</f>
        <v>0</v>
      </c>
      <c r="Y44" s="919"/>
    </row>
    <row r="45" spans="2:30" ht="15" customHeight="1">
      <c r="B45" s="194">
        <f>C9</f>
        <v>1</v>
      </c>
      <c r="C45" s="194" t="str">
        <f t="shared" ref="C45:D59" si="28">IF($S9=FALSE,"",D9)</f>
        <v/>
      </c>
      <c r="D45" s="192" t="str">
        <f t="shared" si="28"/>
        <v/>
      </c>
      <c r="E45" s="192" t="e">
        <f ca="1">IF($N9=FALSE,"",표준압력!W4)</f>
        <v>#VALUE!</v>
      </c>
      <c r="F45" s="192" t="e">
        <f ca="1">IF($N9=FALSE,"",표준압력!Z4)</f>
        <v>#VALUE!</v>
      </c>
      <c r="G45" s="192" t="str">
        <f>IF($S9=FALSE,"",Pressure_2_R1!F136/2)</f>
        <v/>
      </c>
      <c r="H45" s="194" t="str">
        <f t="shared" ref="H45:H59" si="29">IF($S9=FALSE,"",ROUND(AVERAGE(Y9,Y24),I$3))</f>
        <v/>
      </c>
      <c r="I45" s="192" t="str">
        <f t="shared" ref="I45:I59" si="30">IF($S9=FALSE,"",ROUND(AVERAGE(Z9,Z24),N$64))</f>
        <v/>
      </c>
      <c r="J45" s="192" t="str">
        <f t="shared" ref="J45:J59" si="31">IF($S9=FALSE,"",ROUND(D45,N$64)-I45)</f>
        <v/>
      </c>
      <c r="K45" s="192" t="str">
        <f t="shared" ref="K45:K59" si="32">IF($S9=FALSE,"",((V24-V9)+(W24-W9)+(X24-X9))/3)</f>
        <v/>
      </c>
      <c r="L45" s="192" t="str">
        <f t="shared" ref="L45:L59" si="33">IF($S9=FALSE,"",MAX(AD9,AD24))</f>
        <v/>
      </c>
      <c r="M45" s="192" t="e">
        <f ca="1">IF($N9=FALSE,"",SQRT(SUMSQ(E45/2,F45)))</f>
        <v>#VALUE!</v>
      </c>
      <c r="N45" s="192" t="str">
        <f t="shared" ref="N45:N59" si="34">IF($S9=FALSE,"",G45*Q$7)</f>
        <v/>
      </c>
      <c r="O45" s="192" t="str">
        <f t="shared" ref="O45:O59" si="35">IF($S9=FALSE,"",MAX(ABS(V$24-V$9),ABS(W$24-W$9),ABS(X$24-X$9))/2/SQRT(3)*Q$7)</f>
        <v/>
      </c>
      <c r="P45" s="192" t="str">
        <f t="shared" ref="P45:P59" si="36">IF($S9=FALSE,"",IF(L45=0,MAX(L$45:L$59),L45)/2/SQRT(3)*Q$7)</f>
        <v/>
      </c>
      <c r="Q45" s="192" t="str">
        <f t="shared" ref="Q45:Q59" si="37">IF($S9=FALSE,"",K45/2/SQRT(3)*Q$7)</f>
        <v/>
      </c>
      <c r="R45" s="192" t="str">
        <f t="shared" ref="R45:R59" si="38">IF($S9=FALSE,"",SQRT(SUMSQ(N45:Q45)))</f>
        <v/>
      </c>
      <c r="S45" s="192" t="str">
        <f t="shared" ref="S45:S59" si="39">IF($S9=FALSE,"",SQRT(SUMSQ(M45,R45)))</f>
        <v/>
      </c>
      <c r="T45" s="192" t="str">
        <f t="shared" ref="T45:T59" si="40">IF($S9=FALSE,"",S45*2)</f>
        <v/>
      </c>
      <c r="U45" s="239" t="str">
        <f>IF($S9=FALSE,"",Pressure_2_R1!L4*C45)</f>
        <v/>
      </c>
      <c r="V45" s="239" t="str">
        <f>IF($S9=FALSE,"",MAX(T45:U45))</f>
        <v/>
      </c>
      <c r="W45" s="239" t="str">
        <f t="shared" ref="W45:W59" si="41">IF($S9=FALSE,"",IF(((V45-ROUND(V45,N$64))/V45*100)&gt;=5,TRUE,FALSE))</f>
        <v/>
      </c>
      <c r="X45" s="239" t="str">
        <f t="shared" ref="X45:X59" si="42">IF($S9=FALSE,"",IF(ROUND(V45,N$64)=0,ROUNDUP(V45,N$64),IF(W45=TRUE,ROUNDUP(V45,N$64),ROUND(V45,N$64))))</f>
        <v/>
      </c>
      <c r="Y45" s="240" t="str">
        <f t="shared" ref="Y45:Y59" si="43">IF($S9=FALSE,"",IF(T45=V45,0,1))</f>
        <v/>
      </c>
    </row>
    <row r="46" spans="2:30" ht="15" customHeight="1">
      <c r="B46" s="194">
        <f>C10</f>
        <v>2</v>
      </c>
      <c r="C46" s="194" t="str">
        <f t="shared" si="28"/>
        <v/>
      </c>
      <c r="D46" s="192" t="str">
        <f t="shared" si="28"/>
        <v/>
      </c>
      <c r="E46" s="192" t="e">
        <f ca="1">IF($N10=FALSE,"",표준압력!W5)</f>
        <v>#VALUE!</v>
      </c>
      <c r="F46" s="192" t="e">
        <f ca="1">IF($N10=FALSE,"",표준압력!Z5)</f>
        <v>#VALUE!</v>
      </c>
      <c r="G46" s="192" t="str">
        <f>IF($S10=FALSE,"",Pressure_2_R1!F137/2)</f>
        <v/>
      </c>
      <c r="H46" s="194" t="str">
        <f t="shared" si="29"/>
        <v/>
      </c>
      <c r="I46" s="192" t="str">
        <f t="shared" si="30"/>
        <v/>
      </c>
      <c r="J46" s="192" t="str">
        <f t="shared" si="31"/>
        <v/>
      </c>
      <c r="K46" s="192" t="str">
        <f t="shared" si="32"/>
        <v/>
      </c>
      <c r="L46" s="192" t="str">
        <f t="shared" si="33"/>
        <v/>
      </c>
      <c r="M46" s="192" t="e">
        <f t="shared" ref="M46:M59" ca="1" si="44">IF($N10=FALSE,"",SQRT(SUMSQ(E46/2,F46)))</f>
        <v>#VALUE!</v>
      </c>
      <c r="N46" s="192" t="str">
        <f t="shared" si="34"/>
        <v/>
      </c>
      <c r="O46" s="192" t="str">
        <f t="shared" si="35"/>
        <v/>
      </c>
      <c r="P46" s="192" t="str">
        <f t="shared" si="36"/>
        <v/>
      </c>
      <c r="Q46" s="192" t="str">
        <f t="shared" si="37"/>
        <v/>
      </c>
      <c r="R46" s="192" t="str">
        <f t="shared" si="38"/>
        <v/>
      </c>
      <c r="S46" s="192" t="str">
        <f t="shared" si="39"/>
        <v/>
      </c>
      <c r="T46" s="192" t="str">
        <f t="shared" si="40"/>
        <v/>
      </c>
      <c r="U46" s="239" t="str">
        <f>IF($S10=FALSE,"",Pressure_2_R1!L5*C46)</f>
        <v/>
      </c>
      <c r="V46" s="239" t="str">
        <f t="shared" ref="V46:V59" si="45">IF($S10=FALSE,"",MAX(T46:U46))</f>
        <v/>
      </c>
      <c r="W46" s="239" t="str">
        <f t="shared" si="41"/>
        <v/>
      </c>
      <c r="X46" s="239" t="str">
        <f t="shared" si="42"/>
        <v/>
      </c>
      <c r="Y46" s="240" t="str">
        <f t="shared" si="43"/>
        <v/>
      </c>
    </row>
    <row r="47" spans="2:30" ht="15" customHeight="1">
      <c r="B47" s="194">
        <f t="shared" ref="B47:B59" si="46">C11</f>
        <v>3</v>
      </c>
      <c r="C47" s="194" t="str">
        <f t="shared" si="28"/>
        <v/>
      </c>
      <c r="D47" s="192" t="str">
        <f t="shared" si="28"/>
        <v/>
      </c>
      <c r="E47" s="192" t="e">
        <f ca="1">IF($N11=FALSE,"",표준압력!W6)</f>
        <v>#VALUE!</v>
      </c>
      <c r="F47" s="192" t="e">
        <f ca="1">IF($N11=FALSE,"",표준압력!Z6)</f>
        <v>#VALUE!</v>
      </c>
      <c r="G47" s="192" t="str">
        <f>IF($S11=FALSE,"",Pressure_2_R1!F138/2)</f>
        <v/>
      </c>
      <c r="H47" s="194" t="str">
        <f t="shared" si="29"/>
        <v/>
      </c>
      <c r="I47" s="192" t="str">
        <f t="shared" si="30"/>
        <v/>
      </c>
      <c r="J47" s="192" t="str">
        <f t="shared" si="31"/>
        <v/>
      </c>
      <c r="K47" s="192" t="str">
        <f t="shared" si="32"/>
        <v/>
      </c>
      <c r="L47" s="192" t="str">
        <f t="shared" si="33"/>
        <v/>
      </c>
      <c r="M47" s="192" t="e">
        <f t="shared" ca="1" si="44"/>
        <v>#VALUE!</v>
      </c>
      <c r="N47" s="192" t="str">
        <f t="shared" si="34"/>
        <v/>
      </c>
      <c r="O47" s="192" t="str">
        <f t="shared" si="35"/>
        <v/>
      </c>
      <c r="P47" s="192" t="str">
        <f t="shared" si="36"/>
        <v/>
      </c>
      <c r="Q47" s="192" t="str">
        <f t="shared" si="37"/>
        <v/>
      </c>
      <c r="R47" s="192" t="str">
        <f t="shared" si="38"/>
        <v/>
      </c>
      <c r="S47" s="192" t="str">
        <f t="shared" si="39"/>
        <v/>
      </c>
      <c r="T47" s="192" t="str">
        <f t="shared" si="40"/>
        <v/>
      </c>
      <c r="U47" s="239" t="str">
        <f>IF($S11=FALSE,"",Pressure_2_R1!L6*C47)</f>
        <v/>
      </c>
      <c r="V47" s="239" t="str">
        <f t="shared" si="45"/>
        <v/>
      </c>
      <c r="W47" s="239" t="str">
        <f t="shared" si="41"/>
        <v/>
      </c>
      <c r="X47" s="239" t="str">
        <f t="shared" si="42"/>
        <v/>
      </c>
      <c r="Y47" s="240" t="str">
        <f t="shared" si="43"/>
        <v/>
      </c>
    </row>
    <row r="48" spans="2:30" ht="15" customHeight="1">
      <c r="B48" s="194">
        <f t="shared" si="46"/>
        <v>4</v>
      </c>
      <c r="C48" s="194" t="str">
        <f t="shared" si="28"/>
        <v/>
      </c>
      <c r="D48" s="192" t="str">
        <f t="shared" si="28"/>
        <v/>
      </c>
      <c r="E48" s="192" t="e">
        <f ca="1">IF($N12=FALSE,"",표준압력!W7)</f>
        <v>#VALUE!</v>
      </c>
      <c r="F48" s="192" t="e">
        <f ca="1">IF($N12=FALSE,"",표준압력!Z7)</f>
        <v>#VALUE!</v>
      </c>
      <c r="G48" s="192" t="str">
        <f>IF($S12=FALSE,"",Pressure_2_R1!F139/2)</f>
        <v/>
      </c>
      <c r="H48" s="194" t="str">
        <f t="shared" si="29"/>
        <v/>
      </c>
      <c r="I48" s="192" t="str">
        <f t="shared" si="30"/>
        <v/>
      </c>
      <c r="J48" s="192" t="str">
        <f t="shared" si="31"/>
        <v/>
      </c>
      <c r="K48" s="192" t="str">
        <f t="shared" si="32"/>
        <v/>
      </c>
      <c r="L48" s="192" t="str">
        <f t="shared" si="33"/>
        <v/>
      </c>
      <c r="M48" s="192" t="e">
        <f t="shared" ca="1" si="44"/>
        <v>#VALUE!</v>
      </c>
      <c r="N48" s="192" t="str">
        <f t="shared" si="34"/>
        <v/>
      </c>
      <c r="O48" s="192" t="str">
        <f t="shared" si="35"/>
        <v/>
      </c>
      <c r="P48" s="192" t="str">
        <f t="shared" si="36"/>
        <v/>
      </c>
      <c r="Q48" s="192" t="str">
        <f t="shared" si="37"/>
        <v/>
      </c>
      <c r="R48" s="192" t="str">
        <f t="shared" si="38"/>
        <v/>
      </c>
      <c r="S48" s="192" t="str">
        <f t="shared" si="39"/>
        <v/>
      </c>
      <c r="T48" s="192" t="str">
        <f t="shared" si="40"/>
        <v/>
      </c>
      <c r="U48" s="239" t="str">
        <f>IF($S12=FALSE,"",Pressure_2_R1!L7*C48)</f>
        <v/>
      </c>
      <c r="V48" s="239" t="str">
        <f t="shared" si="45"/>
        <v/>
      </c>
      <c r="W48" s="239" t="str">
        <f t="shared" si="41"/>
        <v/>
      </c>
      <c r="X48" s="239" t="str">
        <f t="shared" si="42"/>
        <v/>
      </c>
      <c r="Y48" s="240" t="str">
        <f t="shared" si="43"/>
        <v/>
      </c>
    </row>
    <row r="49" spans="2:25" ht="15" customHeight="1">
      <c r="B49" s="194">
        <f t="shared" si="46"/>
        <v>5</v>
      </c>
      <c r="C49" s="194" t="str">
        <f t="shared" si="28"/>
        <v/>
      </c>
      <c r="D49" s="192" t="str">
        <f t="shared" si="28"/>
        <v/>
      </c>
      <c r="E49" s="192" t="e">
        <f ca="1">IF($N13=FALSE,"",표준압력!W8)</f>
        <v>#VALUE!</v>
      </c>
      <c r="F49" s="192" t="e">
        <f ca="1">IF($N13=FALSE,"",표준압력!Z8)</f>
        <v>#VALUE!</v>
      </c>
      <c r="G49" s="192" t="str">
        <f>IF($S13=FALSE,"",Pressure_2_R1!F140/2)</f>
        <v/>
      </c>
      <c r="H49" s="194" t="str">
        <f t="shared" si="29"/>
        <v/>
      </c>
      <c r="I49" s="192" t="str">
        <f t="shared" si="30"/>
        <v/>
      </c>
      <c r="J49" s="192" t="str">
        <f t="shared" si="31"/>
        <v/>
      </c>
      <c r="K49" s="192" t="str">
        <f t="shared" si="32"/>
        <v/>
      </c>
      <c r="L49" s="192" t="str">
        <f t="shared" si="33"/>
        <v/>
      </c>
      <c r="M49" s="192" t="e">
        <f t="shared" ca="1" si="44"/>
        <v>#VALUE!</v>
      </c>
      <c r="N49" s="192" t="str">
        <f t="shared" si="34"/>
        <v/>
      </c>
      <c r="O49" s="192" t="str">
        <f t="shared" si="35"/>
        <v/>
      </c>
      <c r="P49" s="192" t="str">
        <f t="shared" si="36"/>
        <v/>
      </c>
      <c r="Q49" s="192" t="str">
        <f t="shared" si="37"/>
        <v/>
      </c>
      <c r="R49" s="192" t="str">
        <f t="shared" si="38"/>
        <v/>
      </c>
      <c r="S49" s="192" t="str">
        <f t="shared" si="39"/>
        <v/>
      </c>
      <c r="T49" s="192" t="str">
        <f t="shared" si="40"/>
        <v/>
      </c>
      <c r="U49" s="239" t="str">
        <f>IF($S13=FALSE,"",Pressure_2_R1!L8*C49)</f>
        <v/>
      </c>
      <c r="V49" s="239" t="str">
        <f t="shared" si="45"/>
        <v/>
      </c>
      <c r="W49" s="239" t="str">
        <f t="shared" si="41"/>
        <v/>
      </c>
      <c r="X49" s="239" t="str">
        <f t="shared" si="42"/>
        <v/>
      </c>
      <c r="Y49" s="240" t="str">
        <f t="shared" si="43"/>
        <v/>
      </c>
    </row>
    <row r="50" spans="2:25" ht="15" customHeight="1">
      <c r="B50" s="194">
        <f t="shared" si="46"/>
        <v>6</v>
      </c>
      <c r="C50" s="194" t="str">
        <f t="shared" si="28"/>
        <v/>
      </c>
      <c r="D50" s="192" t="str">
        <f t="shared" si="28"/>
        <v/>
      </c>
      <c r="E50" s="192" t="e">
        <f ca="1">IF($N14=FALSE,"",표준압력!W9)</f>
        <v>#VALUE!</v>
      </c>
      <c r="F50" s="192" t="e">
        <f ca="1">IF($N14=FALSE,"",표준압력!Z9)</f>
        <v>#VALUE!</v>
      </c>
      <c r="G50" s="192" t="str">
        <f>IF($S14=FALSE,"",Pressure_2_R1!F141/2)</f>
        <v/>
      </c>
      <c r="H50" s="194" t="str">
        <f t="shared" si="29"/>
        <v/>
      </c>
      <c r="I50" s="192" t="str">
        <f t="shared" si="30"/>
        <v/>
      </c>
      <c r="J50" s="192" t="str">
        <f t="shared" si="31"/>
        <v/>
      </c>
      <c r="K50" s="192" t="str">
        <f t="shared" si="32"/>
        <v/>
      </c>
      <c r="L50" s="192" t="str">
        <f t="shared" si="33"/>
        <v/>
      </c>
      <c r="M50" s="192" t="e">
        <f t="shared" ca="1" si="44"/>
        <v>#VALUE!</v>
      </c>
      <c r="N50" s="192" t="str">
        <f t="shared" si="34"/>
        <v/>
      </c>
      <c r="O50" s="192" t="str">
        <f t="shared" si="35"/>
        <v/>
      </c>
      <c r="P50" s="192" t="str">
        <f t="shared" si="36"/>
        <v/>
      </c>
      <c r="Q50" s="192" t="str">
        <f t="shared" si="37"/>
        <v/>
      </c>
      <c r="R50" s="192" t="str">
        <f t="shared" si="38"/>
        <v/>
      </c>
      <c r="S50" s="192" t="str">
        <f t="shared" si="39"/>
        <v/>
      </c>
      <c r="T50" s="192" t="str">
        <f t="shared" si="40"/>
        <v/>
      </c>
      <c r="U50" s="239" t="str">
        <f>IF($S14=FALSE,"",Pressure_2_R1!L9*C50)</f>
        <v/>
      </c>
      <c r="V50" s="239" t="str">
        <f t="shared" si="45"/>
        <v/>
      </c>
      <c r="W50" s="239" t="str">
        <f t="shared" si="41"/>
        <v/>
      </c>
      <c r="X50" s="239" t="str">
        <f t="shared" si="42"/>
        <v/>
      </c>
      <c r="Y50" s="240" t="str">
        <f t="shared" si="43"/>
        <v/>
      </c>
    </row>
    <row r="51" spans="2:25" ht="15" customHeight="1">
      <c r="B51" s="194">
        <f t="shared" si="46"/>
        <v>7</v>
      </c>
      <c r="C51" s="194" t="str">
        <f t="shared" si="28"/>
        <v/>
      </c>
      <c r="D51" s="192" t="str">
        <f t="shared" si="28"/>
        <v/>
      </c>
      <c r="E51" s="192" t="e">
        <f ca="1">IF($N15=FALSE,"",표준압력!W10)</f>
        <v>#VALUE!</v>
      </c>
      <c r="F51" s="192" t="e">
        <f ca="1">IF($N15=FALSE,"",표준압력!Z10)</f>
        <v>#VALUE!</v>
      </c>
      <c r="G51" s="192" t="str">
        <f>IF($S15=FALSE,"",Pressure_2_R1!F142/2)</f>
        <v/>
      </c>
      <c r="H51" s="194" t="str">
        <f t="shared" si="29"/>
        <v/>
      </c>
      <c r="I51" s="192" t="str">
        <f t="shared" si="30"/>
        <v/>
      </c>
      <c r="J51" s="192" t="str">
        <f t="shared" si="31"/>
        <v/>
      </c>
      <c r="K51" s="192" t="str">
        <f t="shared" si="32"/>
        <v/>
      </c>
      <c r="L51" s="192" t="str">
        <f t="shared" si="33"/>
        <v/>
      </c>
      <c r="M51" s="192" t="e">
        <f t="shared" ca="1" si="44"/>
        <v>#VALUE!</v>
      </c>
      <c r="N51" s="192" t="str">
        <f t="shared" si="34"/>
        <v/>
      </c>
      <c r="O51" s="192" t="str">
        <f t="shared" si="35"/>
        <v/>
      </c>
      <c r="P51" s="192" t="str">
        <f t="shared" si="36"/>
        <v/>
      </c>
      <c r="Q51" s="192" t="str">
        <f t="shared" si="37"/>
        <v/>
      </c>
      <c r="R51" s="192" t="str">
        <f t="shared" si="38"/>
        <v/>
      </c>
      <c r="S51" s="192" t="str">
        <f t="shared" si="39"/>
        <v/>
      </c>
      <c r="T51" s="192" t="str">
        <f t="shared" si="40"/>
        <v/>
      </c>
      <c r="U51" s="239" t="str">
        <f>IF($S15=FALSE,"",Pressure_2_R1!L10*C51)</f>
        <v/>
      </c>
      <c r="V51" s="239" t="str">
        <f t="shared" si="45"/>
        <v/>
      </c>
      <c r="W51" s="239" t="str">
        <f t="shared" si="41"/>
        <v/>
      </c>
      <c r="X51" s="239" t="str">
        <f t="shared" si="42"/>
        <v/>
      </c>
      <c r="Y51" s="240" t="str">
        <f t="shared" si="43"/>
        <v/>
      </c>
    </row>
    <row r="52" spans="2:25" ht="15" customHeight="1">
      <c r="B52" s="194">
        <f t="shared" si="46"/>
        <v>8</v>
      </c>
      <c r="C52" s="194" t="str">
        <f t="shared" si="28"/>
        <v/>
      </c>
      <c r="D52" s="192" t="str">
        <f t="shared" si="28"/>
        <v/>
      </c>
      <c r="E52" s="192" t="e">
        <f ca="1">IF($N16=FALSE,"",표준압력!W11)</f>
        <v>#VALUE!</v>
      </c>
      <c r="F52" s="192" t="e">
        <f ca="1">IF($N16=FALSE,"",표준압력!Z11)</f>
        <v>#VALUE!</v>
      </c>
      <c r="G52" s="192" t="str">
        <f>IF($S16=FALSE,"",Pressure_2_R1!F143/2)</f>
        <v/>
      </c>
      <c r="H52" s="194" t="str">
        <f t="shared" si="29"/>
        <v/>
      </c>
      <c r="I52" s="192" t="str">
        <f t="shared" si="30"/>
        <v/>
      </c>
      <c r="J52" s="192" t="str">
        <f t="shared" si="31"/>
        <v/>
      </c>
      <c r="K52" s="192" t="str">
        <f t="shared" si="32"/>
        <v/>
      </c>
      <c r="L52" s="192" t="str">
        <f t="shared" si="33"/>
        <v/>
      </c>
      <c r="M52" s="192" t="e">
        <f t="shared" ca="1" si="44"/>
        <v>#VALUE!</v>
      </c>
      <c r="N52" s="192" t="str">
        <f t="shared" si="34"/>
        <v/>
      </c>
      <c r="O52" s="192" t="str">
        <f t="shared" si="35"/>
        <v/>
      </c>
      <c r="P52" s="192" t="str">
        <f t="shared" si="36"/>
        <v/>
      </c>
      <c r="Q52" s="192" t="str">
        <f t="shared" si="37"/>
        <v/>
      </c>
      <c r="R52" s="192" t="str">
        <f t="shared" si="38"/>
        <v/>
      </c>
      <c r="S52" s="192" t="str">
        <f t="shared" si="39"/>
        <v/>
      </c>
      <c r="T52" s="192" t="str">
        <f t="shared" si="40"/>
        <v/>
      </c>
      <c r="U52" s="239" t="str">
        <f>IF($S16=FALSE,"",Pressure_2_R1!L11*C52)</f>
        <v/>
      </c>
      <c r="V52" s="239" t="str">
        <f t="shared" si="45"/>
        <v/>
      </c>
      <c r="W52" s="239" t="str">
        <f t="shared" si="41"/>
        <v/>
      </c>
      <c r="X52" s="239" t="str">
        <f t="shared" si="42"/>
        <v/>
      </c>
      <c r="Y52" s="240" t="str">
        <f t="shared" si="43"/>
        <v/>
      </c>
    </row>
    <row r="53" spans="2:25" ht="15" customHeight="1">
      <c r="B53" s="194">
        <f t="shared" si="46"/>
        <v>9</v>
      </c>
      <c r="C53" s="194" t="str">
        <f t="shared" si="28"/>
        <v/>
      </c>
      <c r="D53" s="192" t="str">
        <f t="shared" si="28"/>
        <v/>
      </c>
      <c r="E53" s="192" t="e">
        <f ca="1">IF($N17=FALSE,"",표준압력!W12)</f>
        <v>#VALUE!</v>
      </c>
      <c r="F53" s="192" t="e">
        <f ca="1">IF($N17=FALSE,"",표준압력!Z12)</f>
        <v>#VALUE!</v>
      </c>
      <c r="G53" s="192" t="str">
        <f>IF($S17=FALSE,"",Pressure_2_R1!F144/2)</f>
        <v/>
      </c>
      <c r="H53" s="194" t="str">
        <f t="shared" si="29"/>
        <v/>
      </c>
      <c r="I53" s="192" t="str">
        <f t="shared" si="30"/>
        <v/>
      </c>
      <c r="J53" s="192" t="str">
        <f t="shared" si="31"/>
        <v/>
      </c>
      <c r="K53" s="192" t="str">
        <f t="shared" si="32"/>
        <v/>
      </c>
      <c r="L53" s="192" t="str">
        <f t="shared" si="33"/>
        <v/>
      </c>
      <c r="M53" s="192" t="e">
        <f t="shared" ca="1" si="44"/>
        <v>#VALUE!</v>
      </c>
      <c r="N53" s="192" t="str">
        <f t="shared" si="34"/>
        <v/>
      </c>
      <c r="O53" s="192" t="str">
        <f t="shared" si="35"/>
        <v/>
      </c>
      <c r="P53" s="192" t="str">
        <f t="shared" si="36"/>
        <v/>
      </c>
      <c r="Q53" s="192" t="str">
        <f t="shared" si="37"/>
        <v/>
      </c>
      <c r="R53" s="192" t="str">
        <f t="shared" si="38"/>
        <v/>
      </c>
      <c r="S53" s="192" t="str">
        <f t="shared" si="39"/>
        <v/>
      </c>
      <c r="T53" s="192" t="str">
        <f t="shared" si="40"/>
        <v/>
      </c>
      <c r="U53" s="239" t="str">
        <f>IF($S17=FALSE,"",Pressure_2_R1!L12*C53)</f>
        <v/>
      </c>
      <c r="V53" s="239" t="str">
        <f t="shared" si="45"/>
        <v/>
      </c>
      <c r="W53" s="239" t="str">
        <f t="shared" si="41"/>
        <v/>
      </c>
      <c r="X53" s="239" t="str">
        <f t="shared" si="42"/>
        <v/>
      </c>
      <c r="Y53" s="240" t="str">
        <f t="shared" si="43"/>
        <v/>
      </c>
    </row>
    <row r="54" spans="2:25" ht="15" customHeight="1">
      <c r="B54" s="194">
        <f t="shared" si="46"/>
        <v>10</v>
      </c>
      <c r="C54" s="194" t="str">
        <f t="shared" si="28"/>
        <v/>
      </c>
      <c r="D54" s="192" t="str">
        <f t="shared" si="28"/>
        <v/>
      </c>
      <c r="E54" s="192" t="e">
        <f ca="1">IF($N18=FALSE,"",표준압력!W13)</f>
        <v>#VALUE!</v>
      </c>
      <c r="F54" s="192" t="e">
        <f ca="1">IF($N18=FALSE,"",표준압력!Z13)</f>
        <v>#VALUE!</v>
      </c>
      <c r="G54" s="192" t="str">
        <f>IF($S18=FALSE,"",Pressure_2_R1!F145/2)</f>
        <v/>
      </c>
      <c r="H54" s="194" t="str">
        <f t="shared" si="29"/>
        <v/>
      </c>
      <c r="I54" s="192" t="str">
        <f t="shared" si="30"/>
        <v/>
      </c>
      <c r="J54" s="192" t="str">
        <f t="shared" si="31"/>
        <v/>
      </c>
      <c r="K54" s="192" t="str">
        <f t="shared" si="32"/>
        <v/>
      </c>
      <c r="L54" s="192" t="str">
        <f t="shared" si="33"/>
        <v/>
      </c>
      <c r="M54" s="192" t="e">
        <f t="shared" ca="1" si="44"/>
        <v>#VALUE!</v>
      </c>
      <c r="N54" s="192" t="str">
        <f t="shared" si="34"/>
        <v/>
      </c>
      <c r="O54" s="192" t="str">
        <f t="shared" si="35"/>
        <v/>
      </c>
      <c r="P54" s="192" t="str">
        <f t="shared" si="36"/>
        <v/>
      </c>
      <c r="Q54" s="192" t="str">
        <f t="shared" si="37"/>
        <v/>
      </c>
      <c r="R54" s="192" t="str">
        <f t="shared" si="38"/>
        <v/>
      </c>
      <c r="S54" s="192" t="str">
        <f t="shared" si="39"/>
        <v/>
      </c>
      <c r="T54" s="192" t="str">
        <f t="shared" si="40"/>
        <v/>
      </c>
      <c r="U54" s="239" t="str">
        <f>IF($S18=FALSE,"",Pressure_2_R1!L13*C54)</f>
        <v/>
      </c>
      <c r="V54" s="239" t="str">
        <f t="shared" si="45"/>
        <v/>
      </c>
      <c r="W54" s="239" t="str">
        <f t="shared" si="41"/>
        <v/>
      </c>
      <c r="X54" s="239" t="str">
        <f t="shared" si="42"/>
        <v/>
      </c>
      <c r="Y54" s="240" t="str">
        <f t="shared" si="43"/>
        <v/>
      </c>
    </row>
    <row r="55" spans="2:25" ht="15" customHeight="1">
      <c r="B55" s="194">
        <f t="shared" si="46"/>
        <v>11</v>
      </c>
      <c r="C55" s="194" t="str">
        <f t="shared" si="28"/>
        <v/>
      </c>
      <c r="D55" s="192" t="str">
        <f t="shared" si="28"/>
        <v/>
      </c>
      <c r="E55" s="192" t="e">
        <f ca="1">IF($N19=FALSE,"",표준압력!W14)</f>
        <v>#VALUE!</v>
      </c>
      <c r="F55" s="192" t="e">
        <f ca="1">IF($N19=FALSE,"",표준압력!Z14)</f>
        <v>#VALUE!</v>
      </c>
      <c r="G55" s="192" t="str">
        <f>IF($S19=FALSE,"",Pressure_2_R1!F146/2)</f>
        <v/>
      </c>
      <c r="H55" s="194" t="str">
        <f t="shared" si="29"/>
        <v/>
      </c>
      <c r="I55" s="192" t="str">
        <f t="shared" si="30"/>
        <v/>
      </c>
      <c r="J55" s="192" t="str">
        <f t="shared" si="31"/>
        <v/>
      </c>
      <c r="K55" s="192" t="str">
        <f t="shared" si="32"/>
        <v/>
      </c>
      <c r="L55" s="192" t="str">
        <f t="shared" si="33"/>
        <v/>
      </c>
      <c r="M55" s="192" t="e">
        <f t="shared" ca="1" si="44"/>
        <v>#VALUE!</v>
      </c>
      <c r="N55" s="192" t="str">
        <f t="shared" si="34"/>
        <v/>
      </c>
      <c r="O55" s="192" t="str">
        <f t="shared" si="35"/>
        <v/>
      </c>
      <c r="P55" s="192" t="str">
        <f t="shared" si="36"/>
        <v/>
      </c>
      <c r="Q55" s="192" t="str">
        <f t="shared" si="37"/>
        <v/>
      </c>
      <c r="R55" s="192" t="str">
        <f t="shared" si="38"/>
        <v/>
      </c>
      <c r="S55" s="192" t="str">
        <f t="shared" si="39"/>
        <v/>
      </c>
      <c r="T55" s="192" t="str">
        <f t="shared" si="40"/>
        <v/>
      </c>
      <c r="U55" s="239" t="str">
        <f>IF($S19=FALSE,"",Pressure_2_R1!L14*C55)</f>
        <v/>
      </c>
      <c r="V55" s="239" t="str">
        <f t="shared" si="45"/>
        <v/>
      </c>
      <c r="W55" s="239" t="str">
        <f t="shared" si="41"/>
        <v/>
      </c>
      <c r="X55" s="239" t="str">
        <f t="shared" si="42"/>
        <v/>
      </c>
      <c r="Y55" s="240" t="str">
        <f t="shared" si="43"/>
        <v/>
      </c>
    </row>
    <row r="56" spans="2:25" ht="15" customHeight="1">
      <c r="B56" s="194">
        <f t="shared" si="46"/>
        <v>12</v>
      </c>
      <c r="C56" s="194" t="str">
        <f t="shared" si="28"/>
        <v/>
      </c>
      <c r="D56" s="192" t="str">
        <f t="shared" si="28"/>
        <v/>
      </c>
      <c r="E56" s="192" t="e">
        <f ca="1">IF($N20=FALSE,"",표준압력!W15)</f>
        <v>#VALUE!</v>
      </c>
      <c r="F56" s="192" t="e">
        <f ca="1">IF($N20=FALSE,"",표준압력!Z15)</f>
        <v>#VALUE!</v>
      </c>
      <c r="G56" s="192" t="str">
        <f>IF($S20=FALSE,"",Pressure_2_R1!F147/2)</f>
        <v/>
      </c>
      <c r="H56" s="194" t="str">
        <f t="shared" si="29"/>
        <v/>
      </c>
      <c r="I56" s="192" t="str">
        <f t="shared" si="30"/>
        <v/>
      </c>
      <c r="J56" s="192" t="str">
        <f t="shared" si="31"/>
        <v/>
      </c>
      <c r="K56" s="192" t="str">
        <f t="shared" si="32"/>
        <v/>
      </c>
      <c r="L56" s="192" t="str">
        <f t="shared" si="33"/>
        <v/>
      </c>
      <c r="M56" s="192" t="e">
        <f t="shared" ca="1" si="44"/>
        <v>#VALUE!</v>
      </c>
      <c r="N56" s="192" t="str">
        <f t="shared" si="34"/>
        <v/>
      </c>
      <c r="O56" s="192" t="str">
        <f t="shared" si="35"/>
        <v/>
      </c>
      <c r="P56" s="192" t="str">
        <f t="shared" si="36"/>
        <v/>
      </c>
      <c r="Q56" s="192" t="str">
        <f t="shared" si="37"/>
        <v/>
      </c>
      <c r="R56" s="192" t="str">
        <f t="shared" si="38"/>
        <v/>
      </c>
      <c r="S56" s="192" t="str">
        <f t="shared" si="39"/>
        <v/>
      </c>
      <c r="T56" s="192" t="str">
        <f t="shared" si="40"/>
        <v/>
      </c>
      <c r="U56" s="239" t="str">
        <f>IF($S20=FALSE,"",Pressure_2_R1!L15*C56)</f>
        <v/>
      </c>
      <c r="V56" s="239" t="str">
        <f t="shared" si="45"/>
        <v/>
      </c>
      <c r="W56" s="239" t="str">
        <f t="shared" si="41"/>
        <v/>
      </c>
      <c r="X56" s="239" t="str">
        <f t="shared" si="42"/>
        <v/>
      </c>
      <c r="Y56" s="240" t="str">
        <f t="shared" si="43"/>
        <v/>
      </c>
    </row>
    <row r="57" spans="2:25" ht="15" customHeight="1">
      <c r="B57" s="194">
        <f t="shared" si="46"/>
        <v>13</v>
      </c>
      <c r="C57" s="194" t="str">
        <f t="shared" si="28"/>
        <v/>
      </c>
      <c r="D57" s="192" t="str">
        <f t="shared" si="28"/>
        <v/>
      </c>
      <c r="E57" s="192" t="e">
        <f ca="1">IF($N21=FALSE,"",표준압력!W16)</f>
        <v>#VALUE!</v>
      </c>
      <c r="F57" s="192" t="e">
        <f ca="1">IF($N21=FALSE,"",표준압력!Z16)</f>
        <v>#VALUE!</v>
      </c>
      <c r="G57" s="192" t="str">
        <f>IF($S21=FALSE,"",Pressure_2_R1!F148/2)</f>
        <v/>
      </c>
      <c r="H57" s="194" t="str">
        <f t="shared" si="29"/>
        <v/>
      </c>
      <c r="I57" s="192" t="str">
        <f t="shared" si="30"/>
        <v/>
      </c>
      <c r="J57" s="192" t="str">
        <f t="shared" si="31"/>
        <v/>
      </c>
      <c r="K57" s="192" t="str">
        <f t="shared" si="32"/>
        <v/>
      </c>
      <c r="L57" s="192" t="str">
        <f t="shared" si="33"/>
        <v/>
      </c>
      <c r="M57" s="192" t="e">
        <f t="shared" ca="1" si="44"/>
        <v>#VALUE!</v>
      </c>
      <c r="N57" s="192" t="str">
        <f t="shared" si="34"/>
        <v/>
      </c>
      <c r="O57" s="192" t="str">
        <f t="shared" si="35"/>
        <v/>
      </c>
      <c r="P57" s="192" t="str">
        <f t="shared" si="36"/>
        <v/>
      </c>
      <c r="Q57" s="192" t="str">
        <f t="shared" si="37"/>
        <v/>
      </c>
      <c r="R57" s="192" t="str">
        <f t="shared" si="38"/>
        <v/>
      </c>
      <c r="S57" s="192" t="str">
        <f t="shared" si="39"/>
        <v/>
      </c>
      <c r="T57" s="192" t="str">
        <f t="shared" si="40"/>
        <v/>
      </c>
      <c r="U57" s="239" t="str">
        <f>IF($S21=FALSE,"",Pressure_2_R1!L16*C57)</f>
        <v/>
      </c>
      <c r="V57" s="239" t="str">
        <f t="shared" si="45"/>
        <v/>
      </c>
      <c r="W57" s="239" t="str">
        <f t="shared" si="41"/>
        <v/>
      </c>
      <c r="X57" s="239" t="str">
        <f t="shared" si="42"/>
        <v/>
      </c>
      <c r="Y57" s="240" t="str">
        <f t="shared" si="43"/>
        <v/>
      </c>
    </row>
    <row r="58" spans="2:25" ht="15" customHeight="1">
      <c r="B58" s="194">
        <f t="shared" si="46"/>
        <v>14</v>
      </c>
      <c r="C58" s="194" t="str">
        <f t="shared" si="28"/>
        <v/>
      </c>
      <c r="D58" s="192" t="str">
        <f t="shared" si="28"/>
        <v/>
      </c>
      <c r="E58" s="192" t="e">
        <f ca="1">IF($N22=FALSE,"",표준압력!W17)</f>
        <v>#VALUE!</v>
      </c>
      <c r="F58" s="192" t="e">
        <f ca="1">IF($N22=FALSE,"",표준압력!Z17)</f>
        <v>#VALUE!</v>
      </c>
      <c r="G58" s="192" t="str">
        <f>IF($S22=FALSE,"",Pressure_2_R1!F149/2)</f>
        <v/>
      </c>
      <c r="H58" s="194" t="str">
        <f t="shared" si="29"/>
        <v/>
      </c>
      <c r="I58" s="192" t="str">
        <f t="shared" si="30"/>
        <v/>
      </c>
      <c r="J58" s="192" t="str">
        <f t="shared" si="31"/>
        <v/>
      </c>
      <c r="K58" s="192" t="str">
        <f t="shared" si="32"/>
        <v/>
      </c>
      <c r="L58" s="192" t="str">
        <f t="shared" si="33"/>
        <v/>
      </c>
      <c r="M58" s="192" t="e">
        <f t="shared" ca="1" si="44"/>
        <v>#VALUE!</v>
      </c>
      <c r="N58" s="192" t="str">
        <f t="shared" si="34"/>
        <v/>
      </c>
      <c r="O58" s="192" t="str">
        <f t="shared" si="35"/>
        <v/>
      </c>
      <c r="P58" s="192" t="str">
        <f t="shared" si="36"/>
        <v/>
      </c>
      <c r="Q58" s="192" t="str">
        <f t="shared" si="37"/>
        <v/>
      </c>
      <c r="R58" s="192" t="str">
        <f t="shared" si="38"/>
        <v/>
      </c>
      <c r="S58" s="192" t="str">
        <f t="shared" si="39"/>
        <v/>
      </c>
      <c r="T58" s="192" t="str">
        <f t="shared" si="40"/>
        <v/>
      </c>
      <c r="U58" s="239" t="str">
        <f>IF($S22=FALSE,"",Pressure_2_R1!L17*C58)</f>
        <v/>
      </c>
      <c r="V58" s="239" t="str">
        <f t="shared" si="45"/>
        <v/>
      </c>
      <c r="W58" s="239" t="str">
        <f t="shared" si="41"/>
        <v/>
      </c>
      <c r="X58" s="239" t="str">
        <f t="shared" si="42"/>
        <v/>
      </c>
      <c r="Y58" s="240" t="str">
        <f t="shared" si="43"/>
        <v/>
      </c>
    </row>
    <row r="59" spans="2:25" ht="15" customHeight="1" thickBot="1">
      <c r="B59" s="194">
        <f t="shared" si="46"/>
        <v>15</v>
      </c>
      <c r="C59" s="194" t="str">
        <f t="shared" si="28"/>
        <v/>
      </c>
      <c r="D59" s="192" t="str">
        <f t="shared" si="28"/>
        <v/>
      </c>
      <c r="E59" s="192" t="e">
        <f ca="1">IF($N23=FALSE,"",표준압력!W18)</f>
        <v>#VALUE!</v>
      </c>
      <c r="F59" s="192" t="e">
        <f ca="1">IF($N23=FALSE,"",표준압력!Z18)</f>
        <v>#VALUE!</v>
      </c>
      <c r="G59" s="192" t="str">
        <f>IF($S23=FALSE,"",Pressure_2_R1!F150/2)</f>
        <v/>
      </c>
      <c r="H59" s="194" t="str">
        <f t="shared" si="29"/>
        <v/>
      </c>
      <c r="I59" s="192" t="str">
        <f t="shared" si="30"/>
        <v/>
      </c>
      <c r="J59" s="192" t="str">
        <f t="shared" si="31"/>
        <v/>
      </c>
      <c r="K59" s="192" t="str">
        <f t="shared" si="32"/>
        <v/>
      </c>
      <c r="L59" s="192" t="str">
        <f t="shared" si="33"/>
        <v/>
      </c>
      <c r="M59" s="192" t="e">
        <f t="shared" ca="1" si="44"/>
        <v>#VALUE!</v>
      </c>
      <c r="N59" s="192" t="str">
        <f t="shared" si="34"/>
        <v/>
      </c>
      <c r="O59" s="192" t="str">
        <f t="shared" si="35"/>
        <v/>
      </c>
      <c r="P59" s="192" t="str">
        <f t="shared" si="36"/>
        <v/>
      </c>
      <c r="Q59" s="192" t="str">
        <f t="shared" si="37"/>
        <v/>
      </c>
      <c r="R59" s="192" t="str">
        <f t="shared" si="38"/>
        <v/>
      </c>
      <c r="S59" s="192" t="str">
        <f t="shared" si="39"/>
        <v/>
      </c>
      <c r="T59" s="192" t="str">
        <f t="shared" si="40"/>
        <v/>
      </c>
      <c r="U59" s="239" t="str">
        <f>IF($S23=FALSE,"",Pressure_2_R1!L18*C59)</f>
        <v/>
      </c>
      <c r="V59" s="239" t="str">
        <f t="shared" si="45"/>
        <v/>
      </c>
      <c r="W59" s="239" t="str">
        <f t="shared" si="41"/>
        <v/>
      </c>
      <c r="X59" s="239" t="str">
        <f t="shared" si="42"/>
        <v/>
      </c>
      <c r="Y59" s="240" t="str">
        <f t="shared" si="43"/>
        <v/>
      </c>
    </row>
    <row r="60" spans="2:25" ht="15" customHeight="1" thickBot="1">
      <c r="T60" s="180"/>
      <c r="U60" s="193"/>
      <c r="V60" s="193"/>
      <c r="W60" s="193"/>
      <c r="X60" s="193"/>
      <c r="Y60" s="199" t="str">
        <f>IF($S24=FALSE,"",IF(SUM(Y45:Y59)=0,"","초과"))</f>
        <v/>
      </c>
    </row>
    <row r="61" spans="2:25" ht="15" customHeight="1">
      <c r="B61" s="184" t="s">
        <v>540</v>
      </c>
      <c r="I61" s="184" t="s">
        <v>541</v>
      </c>
      <c r="U61" s="193"/>
      <c r="V61" s="193"/>
      <c r="W61" s="193"/>
    </row>
    <row r="62" spans="2:25" ht="15" customHeight="1">
      <c r="B62" s="915" t="s">
        <v>525</v>
      </c>
      <c r="C62" s="918" t="s">
        <v>64</v>
      </c>
      <c r="D62" s="901" t="s">
        <v>543</v>
      </c>
      <c r="E62" s="920"/>
      <c r="F62" s="902"/>
      <c r="G62" s="273"/>
      <c r="I62" s="948" t="s">
        <v>544</v>
      </c>
      <c r="J62" s="949"/>
      <c r="K62" s="950"/>
      <c r="L62" s="958" t="s">
        <v>545</v>
      </c>
      <c r="N62" s="197" t="s">
        <v>546</v>
      </c>
      <c r="O62" s="954" t="s">
        <v>547</v>
      </c>
      <c r="P62" s="955"/>
      <c r="Q62" s="955"/>
      <c r="R62" s="955"/>
      <c r="S62" s="955"/>
      <c r="U62" s="196" t="s">
        <v>548</v>
      </c>
      <c r="V62" s="196" t="s">
        <v>549</v>
      </c>
      <c r="W62" s="196" t="s">
        <v>291</v>
      </c>
      <c r="X62" s="196" t="s">
        <v>548</v>
      </c>
      <c r="Y62" s="196" t="s">
        <v>549</v>
      </c>
    </row>
    <row r="63" spans="2:25" ht="15" customHeight="1">
      <c r="B63" s="916"/>
      <c r="C63" s="919"/>
      <c r="D63" s="901" t="s">
        <v>551</v>
      </c>
      <c r="E63" s="902"/>
      <c r="F63" s="238" t="s">
        <v>121</v>
      </c>
      <c r="G63" s="238" t="s">
        <v>104</v>
      </c>
      <c r="I63" s="384" t="s">
        <v>356</v>
      </c>
      <c r="J63" s="384" t="s">
        <v>369</v>
      </c>
      <c r="K63" s="384" t="s">
        <v>552</v>
      </c>
      <c r="L63" s="959"/>
      <c r="N63" s="200" t="s">
        <v>553</v>
      </c>
      <c r="O63" s="241" t="s">
        <v>182</v>
      </c>
      <c r="P63" s="238" t="s">
        <v>357</v>
      </c>
      <c r="Q63" s="238" t="s">
        <v>551</v>
      </c>
      <c r="R63" s="238" t="s">
        <v>121</v>
      </c>
      <c r="S63" s="238" t="s">
        <v>370</v>
      </c>
      <c r="U63" s="198"/>
      <c r="V63" s="198" t="s">
        <v>113</v>
      </c>
      <c r="W63" s="196" t="s">
        <v>135</v>
      </c>
      <c r="X63" s="198"/>
      <c r="Y63" s="198" t="s">
        <v>113</v>
      </c>
    </row>
    <row r="64" spans="2:25" ht="15" customHeight="1">
      <c r="B64" s="917"/>
      <c r="C64" s="242">
        <f>D44</f>
        <v>0</v>
      </c>
      <c r="D64" s="242">
        <f>H44</f>
        <v>0</v>
      </c>
      <c r="E64" s="242">
        <f>I44</f>
        <v>0</v>
      </c>
      <c r="F64" s="242">
        <f>J44</f>
        <v>0</v>
      </c>
      <c r="G64" s="242">
        <f>X44</f>
        <v>0</v>
      </c>
      <c r="I64" s="384">
        <f>F8</f>
        <v>0</v>
      </c>
      <c r="J64" s="384">
        <f>I64</f>
        <v>0</v>
      </c>
      <c r="K64" s="384">
        <f>J64</f>
        <v>0</v>
      </c>
      <c r="L64" s="334" t="str">
        <f>IF(TYPE(MATCH("FAIL",L65:L79,0))=16,"PASS","FAIL")</f>
        <v>PASS</v>
      </c>
      <c r="N64" s="201">
        <f ca="1">MIN(N65:N79)</f>
        <v>0</v>
      </c>
      <c r="O64" s="202">
        <f ca="1">OFFSET(V63,MATCH(N64,W64:W73,0),0)</f>
        <v>0</v>
      </c>
      <c r="P64" s="202">
        <f ca="1">OFFSET(V63,MATCH(I3,W64:W73,0),0)</f>
        <v>0</v>
      </c>
      <c r="Q64" s="202">
        <f ca="1">O64</f>
        <v>0</v>
      </c>
      <c r="R64" s="202">
        <f ca="1">Q64</f>
        <v>0</v>
      </c>
      <c r="S64" s="202">
        <f ca="1">R64</f>
        <v>0</v>
      </c>
      <c r="U64" s="243">
        <v>9.9999999999999995E-8</v>
      </c>
      <c r="V64" s="243" t="s">
        <v>556</v>
      </c>
      <c r="W64" s="243">
        <v>7</v>
      </c>
      <c r="X64" s="243">
        <v>0</v>
      </c>
      <c r="Y64" s="243"/>
    </row>
    <row r="65" spans="2:25" ht="15" customHeight="1">
      <c r="B65" s="239">
        <f>B45</f>
        <v>1</v>
      </c>
      <c r="C65" s="244" t="str">
        <f t="shared" ref="C65:C79" si="47">IF($S9=FALSE,"",TEXT(ROUND(D45,$N$64),O65))</f>
        <v/>
      </c>
      <c r="D65" s="244" t="str">
        <f t="shared" ref="D65:D79" si="48">IF($S9=FALSE,"-",TEXT(H45,P65))</f>
        <v>-</v>
      </c>
      <c r="E65" s="244" t="str">
        <f t="shared" ref="E65:E79" si="49">IF($S9=FALSE,"-",TEXT(I45,Q65))</f>
        <v>-</v>
      </c>
      <c r="F65" s="244" t="str">
        <f t="shared" ref="F65:F79" si="50">IF($S9=FALSE,"-",TEXT(ROUND(J45,$N$64),R65))</f>
        <v>-</v>
      </c>
      <c r="G65" s="244" t="str">
        <f t="shared" ref="G65:G79" si="51">IF($S9=FALSE,"",TEXT(ROUND(X45,$N$64),S65))</f>
        <v/>
      </c>
      <c r="I65" s="203" t="str">
        <f>IF($S9=FALSE,"",ROUND(IF(D$3="mV/V",Pressure_2_R1!S4/G$3,Pressure_2_R1!S4),I$3))</f>
        <v/>
      </c>
      <c r="J65" s="203" t="str">
        <f>IF($S9=FALSE,"",ROUND(IF(D$3="mV/V",Pressure_2_R1!T4/G$3,Pressure_2_R1!T4),I$3))</f>
        <v/>
      </c>
      <c r="K65" s="203" t="str">
        <f t="shared" ref="K65:K79" si="52">IF($S9=FALSE,"","± "&amp;TEXT((J65-I65)/2,Q65))</f>
        <v/>
      </c>
      <c r="L65" s="204" t="str">
        <f t="shared" ref="L65:L79" si="53">IF($S9=FALSE,"-",IF(AND(I65&lt;=H45,H45&lt;=J65),"PASS","FAIL"))</f>
        <v>-</v>
      </c>
      <c r="N65" s="194" t="str">
        <f t="shared" ref="N65:N79" ca="1" si="54">IF($S9=FALSE,"",OFFSET(W$63,COUNTIF(U$64:U$73,"&lt;="&amp;V45),0)+1)</f>
        <v/>
      </c>
      <c r="O65" s="194" t="str">
        <f t="shared" ref="O65:O79" ca="1" si="55">IF($S9=FALSE,"",SUBSTITUTE(OFFSET($Y$63,COUNTIF($X$64:$X$73,"&lt;="&amp;ABS(C45)),0),0,"")&amp;O$64)</f>
        <v/>
      </c>
      <c r="P65" s="194" t="str">
        <f t="shared" ref="P65:P79" ca="1" si="56">IF($S9=FALSE,"",SUBSTITUTE(OFFSET($Y$63,COUNTIF($X$64:$X$73,"&lt;="&amp;ABS(H45)),0),0,"")&amp;P$64)</f>
        <v/>
      </c>
      <c r="Q65" s="194" t="str">
        <f t="shared" ref="Q65:Q79" ca="1" si="57">IF($S9=FALSE,"",SUBSTITUTE(OFFSET($Y$63,COUNTIF($X$64:$X$73,"&lt;="&amp;ABS(I45)),0),0,"")&amp;Q$64)</f>
        <v/>
      </c>
      <c r="R65" s="194" t="str">
        <f t="shared" ref="R65:R79" ca="1" si="58">IF($S9=FALSE,"",SUBSTITUTE(OFFSET($Y$63,COUNTIF($X$64:$X$73,"&lt;="&amp;ABS(J45)),0),0,"")&amp;R$64)</f>
        <v/>
      </c>
      <c r="S65" s="194" t="str">
        <f t="shared" ref="S65:S79" si="59">IF($S9=FALSE,"",S$64)</f>
        <v/>
      </c>
      <c r="U65" s="243">
        <v>9.9999999999999995E-7</v>
      </c>
      <c r="V65" s="243" t="s">
        <v>557</v>
      </c>
      <c r="W65" s="243">
        <v>6</v>
      </c>
      <c r="X65" s="243">
        <v>1</v>
      </c>
      <c r="Y65" s="243"/>
    </row>
    <row r="66" spans="2:25" ht="15" customHeight="1">
      <c r="B66" s="239">
        <f>B46</f>
        <v>2</v>
      </c>
      <c r="C66" s="244" t="str">
        <f t="shared" si="47"/>
        <v/>
      </c>
      <c r="D66" s="244" t="str">
        <f t="shared" si="48"/>
        <v>-</v>
      </c>
      <c r="E66" s="244" t="str">
        <f t="shared" si="49"/>
        <v>-</v>
      </c>
      <c r="F66" s="244" t="str">
        <f t="shared" si="50"/>
        <v>-</v>
      </c>
      <c r="G66" s="244" t="str">
        <f t="shared" si="51"/>
        <v/>
      </c>
      <c r="I66" s="203" t="str">
        <f>IF($S10=FALSE,"",ROUND(IF(D$3="mV/V",Pressure_2_R1!S5/G$3,Pressure_2_R1!S5),I$3))</f>
        <v/>
      </c>
      <c r="J66" s="203" t="str">
        <f>IF($S10=FALSE,"",ROUND(IF(D$3="mV/V",Pressure_2_R1!T5/G$3,Pressure_2_R1!T5),I$3))</f>
        <v/>
      </c>
      <c r="K66" s="203" t="str">
        <f t="shared" si="52"/>
        <v/>
      </c>
      <c r="L66" s="204" t="str">
        <f t="shared" si="53"/>
        <v>-</v>
      </c>
      <c r="N66" s="194" t="str">
        <f t="shared" ca="1" si="54"/>
        <v/>
      </c>
      <c r="O66" s="194" t="str">
        <f t="shared" ca="1" si="55"/>
        <v/>
      </c>
      <c r="P66" s="194" t="str">
        <f t="shared" ca="1" si="56"/>
        <v/>
      </c>
      <c r="Q66" s="194" t="str">
        <f t="shared" ca="1" si="57"/>
        <v/>
      </c>
      <c r="R66" s="194" t="str">
        <f t="shared" ca="1" si="58"/>
        <v/>
      </c>
      <c r="S66" s="194" t="str">
        <f t="shared" si="59"/>
        <v/>
      </c>
      <c r="U66" s="243">
        <v>1.0000000000000001E-5</v>
      </c>
      <c r="V66" s="243" t="s">
        <v>371</v>
      </c>
      <c r="W66" s="243">
        <v>5</v>
      </c>
      <c r="X66" s="243">
        <v>10</v>
      </c>
      <c r="Y66" s="243" t="s">
        <v>114</v>
      </c>
    </row>
    <row r="67" spans="2:25" ht="15" customHeight="1">
      <c r="B67" s="239">
        <f t="shared" ref="B67:B79" si="60">B47</f>
        <v>3</v>
      </c>
      <c r="C67" s="244" t="str">
        <f t="shared" si="47"/>
        <v/>
      </c>
      <c r="D67" s="244" t="str">
        <f t="shared" si="48"/>
        <v>-</v>
      </c>
      <c r="E67" s="244" t="str">
        <f t="shared" si="49"/>
        <v>-</v>
      </c>
      <c r="F67" s="244" t="str">
        <f t="shared" si="50"/>
        <v>-</v>
      </c>
      <c r="G67" s="244" t="str">
        <f t="shared" si="51"/>
        <v/>
      </c>
      <c r="I67" s="203" t="str">
        <f>IF($S11=FALSE,"",ROUND(IF(D$3="mV/V",Pressure_2_R1!S6/G$3,Pressure_2_R1!S6),I$3))</f>
        <v/>
      </c>
      <c r="J67" s="203" t="str">
        <f>IF($S11=FALSE,"",ROUND(IF(D$3="mV/V",Pressure_2_R1!T6/G$3,Pressure_2_R1!T6),I$3))</f>
        <v/>
      </c>
      <c r="K67" s="203" t="str">
        <f t="shared" si="52"/>
        <v/>
      </c>
      <c r="L67" s="204" t="str">
        <f t="shared" si="53"/>
        <v>-</v>
      </c>
      <c r="N67" s="194" t="str">
        <f t="shared" ca="1" si="54"/>
        <v/>
      </c>
      <c r="O67" s="194" t="str">
        <f t="shared" ca="1" si="55"/>
        <v/>
      </c>
      <c r="P67" s="194" t="str">
        <f t="shared" ca="1" si="56"/>
        <v/>
      </c>
      <c r="Q67" s="194" t="str">
        <f t="shared" ca="1" si="57"/>
        <v/>
      </c>
      <c r="R67" s="194" t="str">
        <f t="shared" ca="1" si="58"/>
        <v/>
      </c>
      <c r="S67" s="194" t="str">
        <f t="shared" si="59"/>
        <v/>
      </c>
      <c r="U67" s="243">
        <v>1E-4</v>
      </c>
      <c r="V67" s="243" t="s">
        <v>372</v>
      </c>
      <c r="W67" s="243">
        <v>4</v>
      </c>
      <c r="X67" s="243">
        <v>100</v>
      </c>
      <c r="Y67" s="243" t="s">
        <v>115</v>
      </c>
    </row>
    <row r="68" spans="2:25" ht="15" customHeight="1">
      <c r="B68" s="239">
        <f t="shared" si="60"/>
        <v>4</v>
      </c>
      <c r="C68" s="244" t="str">
        <f t="shared" si="47"/>
        <v/>
      </c>
      <c r="D68" s="244" t="str">
        <f t="shared" si="48"/>
        <v>-</v>
      </c>
      <c r="E68" s="244" t="str">
        <f t="shared" si="49"/>
        <v>-</v>
      </c>
      <c r="F68" s="244" t="str">
        <f t="shared" si="50"/>
        <v>-</v>
      </c>
      <c r="G68" s="244" t="str">
        <f t="shared" si="51"/>
        <v/>
      </c>
      <c r="I68" s="203" t="str">
        <f>IF($S12=FALSE,"",ROUND(IF(D$3="mV/V",Pressure_2_R1!S7/G$3,Pressure_2_R1!S7),I$3))</f>
        <v/>
      </c>
      <c r="J68" s="203" t="str">
        <f>IF($S12=FALSE,"",ROUND(IF(D$3="mV/V",Pressure_2_R1!T7/G$3,Pressure_2_R1!T7),I$3))</f>
        <v/>
      </c>
      <c r="K68" s="203" t="str">
        <f t="shared" si="52"/>
        <v/>
      </c>
      <c r="L68" s="204" t="str">
        <f t="shared" si="53"/>
        <v>-</v>
      </c>
      <c r="N68" s="194" t="str">
        <f t="shared" ca="1" si="54"/>
        <v/>
      </c>
      <c r="O68" s="194" t="str">
        <f t="shared" ca="1" si="55"/>
        <v/>
      </c>
      <c r="P68" s="194" t="str">
        <f t="shared" ca="1" si="56"/>
        <v/>
      </c>
      <c r="Q68" s="194" t="str">
        <f t="shared" ca="1" si="57"/>
        <v/>
      </c>
      <c r="R68" s="194" t="str">
        <f t="shared" ca="1" si="58"/>
        <v/>
      </c>
      <c r="S68" s="194" t="str">
        <f t="shared" si="59"/>
        <v/>
      </c>
      <c r="U68" s="243">
        <v>1E-3</v>
      </c>
      <c r="V68" s="245" t="s">
        <v>373</v>
      </c>
      <c r="W68" s="243">
        <v>3</v>
      </c>
      <c r="X68" s="243">
        <v>1000</v>
      </c>
      <c r="Y68" s="243" t="s">
        <v>116</v>
      </c>
    </row>
    <row r="69" spans="2:25" ht="15" customHeight="1">
      <c r="B69" s="239">
        <f t="shared" si="60"/>
        <v>5</v>
      </c>
      <c r="C69" s="244" t="str">
        <f t="shared" si="47"/>
        <v/>
      </c>
      <c r="D69" s="244" t="str">
        <f t="shared" si="48"/>
        <v>-</v>
      </c>
      <c r="E69" s="244" t="str">
        <f t="shared" si="49"/>
        <v>-</v>
      </c>
      <c r="F69" s="244" t="str">
        <f t="shared" si="50"/>
        <v>-</v>
      </c>
      <c r="G69" s="244" t="str">
        <f t="shared" si="51"/>
        <v/>
      </c>
      <c r="I69" s="203" t="str">
        <f>IF($S13=FALSE,"",ROUND(IF(D$3="mV/V",Pressure_2_R1!S8/G$3,Pressure_2_R1!S8),I$3))</f>
        <v/>
      </c>
      <c r="J69" s="203" t="str">
        <f>IF($S13=FALSE,"",ROUND(IF(D$3="mV/V",Pressure_2_R1!T8/G$3,Pressure_2_R1!T8),I$3))</f>
        <v/>
      </c>
      <c r="K69" s="203" t="str">
        <f t="shared" si="52"/>
        <v/>
      </c>
      <c r="L69" s="204" t="str">
        <f t="shared" si="53"/>
        <v>-</v>
      </c>
      <c r="N69" s="194" t="str">
        <f t="shared" ca="1" si="54"/>
        <v/>
      </c>
      <c r="O69" s="194" t="str">
        <f t="shared" ca="1" si="55"/>
        <v/>
      </c>
      <c r="P69" s="194" t="str">
        <f t="shared" ca="1" si="56"/>
        <v/>
      </c>
      <c r="Q69" s="194" t="str">
        <f t="shared" ca="1" si="57"/>
        <v/>
      </c>
      <c r="R69" s="194" t="str">
        <f t="shared" ca="1" si="58"/>
        <v/>
      </c>
      <c r="S69" s="194" t="str">
        <f t="shared" si="59"/>
        <v/>
      </c>
      <c r="U69" s="243">
        <v>0.01</v>
      </c>
      <c r="V69" s="245" t="s">
        <v>558</v>
      </c>
      <c r="W69" s="243">
        <v>2</v>
      </c>
      <c r="X69" s="243">
        <v>10000</v>
      </c>
      <c r="Y69" s="243" t="s">
        <v>117</v>
      </c>
    </row>
    <row r="70" spans="2:25" ht="15" customHeight="1">
      <c r="B70" s="239">
        <f t="shared" si="60"/>
        <v>6</v>
      </c>
      <c r="C70" s="244" t="str">
        <f t="shared" si="47"/>
        <v/>
      </c>
      <c r="D70" s="244" t="str">
        <f t="shared" si="48"/>
        <v>-</v>
      </c>
      <c r="E70" s="244" t="str">
        <f t="shared" si="49"/>
        <v>-</v>
      </c>
      <c r="F70" s="244" t="str">
        <f t="shared" si="50"/>
        <v>-</v>
      </c>
      <c r="G70" s="244" t="str">
        <f t="shared" si="51"/>
        <v/>
      </c>
      <c r="I70" s="203" t="str">
        <f>IF($S14=FALSE,"",ROUND(IF(D$3="mV/V",Pressure_2_R1!S9/G$3,Pressure_2_R1!S9),I$3))</f>
        <v/>
      </c>
      <c r="J70" s="203" t="str">
        <f>IF($S14=FALSE,"",ROUND(IF(D$3="mV/V",Pressure_2_R1!T9/G$3,Pressure_2_R1!T9),I$3))</f>
        <v/>
      </c>
      <c r="K70" s="203" t="str">
        <f t="shared" si="52"/>
        <v/>
      </c>
      <c r="L70" s="204" t="str">
        <f t="shared" si="53"/>
        <v>-</v>
      </c>
      <c r="N70" s="194" t="str">
        <f t="shared" ca="1" si="54"/>
        <v/>
      </c>
      <c r="O70" s="194" t="str">
        <f t="shared" ca="1" si="55"/>
        <v/>
      </c>
      <c r="P70" s="194" t="str">
        <f t="shared" ca="1" si="56"/>
        <v/>
      </c>
      <c r="Q70" s="194" t="str">
        <f t="shared" ca="1" si="57"/>
        <v/>
      </c>
      <c r="R70" s="194" t="str">
        <f t="shared" ca="1" si="58"/>
        <v/>
      </c>
      <c r="S70" s="194" t="str">
        <f t="shared" si="59"/>
        <v/>
      </c>
      <c r="U70" s="243">
        <v>0.1</v>
      </c>
      <c r="V70" s="245" t="s">
        <v>374</v>
      </c>
      <c r="W70" s="243">
        <v>1</v>
      </c>
      <c r="X70" s="243">
        <v>100000</v>
      </c>
      <c r="Y70" s="243" t="s">
        <v>118</v>
      </c>
    </row>
    <row r="71" spans="2:25" ht="15" customHeight="1">
      <c r="B71" s="239">
        <f t="shared" si="60"/>
        <v>7</v>
      </c>
      <c r="C71" s="244" t="str">
        <f t="shared" si="47"/>
        <v/>
      </c>
      <c r="D71" s="244" t="str">
        <f t="shared" si="48"/>
        <v>-</v>
      </c>
      <c r="E71" s="244" t="str">
        <f t="shared" si="49"/>
        <v>-</v>
      </c>
      <c r="F71" s="244" t="str">
        <f t="shared" si="50"/>
        <v>-</v>
      </c>
      <c r="G71" s="244" t="str">
        <f t="shared" si="51"/>
        <v/>
      </c>
      <c r="I71" s="203" t="str">
        <f>IF($S15=FALSE,"",ROUND(IF(D$3="mV/V",Pressure_2_R1!S10/G$3,Pressure_2_R1!S10),I$3))</f>
        <v/>
      </c>
      <c r="J71" s="203" t="str">
        <f>IF($S15=FALSE,"",ROUND(IF(D$3="mV/V",Pressure_2_R1!T10/G$3,Pressure_2_R1!T10),I$3))</f>
        <v/>
      </c>
      <c r="K71" s="203" t="str">
        <f t="shared" si="52"/>
        <v/>
      </c>
      <c r="L71" s="204" t="str">
        <f t="shared" si="53"/>
        <v>-</v>
      </c>
      <c r="N71" s="194" t="str">
        <f t="shared" ca="1" si="54"/>
        <v/>
      </c>
      <c r="O71" s="194" t="str">
        <f t="shared" ca="1" si="55"/>
        <v/>
      </c>
      <c r="P71" s="194" t="str">
        <f t="shared" ca="1" si="56"/>
        <v/>
      </c>
      <c r="Q71" s="194" t="str">
        <f t="shared" ca="1" si="57"/>
        <v/>
      </c>
      <c r="R71" s="194" t="str">
        <f t="shared" ca="1" si="58"/>
        <v/>
      </c>
      <c r="S71" s="194" t="str">
        <f t="shared" si="59"/>
        <v/>
      </c>
      <c r="U71" s="243">
        <v>1</v>
      </c>
      <c r="V71" s="243">
        <v>0</v>
      </c>
      <c r="W71" s="243">
        <v>0</v>
      </c>
      <c r="X71" s="243">
        <v>1000000</v>
      </c>
      <c r="Y71" s="243" t="s">
        <v>119</v>
      </c>
    </row>
    <row r="72" spans="2:25" ht="15" customHeight="1">
      <c r="B72" s="239">
        <f t="shared" si="60"/>
        <v>8</v>
      </c>
      <c r="C72" s="244" t="str">
        <f t="shared" si="47"/>
        <v/>
      </c>
      <c r="D72" s="244" t="str">
        <f t="shared" si="48"/>
        <v>-</v>
      </c>
      <c r="E72" s="244" t="str">
        <f t="shared" si="49"/>
        <v>-</v>
      </c>
      <c r="F72" s="244" t="str">
        <f t="shared" si="50"/>
        <v>-</v>
      </c>
      <c r="G72" s="244" t="str">
        <f t="shared" si="51"/>
        <v/>
      </c>
      <c r="I72" s="203" t="str">
        <f>IF($S16=FALSE,"",ROUND(IF(D$3="mV/V",Pressure_2_R1!S11/G$3,Pressure_2_R1!S11),I$3))</f>
        <v/>
      </c>
      <c r="J72" s="203" t="str">
        <f>IF($S16=FALSE,"",ROUND(IF(D$3="mV/V",Pressure_2_R1!T11/G$3,Pressure_2_R1!T11),I$3))</f>
        <v/>
      </c>
      <c r="K72" s="203" t="str">
        <f t="shared" si="52"/>
        <v/>
      </c>
      <c r="L72" s="204" t="str">
        <f t="shared" si="53"/>
        <v>-</v>
      </c>
      <c r="N72" s="194" t="str">
        <f t="shared" ca="1" si="54"/>
        <v/>
      </c>
      <c r="O72" s="194" t="str">
        <f t="shared" ca="1" si="55"/>
        <v/>
      </c>
      <c r="P72" s="194" t="str">
        <f t="shared" ca="1" si="56"/>
        <v/>
      </c>
      <c r="Q72" s="194" t="str">
        <f t="shared" ca="1" si="57"/>
        <v/>
      </c>
      <c r="R72" s="194" t="str">
        <f t="shared" ca="1" si="58"/>
        <v/>
      </c>
      <c r="S72" s="194" t="str">
        <f t="shared" si="59"/>
        <v/>
      </c>
      <c r="U72" s="243">
        <v>10</v>
      </c>
      <c r="V72" s="243">
        <v>0</v>
      </c>
      <c r="W72" s="243">
        <v>-1</v>
      </c>
      <c r="X72" s="243">
        <v>10000000</v>
      </c>
      <c r="Y72" s="243" t="s">
        <v>120</v>
      </c>
    </row>
    <row r="73" spans="2:25" ht="15" customHeight="1">
      <c r="B73" s="239">
        <f t="shared" si="60"/>
        <v>9</v>
      </c>
      <c r="C73" s="244" t="str">
        <f t="shared" si="47"/>
        <v/>
      </c>
      <c r="D73" s="244" t="str">
        <f t="shared" si="48"/>
        <v>-</v>
      </c>
      <c r="E73" s="244" t="str">
        <f t="shared" si="49"/>
        <v>-</v>
      </c>
      <c r="F73" s="244" t="str">
        <f t="shared" si="50"/>
        <v>-</v>
      </c>
      <c r="G73" s="244" t="str">
        <f t="shared" si="51"/>
        <v/>
      </c>
      <c r="I73" s="203" t="str">
        <f>IF($S17=FALSE,"",ROUND(IF(D$3="mV/V",Pressure_2_R1!S12/G$3,Pressure_2_R1!S12),I$3))</f>
        <v/>
      </c>
      <c r="J73" s="203" t="str">
        <f>IF($S17=FALSE,"",ROUND(IF(D$3="mV/V",Pressure_2_R1!T12/G$3,Pressure_2_R1!T12),I$3))</f>
        <v/>
      </c>
      <c r="K73" s="203" t="str">
        <f t="shared" si="52"/>
        <v/>
      </c>
      <c r="L73" s="204" t="str">
        <f t="shared" si="53"/>
        <v>-</v>
      </c>
      <c r="N73" s="194" t="str">
        <f t="shared" ca="1" si="54"/>
        <v/>
      </c>
      <c r="O73" s="194" t="str">
        <f t="shared" ca="1" si="55"/>
        <v/>
      </c>
      <c r="P73" s="194" t="str">
        <f t="shared" ca="1" si="56"/>
        <v/>
      </c>
      <c r="Q73" s="194" t="str">
        <f t="shared" ca="1" si="57"/>
        <v/>
      </c>
      <c r="R73" s="194" t="str">
        <f t="shared" ca="1" si="58"/>
        <v/>
      </c>
      <c r="S73" s="194" t="str">
        <f t="shared" si="59"/>
        <v/>
      </c>
      <c r="U73" s="243">
        <v>100</v>
      </c>
      <c r="V73" s="243">
        <v>0</v>
      </c>
      <c r="W73" s="243">
        <v>-2</v>
      </c>
      <c r="X73" s="243"/>
      <c r="Y73" s="243"/>
    </row>
    <row r="74" spans="2:25" ht="15" customHeight="1">
      <c r="B74" s="239">
        <f t="shared" si="60"/>
        <v>10</v>
      </c>
      <c r="C74" s="244" t="str">
        <f t="shared" si="47"/>
        <v/>
      </c>
      <c r="D74" s="244" t="str">
        <f t="shared" si="48"/>
        <v>-</v>
      </c>
      <c r="E74" s="244" t="str">
        <f t="shared" si="49"/>
        <v>-</v>
      </c>
      <c r="F74" s="244" t="str">
        <f t="shared" si="50"/>
        <v>-</v>
      </c>
      <c r="G74" s="244" t="str">
        <f t="shared" si="51"/>
        <v/>
      </c>
      <c r="I74" s="203" t="str">
        <f>IF($S18=FALSE,"",ROUND(IF(D$3="mV/V",Pressure_2_R1!S13/G$3,Pressure_2_R1!S13),I$3))</f>
        <v/>
      </c>
      <c r="J74" s="203" t="str">
        <f>IF($S18=FALSE,"",ROUND(IF(D$3="mV/V",Pressure_2_R1!T13/G$3,Pressure_2_R1!T13),I$3))</f>
        <v/>
      </c>
      <c r="K74" s="203" t="str">
        <f t="shared" si="52"/>
        <v/>
      </c>
      <c r="L74" s="204" t="str">
        <f t="shared" si="53"/>
        <v>-</v>
      </c>
      <c r="N74" s="194" t="str">
        <f t="shared" ca="1" si="54"/>
        <v/>
      </c>
      <c r="O74" s="194" t="str">
        <f t="shared" ca="1" si="55"/>
        <v/>
      </c>
      <c r="P74" s="194" t="str">
        <f t="shared" ca="1" si="56"/>
        <v/>
      </c>
      <c r="Q74" s="194" t="str">
        <f t="shared" ca="1" si="57"/>
        <v/>
      </c>
      <c r="R74" s="194" t="str">
        <f t="shared" ca="1" si="58"/>
        <v/>
      </c>
      <c r="S74" s="194" t="str">
        <f t="shared" si="59"/>
        <v/>
      </c>
    </row>
    <row r="75" spans="2:25" ht="15" customHeight="1">
      <c r="B75" s="239">
        <f t="shared" si="60"/>
        <v>11</v>
      </c>
      <c r="C75" s="244" t="str">
        <f t="shared" si="47"/>
        <v/>
      </c>
      <c r="D75" s="244" t="str">
        <f t="shared" si="48"/>
        <v>-</v>
      </c>
      <c r="E75" s="244" t="str">
        <f t="shared" si="49"/>
        <v>-</v>
      </c>
      <c r="F75" s="244" t="str">
        <f t="shared" si="50"/>
        <v>-</v>
      </c>
      <c r="G75" s="244" t="str">
        <f t="shared" si="51"/>
        <v/>
      </c>
      <c r="I75" s="203" t="str">
        <f>IF($S19=FALSE,"",ROUND(IF(D$3="mV/V",Pressure_2_R1!S14/G$3,Pressure_2_R1!S14),I$3))</f>
        <v/>
      </c>
      <c r="J75" s="203" t="str">
        <f>IF($S19=FALSE,"",ROUND(IF(D$3="mV/V",Pressure_2_R1!T14/G$3,Pressure_2_R1!T14),I$3))</f>
        <v/>
      </c>
      <c r="K75" s="203" t="str">
        <f t="shared" si="52"/>
        <v/>
      </c>
      <c r="L75" s="204" t="str">
        <f t="shared" si="53"/>
        <v>-</v>
      </c>
      <c r="N75" s="194" t="str">
        <f t="shared" ca="1" si="54"/>
        <v/>
      </c>
      <c r="O75" s="194" t="str">
        <f t="shared" ca="1" si="55"/>
        <v/>
      </c>
      <c r="P75" s="194" t="str">
        <f t="shared" ca="1" si="56"/>
        <v/>
      </c>
      <c r="Q75" s="194" t="str">
        <f t="shared" ca="1" si="57"/>
        <v/>
      </c>
      <c r="R75" s="194" t="str">
        <f t="shared" ca="1" si="58"/>
        <v/>
      </c>
      <c r="S75" s="194" t="str">
        <f t="shared" si="59"/>
        <v/>
      </c>
      <c r="U75" s="184" t="s">
        <v>559</v>
      </c>
      <c r="V75" s="193"/>
    </row>
    <row r="76" spans="2:25" ht="15" customHeight="1">
      <c r="B76" s="239">
        <f t="shared" si="60"/>
        <v>12</v>
      </c>
      <c r="C76" s="244" t="str">
        <f t="shared" si="47"/>
        <v/>
      </c>
      <c r="D76" s="244" t="str">
        <f t="shared" si="48"/>
        <v>-</v>
      </c>
      <c r="E76" s="244" t="str">
        <f t="shared" si="49"/>
        <v>-</v>
      </c>
      <c r="F76" s="244" t="str">
        <f t="shared" si="50"/>
        <v>-</v>
      </c>
      <c r="G76" s="244" t="str">
        <f t="shared" si="51"/>
        <v/>
      </c>
      <c r="I76" s="203" t="str">
        <f>IF($S20=FALSE,"",ROUND(IF(D$3="mV/V",Pressure_2_R1!S15/G$3,Pressure_2_R1!S15),I$3))</f>
        <v/>
      </c>
      <c r="J76" s="203" t="str">
        <f>IF($S20=FALSE,"",ROUND(IF(D$3="mV/V",Pressure_2_R1!T15/G$3,Pressure_2_R1!T15),I$3))</f>
        <v/>
      </c>
      <c r="K76" s="203" t="str">
        <f t="shared" si="52"/>
        <v/>
      </c>
      <c r="L76" s="204" t="str">
        <f t="shared" si="53"/>
        <v>-</v>
      </c>
      <c r="N76" s="194" t="str">
        <f t="shared" ca="1" si="54"/>
        <v/>
      </c>
      <c r="O76" s="194" t="str">
        <f t="shared" ca="1" si="55"/>
        <v/>
      </c>
      <c r="P76" s="194" t="str">
        <f t="shared" ca="1" si="56"/>
        <v/>
      </c>
      <c r="Q76" s="194" t="str">
        <f t="shared" ca="1" si="57"/>
        <v/>
      </c>
      <c r="R76" s="194" t="str">
        <f t="shared" ca="1" si="58"/>
        <v/>
      </c>
      <c r="S76" s="194" t="str">
        <f t="shared" si="59"/>
        <v/>
      </c>
      <c r="U76" s="934" t="s">
        <v>560</v>
      </c>
      <c r="V76" s="935"/>
    </row>
    <row r="77" spans="2:25" ht="15" customHeight="1">
      <c r="B77" s="239">
        <f t="shared" si="60"/>
        <v>13</v>
      </c>
      <c r="C77" s="244" t="str">
        <f t="shared" si="47"/>
        <v/>
      </c>
      <c r="D77" s="244" t="str">
        <f t="shared" si="48"/>
        <v>-</v>
      </c>
      <c r="E77" s="244" t="str">
        <f t="shared" si="49"/>
        <v>-</v>
      </c>
      <c r="F77" s="244" t="str">
        <f t="shared" si="50"/>
        <v>-</v>
      </c>
      <c r="G77" s="244" t="str">
        <f t="shared" si="51"/>
        <v/>
      </c>
      <c r="I77" s="203" t="str">
        <f>IF($S21=FALSE,"",ROUND(IF(D$3="mV/V",Pressure_2_R1!S16/G$3,Pressure_2_R1!S16),I$3))</f>
        <v/>
      </c>
      <c r="J77" s="203" t="str">
        <f>IF($S21=FALSE,"",ROUND(IF(D$3="mV/V",Pressure_2_R1!T16/G$3,Pressure_2_R1!T16),I$3))</f>
        <v/>
      </c>
      <c r="K77" s="203" t="str">
        <f t="shared" si="52"/>
        <v/>
      </c>
      <c r="L77" s="204" t="str">
        <f t="shared" si="53"/>
        <v>-</v>
      </c>
      <c r="N77" s="194" t="str">
        <f t="shared" ca="1" si="54"/>
        <v/>
      </c>
      <c r="O77" s="194" t="str">
        <f t="shared" ca="1" si="55"/>
        <v/>
      </c>
      <c r="P77" s="194" t="str">
        <f t="shared" ca="1" si="56"/>
        <v/>
      </c>
      <c r="Q77" s="194" t="str">
        <f t="shared" ca="1" si="57"/>
        <v/>
      </c>
      <c r="R77" s="194" t="str">
        <f t="shared" ca="1" si="58"/>
        <v/>
      </c>
      <c r="S77" s="194" t="str">
        <f t="shared" si="59"/>
        <v/>
      </c>
      <c r="U77" s="246" t="s">
        <v>561</v>
      </c>
      <c r="V77" s="247" t="e">
        <f>SLOPE(D45:D59,I45:I59)</f>
        <v>#DIV/0!</v>
      </c>
    </row>
    <row r="78" spans="2:25" ht="15" customHeight="1">
      <c r="B78" s="239">
        <f t="shared" si="60"/>
        <v>14</v>
      </c>
      <c r="C78" s="244" t="str">
        <f t="shared" si="47"/>
        <v/>
      </c>
      <c r="D78" s="244" t="str">
        <f t="shared" si="48"/>
        <v>-</v>
      </c>
      <c r="E78" s="244" t="str">
        <f t="shared" si="49"/>
        <v>-</v>
      </c>
      <c r="F78" s="244" t="str">
        <f t="shared" si="50"/>
        <v>-</v>
      </c>
      <c r="G78" s="244" t="str">
        <f t="shared" si="51"/>
        <v/>
      </c>
      <c r="I78" s="203" t="str">
        <f>IF($S22=FALSE,"",ROUND(IF(D$3="mV/V",Pressure_2_R1!S17/G$3,Pressure_2_R1!S17),I$3))</f>
        <v/>
      </c>
      <c r="J78" s="203" t="str">
        <f>IF($S22=FALSE,"",ROUND(IF(D$3="mV/V",Pressure_2_R1!T17/G$3,Pressure_2_R1!T17),I$3))</f>
        <v/>
      </c>
      <c r="K78" s="203" t="str">
        <f t="shared" si="52"/>
        <v/>
      </c>
      <c r="L78" s="204" t="str">
        <f t="shared" si="53"/>
        <v>-</v>
      </c>
      <c r="N78" s="194" t="str">
        <f t="shared" ca="1" si="54"/>
        <v/>
      </c>
      <c r="O78" s="194" t="str">
        <f t="shared" ca="1" si="55"/>
        <v/>
      </c>
      <c r="P78" s="194" t="str">
        <f t="shared" ca="1" si="56"/>
        <v/>
      </c>
      <c r="Q78" s="194" t="str">
        <f t="shared" ca="1" si="57"/>
        <v/>
      </c>
      <c r="R78" s="194" t="str">
        <f t="shared" ca="1" si="58"/>
        <v/>
      </c>
      <c r="S78" s="194" t="str">
        <f t="shared" si="59"/>
        <v/>
      </c>
      <c r="U78" s="246" t="s">
        <v>562</v>
      </c>
      <c r="V78" s="247" t="e">
        <f>INTERCEPT(D45:D59,I45:I59)</f>
        <v>#DIV/0!</v>
      </c>
      <c r="W78" s="205"/>
    </row>
    <row r="79" spans="2:25" ht="15" customHeight="1">
      <c r="B79" s="239">
        <f t="shared" si="60"/>
        <v>15</v>
      </c>
      <c r="C79" s="244" t="str">
        <f t="shared" si="47"/>
        <v/>
      </c>
      <c r="D79" s="244" t="str">
        <f t="shared" si="48"/>
        <v>-</v>
      </c>
      <c r="E79" s="244" t="str">
        <f t="shared" si="49"/>
        <v>-</v>
      </c>
      <c r="F79" s="244" t="str">
        <f t="shared" si="50"/>
        <v>-</v>
      </c>
      <c r="G79" s="244" t="str">
        <f t="shared" si="51"/>
        <v/>
      </c>
      <c r="I79" s="203" t="str">
        <f>IF($S23=FALSE,"",ROUND(IF(D$3="mV/V",Pressure_2_R1!S18/G$3,Pressure_2_R1!S18),I$3))</f>
        <v/>
      </c>
      <c r="J79" s="203" t="str">
        <f>IF($S23=FALSE,"",ROUND(IF(D$3="mV/V",Pressure_2_R1!T18/G$3,Pressure_2_R1!T18),I$3))</f>
        <v/>
      </c>
      <c r="K79" s="203" t="str">
        <f t="shared" si="52"/>
        <v/>
      </c>
      <c r="L79" s="204" t="str">
        <f t="shared" si="53"/>
        <v>-</v>
      </c>
      <c r="N79" s="194" t="str">
        <f t="shared" ca="1" si="54"/>
        <v/>
      </c>
      <c r="O79" s="194" t="str">
        <f t="shared" ca="1" si="55"/>
        <v/>
      </c>
      <c r="P79" s="194" t="str">
        <f t="shared" ca="1" si="56"/>
        <v/>
      </c>
      <c r="Q79" s="194" t="str">
        <f t="shared" ca="1" si="57"/>
        <v/>
      </c>
      <c r="R79" s="194" t="str">
        <f t="shared" ca="1" si="58"/>
        <v/>
      </c>
      <c r="S79" s="194" t="str">
        <f t="shared" si="59"/>
        <v/>
      </c>
      <c r="T79" s="180"/>
      <c r="U79" s="193"/>
    </row>
    <row r="80" spans="2:25" ht="15" customHeight="1">
      <c r="B80" s="180"/>
      <c r="C80" s="180"/>
      <c r="D80" s="180"/>
      <c r="E80" s="180"/>
    </row>
    <row r="81" spans="2:20" ht="15" customHeight="1">
      <c r="B81" s="184" t="s">
        <v>626</v>
      </c>
      <c r="T81" s="180"/>
    </row>
    <row r="82" spans="2:20" ht="15" customHeight="1">
      <c r="B82" s="922" t="s">
        <v>525</v>
      </c>
      <c r="C82" s="963" t="s">
        <v>627</v>
      </c>
      <c r="D82" s="963" t="s">
        <v>629</v>
      </c>
      <c r="E82" s="963"/>
      <c r="F82" s="963"/>
      <c r="G82" s="963"/>
      <c r="H82" s="963"/>
      <c r="I82" s="963"/>
      <c r="J82" s="963"/>
      <c r="K82" s="963"/>
      <c r="L82" s="963"/>
      <c r="M82" s="956" t="s">
        <v>641</v>
      </c>
      <c r="N82" s="195"/>
    </row>
    <row r="83" spans="2:20" ht="15" customHeight="1">
      <c r="B83" s="964"/>
      <c r="C83" s="963"/>
      <c r="D83" s="965" t="s">
        <v>630</v>
      </c>
      <c r="E83" s="965" t="s">
        <v>631</v>
      </c>
      <c r="F83" s="965" t="s">
        <v>632</v>
      </c>
      <c r="G83" s="965" t="s">
        <v>633</v>
      </c>
      <c r="H83" s="965" t="s">
        <v>634</v>
      </c>
      <c r="I83" s="965" t="s">
        <v>635</v>
      </c>
      <c r="J83" s="965" t="s">
        <v>636</v>
      </c>
      <c r="K83" s="963" t="s">
        <v>637</v>
      </c>
      <c r="L83" s="963" t="s">
        <v>638</v>
      </c>
      <c r="M83" s="957"/>
      <c r="N83" s="195"/>
    </row>
    <row r="84" spans="2:20" ht="15" customHeight="1">
      <c r="B84" s="964"/>
      <c r="C84" s="242" t="s">
        <v>628</v>
      </c>
      <c r="D84" s="965"/>
      <c r="E84" s="965"/>
      <c r="F84" s="966"/>
      <c r="G84" s="965"/>
      <c r="H84" s="965"/>
      <c r="I84" s="965"/>
      <c r="J84" s="965"/>
      <c r="K84" s="963"/>
      <c r="L84" s="963"/>
      <c r="M84" s="331">
        <f>D3</f>
        <v>0</v>
      </c>
      <c r="N84" s="195"/>
    </row>
    <row r="85" spans="2:20" ht="15" customHeight="1">
      <c r="B85" s="239">
        <f t="shared" ref="B85:B99" si="61">B65</f>
        <v>1</v>
      </c>
      <c r="C85" s="247" t="e">
        <f>MAX(MAX(K45:K59),ABS(MIN(K45:K59)))/MAX(H45:H59)</f>
        <v>#DIV/0!</v>
      </c>
      <c r="D85" s="239" t="str">
        <f>D45</f>
        <v/>
      </c>
      <c r="E85" s="239" t="str">
        <f t="shared" ref="E85:E99" si="62">H45</f>
        <v/>
      </c>
      <c r="F85" s="239" t="e">
        <f t="shared" ref="F85:F99" si="63">(G85-H85)/(I85-J85)*D85+H85</f>
        <v>#DIV/0!</v>
      </c>
      <c r="G85" s="239">
        <f>MAX(E85:E99)</f>
        <v>0</v>
      </c>
      <c r="H85" s="239">
        <f>MIN(E85:E99)</f>
        <v>0</v>
      </c>
      <c r="I85" s="239">
        <f>MAX(D85:D99)</f>
        <v>0</v>
      </c>
      <c r="J85" s="239">
        <f>MIN(D85:D99)</f>
        <v>0</v>
      </c>
      <c r="K85" s="239" t="str">
        <f>IF(D85="","",ABS((E85-F85)/(G85-H85)))</f>
        <v/>
      </c>
      <c r="L85" s="239">
        <f>MAX(K85:K99)</f>
        <v>0</v>
      </c>
      <c r="M85" s="317">
        <f>(G85-(H85-E3))</f>
        <v>0</v>
      </c>
      <c r="N85" s="195"/>
    </row>
    <row r="86" spans="2:20" ht="15" customHeight="1">
      <c r="B86" s="239">
        <f t="shared" si="61"/>
        <v>2</v>
      </c>
      <c r="C86" s="315"/>
      <c r="D86" s="239" t="str">
        <f t="shared" ref="D86:D99" si="64">D46</f>
        <v/>
      </c>
      <c r="E86" s="239" t="str">
        <f t="shared" si="62"/>
        <v/>
      </c>
      <c r="F86" s="239" t="e">
        <f t="shared" si="63"/>
        <v>#DIV/0!</v>
      </c>
      <c r="G86" s="316">
        <f>G85</f>
        <v>0</v>
      </c>
      <c r="H86" s="316">
        <f>H85</f>
        <v>0</v>
      </c>
      <c r="I86" s="316">
        <f>I85</f>
        <v>0</v>
      </c>
      <c r="J86" s="316">
        <f>J85</f>
        <v>0</v>
      </c>
      <c r="K86" s="239" t="str">
        <f t="shared" ref="K86:K99" si="65">IF(D86="","",ABS((E86-F86)/(G86-H86)))</f>
        <v/>
      </c>
      <c r="L86" s="318"/>
      <c r="M86" s="318"/>
      <c r="N86" s="195"/>
    </row>
    <row r="87" spans="2:20" ht="15" customHeight="1">
      <c r="B87" s="239">
        <f t="shared" si="61"/>
        <v>3</v>
      </c>
      <c r="C87" s="315"/>
      <c r="D87" s="239" t="str">
        <f t="shared" si="64"/>
        <v/>
      </c>
      <c r="E87" s="239" t="str">
        <f t="shared" si="62"/>
        <v/>
      </c>
      <c r="F87" s="239" t="e">
        <f t="shared" si="63"/>
        <v>#DIV/0!</v>
      </c>
      <c r="G87" s="316">
        <f t="shared" ref="G87:J99" si="66">G86</f>
        <v>0</v>
      </c>
      <c r="H87" s="316">
        <f t="shared" si="66"/>
        <v>0</v>
      </c>
      <c r="I87" s="316">
        <f t="shared" si="66"/>
        <v>0</v>
      </c>
      <c r="J87" s="316">
        <f t="shared" si="66"/>
        <v>0</v>
      </c>
      <c r="K87" s="239" t="str">
        <f t="shared" si="65"/>
        <v/>
      </c>
      <c r="L87" s="318"/>
      <c r="M87" s="318"/>
      <c r="N87" s="195"/>
    </row>
    <row r="88" spans="2:20" ht="15" customHeight="1">
      <c r="B88" s="239">
        <f t="shared" si="61"/>
        <v>4</v>
      </c>
      <c r="C88" s="315"/>
      <c r="D88" s="239" t="str">
        <f t="shared" si="64"/>
        <v/>
      </c>
      <c r="E88" s="239" t="str">
        <f t="shared" si="62"/>
        <v/>
      </c>
      <c r="F88" s="239" t="e">
        <f t="shared" si="63"/>
        <v>#DIV/0!</v>
      </c>
      <c r="G88" s="316">
        <f t="shared" si="66"/>
        <v>0</v>
      </c>
      <c r="H88" s="316">
        <f t="shared" si="66"/>
        <v>0</v>
      </c>
      <c r="I88" s="316">
        <f t="shared" si="66"/>
        <v>0</v>
      </c>
      <c r="J88" s="316">
        <f t="shared" si="66"/>
        <v>0</v>
      </c>
      <c r="K88" s="239" t="str">
        <f t="shared" si="65"/>
        <v/>
      </c>
      <c r="L88" s="318"/>
      <c r="M88" s="318"/>
      <c r="N88" s="195"/>
    </row>
    <row r="89" spans="2:20" ht="15" customHeight="1">
      <c r="B89" s="239">
        <f t="shared" si="61"/>
        <v>5</v>
      </c>
      <c r="C89" s="315"/>
      <c r="D89" s="239" t="str">
        <f t="shared" si="64"/>
        <v/>
      </c>
      <c r="E89" s="239" t="str">
        <f t="shared" si="62"/>
        <v/>
      </c>
      <c r="F89" s="239" t="e">
        <f t="shared" si="63"/>
        <v>#DIV/0!</v>
      </c>
      <c r="G89" s="316">
        <f t="shared" si="66"/>
        <v>0</v>
      </c>
      <c r="H89" s="316">
        <f t="shared" si="66"/>
        <v>0</v>
      </c>
      <c r="I89" s="316">
        <f t="shared" si="66"/>
        <v>0</v>
      </c>
      <c r="J89" s="316">
        <f t="shared" si="66"/>
        <v>0</v>
      </c>
      <c r="K89" s="239" t="str">
        <f t="shared" si="65"/>
        <v/>
      </c>
      <c r="L89" s="318"/>
      <c r="M89" s="318"/>
      <c r="N89" s="195"/>
    </row>
    <row r="90" spans="2:20" ht="15" customHeight="1">
      <c r="B90" s="239">
        <f t="shared" si="61"/>
        <v>6</v>
      </c>
      <c r="C90" s="315"/>
      <c r="D90" s="239" t="str">
        <f t="shared" si="64"/>
        <v/>
      </c>
      <c r="E90" s="239" t="str">
        <f t="shared" si="62"/>
        <v/>
      </c>
      <c r="F90" s="239" t="e">
        <f t="shared" si="63"/>
        <v>#DIV/0!</v>
      </c>
      <c r="G90" s="316">
        <f t="shared" si="66"/>
        <v>0</v>
      </c>
      <c r="H90" s="316">
        <f t="shared" si="66"/>
        <v>0</v>
      </c>
      <c r="I90" s="316">
        <f t="shared" si="66"/>
        <v>0</v>
      </c>
      <c r="J90" s="316">
        <f t="shared" si="66"/>
        <v>0</v>
      </c>
      <c r="K90" s="239" t="str">
        <f t="shared" si="65"/>
        <v/>
      </c>
      <c r="L90" s="318"/>
      <c r="M90" s="180"/>
      <c r="N90" s="180"/>
      <c r="O90" s="180"/>
      <c r="P90" s="180"/>
      <c r="Q90" s="180"/>
      <c r="R90" s="180"/>
      <c r="S90" s="180"/>
      <c r="T90" s="180"/>
    </row>
    <row r="91" spans="2:20" ht="15" customHeight="1">
      <c r="B91" s="239">
        <f t="shared" si="61"/>
        <v>7</v>
      </c>
      <c r="C91" s="315"/>
      <c r="D91" s="239" t="str">
        <f t="shared" si="64"/>
        <v/>
      </c>
      <c r="E91" s="239" t="str">
        <f t="shared" si="62"/>
        <v/>
      </c>
      <c r="F91" s="239" t="e">
        <f t="shared" si="63"/>
        <v>#DIV/0!</v>
      </c>
      <c r="G91" s="316">
        <f t="shared" si="66"/>
        <v>0</v>
      </c>
      <c r="H91" s="316">
        <f t="shared" si="66"/>
        <v>0</v>
      </c>
      <c r="I91" s="316">
        <f t="shared" si="66"/>
        <v>0</v>
      </c>
      <c r="J91" s="316">
        <f t="shared" si="66"/>
        <v>0</v>
      </c>
      <c r="K91" s="239" t="str">
        <f t="shared" si="65"/>
        <v/>
      </c>
      <c r="L91" s="318"/>
      <c r="M91" s="180"/>
      <c r="N91" s="180"/>
      <c r="O91" s="180"/>
      <c r="P91" s="180"/>
      <c r="Q91" s="180"/>
      <c r="R91" s="180"/>
      <c r="S91" s="180"/>
      <c r="T91" s="180"/>
    </row>
    <row r="92" spans="2:20" ht="15" customHeight="1">
      <c r="B92" s="239">
        <f t="shared" si="61"/>
        <v>8</v>
      </c>
      <c r="C92" s="315"/>
      <c r="D92" s="239" t="str">
        <f t="shared" si="64"/>
        <v/>
      </c>
      <c r="E92" s="239" t="str">
        <f t="shared" si="62"/>
        <v/>
      </c>
      <c r="F92" s="239" t="e">
        <f t="shared" si="63"/>
        <v>#DIV/0!</v>
      </c>
      <c r="G92" s="316">
        <f t="shared" si="66"/>
        <v>0</v>
      </c>
      <c r="H92" s="316">
        <f t="shared" si="66"/>
        <v>0</v>
      </c>
      <c r="I92" s="316">
        <f t="shared" si="66"/>
        <v>0</v>
      </c>
      <c r="J92" s="316">
        <f t="shared" si="66"/>
        <v>0</v>
      </c>
      <c r="K92" s="239" t="str">
        <f t="shared" si="65"/>
        <v/>
      </c>
      <c r="L92" s="318"/>
      <c r="M92" s="318"/>
      <c r="N92" s="195"/>
    </row>
    <row r="93" spans="2:20" ht="15" customHeight="1">
      <c r="B93" s="239">
        <f t="shared" si="61"/>
        <v>9</v>
      </c>
      <c r="C93" s="315"/>
      <c r="D93" s="239" t="str">
        <f t="shared" si="64"/>
        <v/>
      </c>
      <c r="E93" s="239" t="str">
        <f t="shared" si="62"/>
        <v/>
      </c>
      <c r="F93" s="239" t="e">
        <f t="shared" si="63"/>
        <v>#DIV/0!</v>
      </c>
      <c r="G93" s="316">
        <f t="shared" si="66"/>
        <v>0</v>
      </c>
      <c r="H93" s="316">
        <f t="shared" si="66"/>
        <v>0</v>
      </c>
      <c r="I93" s="316">
        <f t="shared" si="66"/>
        <v>0</v>
      </c>
      <c r="J93" s="316">
        <f t="shared" si="66"/>
        <v>0</v>
      </c>
      <c r="K93" s="239" t="str">
        <f t="shared" si="65"/>
        <v/>
      </c>
      <c r="L93" s="318"/>
      <c r="M93" s="318"/>
      <c r="N93" s="195"/>
    </row>
    <row r="94" spans="2:20" ht="15" customHeight="1">
      <c r="B94" s="239">
        <f t="shared" si="61"/>
        <v>10</v>
      </c>
      <c r="C94" s="315"/>
      <c r="D94" s="239" t="str">
        <f t="shared" si="64"/>
        <v/>
      </c>
      <c r="E94" s="239" t="str">
        <f t="shared" si="62"/>
        <v/>
      </c>
      <c r="F94" s="239" t="e">
        <f t="shared" si="63"/>
        <v>#DIV/0!</v>
      </c>
      <c r="G94" s="316">
        <f t="shared" si="66"/>
        <v>0</v>
      </c>
      <c r="H94" s="316">
        <f t="shared" si="66"/>
        <v>0</v>
      </c>
      <c r="I94" s="316">
        <f t="shared" si="66"/>
        <v>0</v>
      </c>
      <c r="J94" s="316">
        <f t="shared" si="66"/>
        <v>0</v>
      </c>
      <c r="K94" s="239" t="str">
        <f t="shared" si="65"/>
        <v/>
      </c>
      <c r="L94" s="318"/>
      <c r="M94" s="318"/>
      <c r="N94" s="195"/>
    </row>
    <row r="95" spans="2:20" ht="15" customHeight="1">
      <c r="B95" s="239">
        <f t="shared" si="61"/>
        <v>11</v>
      </c>
      <c r="C95" s="315"/>
      <c r="D95" s="239" t="str">
        <f t="shared" si="64"/>
        <v/>
      </c>
      <c r="E95" s="239" t="str">
        <f t="shared" si="62"/>
        <v/>
      </c>
      <c r="F95" s="239" t="e">
        <f t="shared" si="63"/>
        <v>#DIV/0!</v>
      </c>
      <c r="G95" s="316">
        <f t="shared" si="66"/>
        <v>0</v>
      </c>
      <c r="H95" s="316">
        <f t="shared" si="66"/>
        <v>0</v>
      </c>
      <c r="I95" s="316">
        <f t="shared" si="66"/>
        <v>0</v>
      </c>
      <c r="J95" s="316">
        <f t="shared" si="66"/>
        <v>0</v>
      </c>
      <c r="K95" s="239" t="str">
        <f t="shared" si="65"/>
        <v/>
      </c>
      <c r="L95" s="195"/>
      <c r="M95" s="195"/>
      <c r="N95" s="195"/>
    </row>
    <row r="96" spans="2:20" ht="15" customHeight="1">
      <c r="B96" s="239">
        <f t="shared" si="61"/>
        <v>12</v>
      </c>
      <c r="C96" s="315"/>
      <c r="D96" s="239" t="str">
        <f t="shared" si="64"/>
        <v/>
      </c>
      <c r="E96" s="239" t="str">
        <f t="shared" si="62"/>
        <v/>
      </c>
      <c r="F96" s="239" t="e">
        <f t="shared" si="63"/>
        <v>#DIV/0!</v>
      </c>
      <c r="G96" s="316">
        <f t="shared" si="66"/>
        <v>0</v>
      </c>
      <c r="H96" s="316">
        <f t="shared" si="66"/>
        <v>0</v>
      </c>
      <c r="I96" s="316">
        <f t="shared" si="66"/>
        <v>0</v>
      </c>
      <c r="J96" s="316">
        <f t="shared" si="66"/>
        <v>0</v>
      </c>
      <c r="K96" s="239" t="str">
        <f t="shared" si="65"/>
        <v/>
      </c>
      <c r="L96" s="195"/>
      <c r="M96" s="195"/>
      <c r="N96" s="195"/>
    </row>
    <row r="97" spans="2:14" ht="15" customHeight="1">
      <c r="B97" s="239">
        <f t="shared" si="61"/>
        <v>13</v>
      </c>
      <c r="C97" s="315"/>
      <c r="D97" s="239" t="str">
        <f t="shared" si="64"/>
        <v/>
      </c>
      <c r="E97" s="239" t="str">
        <f t="shared" si="62"/>
        <v/>
      </c>
      <c r="F97" s="239" t="e">
        <f t="shared" si="63"/>
        <v>#DIV/0!</v>
      </c>
      <c r="G97" s="316">
        <f t="shared" si="66"/>
        <v>0</v>
      </c>
      <c r="H97" s="316">
        <f t="shared" si="66"/>
        <v>0</v>
      </c>
      <c r="I97" s="316">
        <f t="shared" si="66"/>
        <v>0</v>
      </c>
      <c r="J97" s="316">
        <f t="shared" si="66"/>
        <v>0</v>
      </c>
      <c r="K97" s="239" t="str">
        <f t="shared" si="65"/>
        <v/>
      </c>
      <c r="L97" s="195"/>
      <c r="M97" s="195"/>
      <c r="N97" s="195"/>
    </row>
    <row r="98" spans="2:14" ht="15" customHeight="1">
      <c r="B98" s="239">
        <f t="shared" si="61"/>
        <v>14</v>
      </c>
      <c r="C98" s="315"/>
      <c r="D98" s="239" t="str">
        <f t="shared" si="64"/>
        <v/>
      </c>
      <c r="E98" s="239" t="str">
        <f t="shared" si="62"/>
        <v/>
      </c>
      <c r="F98" s="239" t="e">
        <f t="shared" si="63"/>
        <v>#DIV/0!</v>
      </c>
      <c r="G98" s="316">
        <f t="shared" si="66"/>
        <v>0</v>
      </c>
      <c r="H98" s="316">
        <f t="shared" si="66"/>
        <v>0</v>
      </c>
      <c r="I98" s="316">
        <f t="shared" si="66"/>
        <v>0</v>
      </c>
      <c r="J98" s="316">
        <f t="shared" si="66"/>
        <v>0</v>
      </c>
      <c r="K98" s="239" t="str">
        <f t="shared" si="65"/>
        <v/>
      </c>
      <c r="L98" s="195"/>
      <c r="M98" s="195"/>
      <c r="N98" s="195"/>
    </row>
    <row r="99" spans="2:14" ht="15" customHeight="1">
      <c r="B99" s="239">
        <f t="shared" si="61"/>
        <v>15</v>
      </c>
      <c r="C99" s="315"/>
      <c r="D99" s="239" t="str">
        <f t="shared" si="64"/>
        <v/>
      </c>
      <c r="E99" s="239" t="str">
        <f t="shared" si="62"/>
        <v/>
      </c>
      <c r="F99" s="239" t="e">
        <f t="shared" si="63"/>
        <v>#DIV/0!</v>
      </c>
      <c r="G99" s="316">
        <f t="shared" si="66"/>
        <v>0</v>
      </c>
      <c r="H99" s="316">
        <f t="shared" si="66"/>
        <v>0</v>
      </c>
      <c r="I99" s="316">
        <f t="shared" si="66"/>
        <v>0</v>
      </c>
      <c r="J99" s="316">
        <f t="shared" si="66"/>
        <v>0</v>
      </c>
      <c r="K99" s="239" t="str">
        <f t="shared" si="65"/>
        <v/>
      </c>
      <c r="L99" s="195"/>
      <c r="M99" s="195"/>
      <c r="N99" s="195"/>
    </row>
    <row r="100" spans="2:14" ht="15" customHeight="1">
      <c r="B100" s="180"/>
      <c r="C100" s="180"/>
      <c r="D100" s="180"/>
      <c r="E100" s="180"/>
      <c r="H100" s="195"/>
      <c r="I100" s="195"/>
      <c r="J100" s="195"/>
      <c r="K100" s="195"/>
      <c r="L100" s="195"/>
      <c r="M100" s="195"/>
      <c r="N100" s="195"/>
    </row>
  </sheetData>
  <mergeCells count="57">
    <mergeCell ref="C6:C8"/>
    <mergeCell ref="D6:D7"/>
    <mergeCell ref="E6:E7"/>
    <mergeCell ref="F6:H6"/>
    <mergeCell ref="V6:Z6"/>
    <mergeCell ref="AA6:AD6"/>
    <mergeCell ref="B41:B44"/>
    <mergeCell ref="C41:C43"/>
    <mergeCell ref="D41:D43"/>
    <mergeCell ref="E41:E43"/>
    <mergeCell ref="G41:G43"/>
    <mergeCell ref="H41:L41"/>
    <mergeCell ref="J6:J7"/>
    <mergeCell ref="K6:M6"/>
    <mergeCell ref="N6:Q6"/>
    <mergeCell ref="S6:S8"/>
    <mergeCell ref="T6:T8"/>
    <mergeCell ref="U6:U8"/>
    <mergeCell ref="I6:I8"/>
    <mergeCell ref="B6:B8"/>
    <mergeCell ref="M41:M43"/>
    <mergeCell ref="Y41:Y44"/>
    <mergeCell ref="N42:N43"/>
    <mergeCell ref="O42:O43"/>
    <mergeCell ref="P42:P43"/>
    <mergeCell ref="Q42:Q43"/>
    <mergeCell ref="R42:R43"/>
    <mergeCell ref="T42:T43"/>
    <mergeCell ref="U42:U43"/>
    <mergeCell ref="V42:V43"/>
    <mergeCell ref="W42:W43"/>
    <mergeCell ref="X42:X43"/>
    <mergeCell ref="B62:B64"/>
    <mergeCell ref="C62:C63"/>
    <mergeCell ref="D62:F62"/>
    <mergeCell ref="I62:K62"/>
    <mergeCell ref="L62:L63"/>
    <mergeCell ref="B82:B84"/>
    <mergeCell ref="C82:C83"/>
    <mergeCell ref="D82:L82"/>
    <mergeCell ref="M82:M83"/>
    <mergeCell ref="D83:D84"/>
    <mergeCell ref="E83:E84"/>
    <mergeCell ref="F83:F84"/>
    <mergeCell ref="K83:K84"/>
    <mergeCell ref="L83:L84"/>
    <mergeCell ref="O62:S62"/>
    <mergeCell ref="D63:E63"/>
    <mergeCell ref="U76:V76"/>
    <mergeCell ref="F41:F43"/>
    <mergeCell ref="G83:G84"/>
    <mergeCell ref="H83:H84"/>
    <mergeCell ref="I83:I84"/>
    <mergeCell ref="J83:J84"/>
    <mergeCell ref="N41:R41"/>
    <mergeCell ref="S41:S43"/>
    <mergeCell ref="T41:X41"/>
  </mergeCells>
  <phoneticPr fontId="5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"/>
  <sheetViews>
    <sheetView workbookViewId="0"/>
  </sheetViews>
  <sheetFormatPr defaultColWidth="8.88671875" defaultRowHeight="12"/>
  <cols>
    <col min="1" max="1" width="4" style="152" bestFit="1" customWidth="1"/>
    <col min="2" max="2" width="6.6640625" style="152" bestFit="1" customWidth="1"/>
    <col min="3" max="3" width="15.88671875" style="152" bestFit="1" customWidth="1"/>
    <col min="4" max="13" width="1.77734375" style="152" customWidth="1"/>
    <col min="14" max="14" width="5.77734375" style="152" bestFit="1" customWidth="1"/>
    <col min="15" max="16" width="7.5546875" style="152" bestFit="1" customWidth="1"/>
    <col min="17" max="17" width="4" style="152" bestFit="1" customWidth="1"/>
    <col min="18" max="18" width="6.5546875" style="152" bestFit="1" customWidth="1"/>
    <col min="19" max="19" width="4" style="152" bestFit="1" customWidth="1"/>
    <col min="20" max="20" width="6.5546875" style="152" bestFit="1" customWidth="1"/>
    <col min="21" max="21" width="1.77734375" style="152" customWidth="1"/>
    <col min="22" max="22" width="9.33203125" style="152" bestFit="1" customWidth="1"/>
    <col min="23" max="23" width="6.6640625" style="152" bestFit="1" customWidth="1"/>
    <col min="24" max="24" width="1.77734375" style="152" customWidth="1"/>
    <col min="25" max="26" width="6.6640625" style="152" bestFit="1" customWidth="1"/>
    <col min="27" max="27" width="9.88671875" style="152" bestFit="1" customWidth="1"/>
    <col min="28" max="28" width="8.109375" style="152" bestFit="1" customWidth="1"/>
    <col min="29" max="34" width="1.77734375" style="152" customWidth="1"/>
    <col min="35" max="35" width="7.5546875" style="152" bestFit="1" customWidth="1"/>
    <col min="36" max="16384" width="8.88671875" style="152"/>
  </cols>
  <sheetData>
    <row r="1" spans="1:36">
      <c r="A1" s="335" t="s">
        <v>58</v>
      </c>
      <c r="B1" s="335" t="s">
        <v>59</v>
      </c>
      <c r="C1" s="335" t="s">
        <v>75</v>
      </c>
      <c r="D1" s="335"/>
      <c r="E1" s="335"/>
      <c r="F1" s="335"/>
      <c r="G1" s="335"/>
      <c r="H1" s="335"/>
      <c r="I1" s="335"/>
      <c r="J1" s="335"/>
      <c r="K1" s="335"/>
      <c r="L1" s="335"/>
      <c r="M1" s="335"/>
      <c r="N1" s="335" t="s">
        <v>76</v>
      </c>
      <c r="O1" s="335" t="s">
        <v>77</v>
      </c>
      <c r="P1" s="335" t="s">
        <v>78</v>
      </c>
      <c r="Q1" s="335" t="s">
        <v>60</v>
      </c>
      <c r="R1" s="335" t="s">
        <v>79</v>
      </c>
      <c r="S1" s="335" t="s">
        <v>60</v>
      </c>
      <c r="T1" s="335" t="s">
        <v>80</v>
      </c>
      <c r="U1" s="335"/>
      <c r="V1" s="335" t="s">
        <v>81</v>
      </c>
      <c r="W1" s="335" t="s">
        <v>82</v>
      </c>
      <c r="X1" s="335"/>
      <c r="Y1" s="335" t="s">
        <v>83</v>
      </c>
      <c r="Z1" s="335" t="s">
        <v>84</v>
      </c>
      <c r="AA1" s="335" t="s">
        <v>85</v>
      </c>
      <c r="AB1" s="335" t="s">
        <v>86</v>
      </c>
      <c r="AC1" s="335"/>
      <c r="AD1" s="335"/>
      <c r="AE1" s="335"/>
      <c r="AF1" s="335"/>
      <c r="AG1" s="335"/>
      <c r="AH1" s="335"/>
      <c r="AI1" s="335" t="s">
        <v>87</v>
      </c>
      <c r="AJ1" s="336" t="s">
        <v>648</v>
      </c>
    </row>
  </sheetData>
  <phoneticPr fontId="5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135"/>
  <sheetViews>
    <sheetView zoomScaleNormal="100" workbookViewId="0">
      <selection activeCell="B36" sqref="B36"/>
    </sheetView>
  </sheetViews>
  <sheetFormatPr defaultColWidth="9" defaultRowHeight="17.100000000000001" customHeight="1"/>
  <cols>
    <col min="1" max="36" width="10.44140625" style="47" customWidth="1"/>
    <col min="37" max="16384" width="9" style="47"/>
  </cols>
  <sheetData>
    <row r="1" spans="1:28" s="22" customFormat="1" ht="33" customHeight="1">
      <c r="A1" s="26" t="s">
        <v>55</v>
      </c>
    </row>
    <row r="2" spans="1:28" s="22" customFormat="1" ht="17.100000000000001" customHeight="1">
      <c r="A2" s="28" t="s">
        <v>45</v>
      </c>
      <c r="B2" s="28"/>
      <c r="C2" s="28"/>
      <c r="L2" s="153" t="s">
        <v>51</v>
      </c>
      <c r="O2" s="153" t="s">
        <v>88</v>
      </c>
      <c r="S2" s="28" t="s">
        <v>90</v>
      </c>
      <c r="V2" s="28" t="s">
        <v>46</v>
      </c>
      <c r="Z2" s="28" t="s">
        <v>690</v>
      </c>
    </row>
    <row r="3" spans="1:28" s="22" customFormat="1" ht="27">
      <c r="A3" s="23" t="s">
        <v>47</v>
      </c>
      <c r="B3" s="25" t="s">
        <v>182</v>
      </c>
      <c r="C3" s="23" t="s">
        <v>673</v>
      </c>
      <c r="D3" s="25" t="s">
        <v>48</v>
      </c>
      <c r="E3" s="25" t="s">
        <v>49</v>
      </c>
      <c r="F3" s="23" t="s">
        <v>50</v>
      </c>
      <c r="G3" s="25" t="s">
        <v>322</v>
      </c>
      <c r="H3" s="25" t="s">
        <v>323</v>
      </c>
      <c r="I3" s="25" t="s">
        <v>316</v>
      </c>
      <c r="J3" s="25" t="s">
        <v>317</v>
      </c>
      <c r="K3" s="25" t="s">
        <v>318</v>
      </c>
      <c r="L3" s="25" t="s">
        <v>51</v>
      </c>
      <c r="M3" s="25"/>
      <c r="N3" s="25"/>
      <c r="O3" s="23" t="s">
        <v>89</v>
      </c>
      <c r="P3" s="25" t="s">
        <v>359</v>
      </c>
      <c r="Q3" s="25" t="s">
        <v>360</v>
      </c>
      <c r="R3" s="25" t="s">
        <v>361</v>
      </c>
      <c r="S3" s="25" t="s">
        <v>91</v>
      </c>
      <c r="T3" s="154" t="s">
        <v>92</v>
      </c>
      <c r="U3" s="154" t="s">
        <v>93</v>
      </c>
      <c r="V3" s="25" t="s">
        <v>65</v>
      </c>
      <c r="W3" s="25" t="s">
        <v>66</v>
      </c>
      <c r="X3" s="25" t="s">
        <v>94</v>
      </c>
      <c r="Z3" s="25" t="s">
        <v>65</v>
      </c>
      <c r="AA3" s="25" t="s">
        <v>66</v>
      </c>
      <c r="AB3" s="25" t="s">
        <v>94</v>
      </c>
    </row>
    <row r="4" spans="1:28" s="22" customFormat="1" ht="17.100000000000001" customHeight="1">
      <c r="A4" s="48"/>
      <c r="B4" s="343"/>
      <c r="C4" s="343"/>
      <c r="D4" s="36"/>
      <c r="E4" s="36"/>
      <c r="F4" s="36"/>
      <c r="G4" s="36"/>
      <c r="H4" s="138"/>
      <c r="I4" s="138"/>
      <c r="J4" s="138"/>
      <c r="K4" s="36"/>
      <c r="L4" s="36"/>
      <c r="M4" s="138"/>
      <c r="N4" s="138"/>
      <c r="O4" s="36"/>
      <c r="P4" s="36"/>
      <c r="Q4" s="138"/>
      <c r="R4" s="138"/>
      <c r="S4" s="36"/>
      <c r="T4" s="36"/>
      <c r="U4" s="36"/>
      <c r="V4" s="37"/>
      <c r="W4" s="37"/>
      <c r="X4" s="37"/>
      <c r="Z4" s="37"/>
      <c r="AA4" s="37"/>
      <c r="AB4" s="37"/>
    </row>
    <row r="5" spans="1:28" s="22" customFormat="1" ht="17.100000000000001" customHeight="1">
      <c r="A5" s="48"/>
      <c r="B5" s="343"/>
      <c r="C5" s="343"/>
      <c r="D5" s="36"/>
      <c r="E5" s="36"/>
      <c r="F5" s="36"/>
      <c r="G5" s="36"/>
      <c r="H5" s="138"/>
      <c r="I5" s="138"/>
      <c r="J5" s="138"/>
      <c r="K5" s="36"/>
      <c r="L5" s="36"/>
      <c r="M5" s="138"/>
      <c r="N5" s="138"/>
      <c r="O5" s="36"/>
      <c r="P5" s="36"/>
      <c r="Q5" s="138"/>
      <c r="R5" s="138"/>
      <c r="S5" s="36"/>
      <c r="T5" s="36"/>
      <c r="U5" s="37"/>
      <c r="V5" s="37"/>
      <c r="W5" s="37"/>
      <c r="X5" s="37"/>
      <c r="Z5" s="37"/>
      <c r="AA5" s="37"/>
      <c r="AB5" s="37"/>
    </row>
    <row r="6" spans="1:28" s="22" customFormat="1" ht="17.100000000000001" customHeight="1">
      <c r="A6" s="48"/>
      <c r="B6" s="343"/>
      <c r="C6" s="343"/>
      <c r="D6" s="36"/>
      <c r="E6" s="36"/>
      <c r="F6" s="36"/>
      <c r="G6" s="36"/>
      <c r="H6" s="138"/>
      <c r="I6" s="138"/>
      <c r="J6" s="138"/>
      <c r="K6" s="36"/>
      <c r="L6" s="36"/>
      <c r="M6" s="138"/>
      <c r="N6" s="138"/>
      <c r="O6" s="36"/>
      <c r="P6" s="36"/>
      <c r="Q6" s="138"/>
      <c r="R6" s="138"/>
      <c r="S6" s="36"/>
      <c r="T6" s="36"/>
      <c r="U6" s="37"/>
      <c r="V6" s="37"/>
      <c r="W6" s="37"/>
      <c r="X6" s="37"/>
      <c r="Z6" s="37"/>
      <c r="AA6" s="37"/>
      <c r="AB6" s="37"/>
    </row>
    <row r="7" spans="1:28" s="22" customFormat="1" ht="17.100000000000001" customHeight="1">
      <c r="A7" s="48"/>
      <c r="B7" s="343"/>
      <c r="C7" s="343"/>
      <c r="D7" s="36"/>
      <c r="E7" s="36"/>
      <c r="F7" s="36"/>
      <c r="G7" s="36"/>
      <c r="H7" s="138"/>
      <c r="I7" s="138"/>
      <c r="J7" s="138"/>
      <c r="K7" s="36"/>
      <c r="L7" s="36"/>
      <c r="M7" s="138"/>
      <c r="N7" s="138"/>
      <c r="O7" s="36"/>
      <c r="P7" s="36"/>
      <c r="Q7" s="138"/>
      <c r="R7" s="138"/>
      <c r="S7" s="36"/>
      <c r="T7" s="36"/>
      <c r="U7" s="37"/>
      <c r="V7" s="37"/>
      <c r="W7" s="37"/>
      <c r="X7" s="37"/>
      <c r="Z7" s="37"/>
      <c r="AA7" s="37"/>
      <c r="AB7" s="37"/>
    </row>
    <row r="8" spans="1:28" s="22" customFormat="1" ht="17.100000000000001" customHeight="1">
      <c r="A8" s="48"/>
      <c r="B8" s="343"/>
      <c r="C8" s="343"/>
      <c r="D8" s="36"/>
      <c r="E8" s="36"/>
      <c r="F8" s="36"/>
      <c r="G8" s="36"/>
      <c r="H8" s="138"/>
      <c r="I8" s="138"/>
      <c r="J8" s="138"/>
      <c r="K8" s="36"/>
      <c r="L8" s="36"/>
      <c r="M8" s="138"/>
      <c r="N8" s="138"/>
      <c r="O8" s="36"/>
      <c r="P8" s="36"/>
      <c r="Q8" s="138"/>
      <c r="R8" s="138"/>
      <c r="S8" s="36"/>
      <c r="T8" s="36"/>
      <c r="U8" s="37"/>
      <c r="V8" s="37"/>
      <c r="W8" s="37"/>
      <c r="X8" s="37"/>
      <c r="Z8" s="37"/>
      <c r="AA8" s="37"/>
      <c r="AB8" s="37"/>
    </row>
    <row r="9" spans="1:28" s="22" customFormat="1" ht="17.100000000000001" customHeight="1">
      <c r="A9" s="48"/>
      <c r="B9" s="343"/>
      <c r="C9" s="343"/>
      <c r="D9" s="36"/>
      <c r="E9" s="36"/>
      <c r="F9" s="36"/>
      <c r="G9" s="36"/>
      <c r="H9" s="138"/>
      <c r="I9" s="138"/>
      <c r="J9" s="138"/>
      <c r="K9" s="36"/>
      <c r="L9" s="36"/>
      <c r="M9" s="138"/>
      <c r="N9" s="138"/>
      <c r="O9" s="36"/>
      <c r="P9" s="36"/>
      <c r="Q9" s="138"/>
      <c r="R9" s="138"/>
      <c r="S9" s="36"/>
      <c r="T9" s="36"/>
      <c r="U9" s="37"/>
      <c r="V9" s="37"/>
      <c r="W9" s="37"/>
      <c r="X9" s="37"/>
      <c r="Z9" s="37"/>
      <c r="AA9" s="37"/>
      <c r="AB9" s="37"/>
    </row>
    <row r="10" spans="1:28" s="22" customFormat="1" ht="17.100000000000001" customHeight="1">
      <c r="A10" s="48"/>
      <c r="B10" s="343"/>
      <c r="C10" s="343"/>
      <c r="D10" s="36"/>
      <c r="E10" s="36"/>
      <c r="F10" s="36"/>
      <c r="G10" s="36"/>
      <c r="H10" s="138"/>
      <c r="I10" s="138"/>
      <c r="J10" s="138"/>
      <c r="K10" s="36"/>
      <c r="L10" s="36"/>
      <c r="M10" s="138"/>
      <c r="N10" s="138"/>
      <c r="O10" s="36"/>
      <c r="P10" s="36"/>
      <c r="Q10" s="138"/>
      <c r="R10" s="138"/>
      <c r="S10" s="36"/>
      <c r="T10" s="36"/>
      <c r="U10" s="37"/>
      <c r="V10" s="37"/>
      <c r="W10" s="37"/>
      <c r="X10" s="37"/>
      <c r="Z10" s="37"/>
      <c r="AA10" s="37"/>
      <c r="AB10" s="37"/>
    </row>
    <row r="11" spans="1:28" s="22" customFormat="1" ht="17.100000000000001" customHeight="1">
      <c r="A11" s="48"/>
      <c r="B11" s="343"/>
      <c r="C11" s="343"/>
      <c r="D11" s="36"/>
      <c r="E11" s="36"/>
      <c r="F11" s="36"/>
      <c r="G11" s="36"/>
      <c r="H11" s="138"/>
      <c r="I11" s="138"/>
      <c r="J11" s="138"/>
      <c r="K11" s="36"/>
      <c r="L11" s="36"/>
      <c r="M11" s="138"/>
      <c r="N11" s="138"/>
      <c r="O11" s="36"/>
      <c r="P11" s="36"/>
      <c r="Q11" s="138"/>
      <c r="R11" s="138"/>
      <c r="S11" s="36"/>
      <c r="T11" s="36"/>
      <c r="U11" s="37"/>
      <c r="V11" s="37"/>
      <c r="W11" s="37"/>
      <c r="X11" s="37"/>
      <c r="Z11" s="37"/>
      <c r="AA11" s="37"/>
      <c r="AB11" s="37"/>
    </row>
    <row r="12" spans="1:28" s="22" customFormat="1" ht="17.100000000000001" customHeight="1">
      <c r="A12" s="48"/>
      <c r="B12" s="343"/>
      <c r="C12" s="343"/>
      <c r="D12" s="36"/>
      <c r="E12" s="36"/>
      <c r="F12" s="36"/>
      <c r="G12" s="36"/>
      <c r="H12" s="138"/>
      <c r="I12" s="138"/>
      <c r="J12" s="138"/>
      <c r="K12" s="36"/>
      <c r="L12" s="36"/>
      <c r="M12" s="138"/>
      <c r="N12" s="138"/>
      <c r="O12" s="36"/>
      <c r="P12" s="36"/>
      <c r="Q12" s="138"/>
      <c r="R12" s="138"/>
      <c r="S12" s="36"/>
      <c r="T12" s="36"/>
      <c r="U12" s="37"/>
      <c r="V12" s="37"/>
      <c r="W12" s="37"/>
      <c r="X12" s="37"/>
      <c r="Z12" s="37"/>
      <c r="AA12" s="37"/>
      <c r="AB12" s="37"/>
    </row>
    <row r="13" spans="1:28" s="22" customFormat="1" ht="17.100000000000001" customHeight="1">
      <c r="A13" s="48"/>
      <c r="B13" s="343"/>
      <c r="C13" s="343"/>
      <c r="D13" s="36"/>
      <c r="E13" s="36"/>
      <c r="F13" s="36"/>
      <c r="G13" s="36"/>
      <c r="H13" s="138"/>
      <c r="I13" s="138"/>
      <c r="J13" s="138"/>
      <c r="K13" s="36"/>
      <c r="L13" s="36"/>
      <c r="M13" s="138"/>
      <c r="N13" s="138"/>
      <c r="O13" s="36"/>
      <c r="P13" s="36"/>
      <c r="Q13" s="138"/>
      <c r="R13" s="138"/>
      <c r="S13" s="36"/>
      <c r="T13" s="36"/>
      <c r="U13" s="37"/>
      <c r="V13" s="37"/>
      <c r="W13" s="37"/>
      <c r="X13" s="37"/>
      <c r="Z13" s="37"/>
      <c r="AA13" s="37"/>
      <c r="AB13" s="37"/>
    </row>
    <row r="14" spans="1:28" s="22" customFormat="1" ht="17.100000000000001" customHeight="1">
      <c r="A14" s="48"/>
      <c r="B14" s="343"/>
      <c r="C14" s="343"/>
      <c r="D14" s="36"/>
      <c r="E14" s="36"/>
      <c r="F14" s="36"/>
      <c r="G14" s="36"/>
      <c r="H14" s="138"/>
      <c r="I14" s="138"/>
      <c r="J14" s="138"/>
      <c r="K14" s="36"/>
      <c r="L14" s="36"/>
      <c r="M14" s="138"/>
      <c r="N14" s="138"/>
      <c r="O14" s="36"/>
      <c r="P14" s="36"/>
      <c r="Q14" s="138"/>
      <c r="R14" s="138"/>
      <c r="S14" s="36"/>
      <c r="T14" s="36"/>
      <c r="U14" s="37"/>
      <c r="V14" s="37"/>
      <c r="W14" s="37"/>
      <c r="X14" s="37"/>
      <c r="Z14" s="37"/>
      <c r="AA14" s="37"/>
      <c r="AB14" s="37"/>
    </row>
    <row r="15" spans="1:28" s="22" customFormat="1" ht="17.100000000000001" customHeight="1">
      <c r="A15" s="48"/>
      <c r="B15" s="343"/>
      <c r="C15" s="343"/>
      <c r="D15" s="36"/>
      <c r="E15" s="36"/>
      <c r="F15" s="36"/>
      <c r="G15" s="36"/>
      <c r="H15" s="138"/>
      <c r="I15" s="138"/>
      <c r="J15" s="138"/>
      <c r="K15" s="36"/>
      <c r="L15" s="36"/>
      <c r="M15" s="138"/>
      <c r="N15" s="138"/>
      <c r="O15" s="36"/>
      <c r="P15" s="36"/>
      <c r="Q15" s="88"/>
      <c r="R15" s="88"/>
      <c r="S15" s="37"/>
      <c r="T15" s="37"/>
      <c r="U15" s="37"/>
      <c r="V15" s="37"/>
      <c r="W15" s="37"/>
      <c r="X15" s="37"/>
      <c r="Z15" s="37"/>
      <c r="AA15" s="37"/>
      <c r="AB15" s="37"/>
    </row>
    <row r="16" spans="1:28" s="22" customFormat="1" ht="17.100000000000001" customHeight="1">
      <c r="A16" s="48"/>
      <c r="B16" s="343"/>
      <c r="C16" s="343"/>
      <c r="D16" s="36"/>
      <c r="E16" s="36"/>
      <c r="F16" s="36"/>
      <c r="G16" s="36"/>
      <c r="H16" s="138"/>
      <c r="I16" s="138"/>
      <c r="J16" s="138"/>
      <c r="K16" s="36"/>
      <c r="L16" s="36"/>
      <c r="M16" s="138"/>
      <c r="N16" s="138"/>
      <c r="O16" s="36"/>
      <c r="P16" s="36"/>
      <c r="Q16" s="88"/>
      <c r="R16" s="88"/>
      <c r="S16" s="37"/>
      <c r="T16" s="37"/>
      <c r="U16" s="37"/>
      <c r="V16" s="37"/>
      <c r="W16" s="37"/>
      <c r="X16" s="37"/>
      <c r="Z16" s="37"/>
      <c r="AA16" s="37"/>
      <c r="AB16" s="37"/>
    </row>
    <row r="17" spans="1:28" s="22" customFormat="1" ht="17.100000000000001" customHeight="1">
      <c r="A17" s="48"/>
      <c r="B17" s="343"/>
      <c r="C17" s="343"/>
      <c r="D17" s="36"/>
      <c r="E17" s="36"/>
      <c r="F17" s="36"/>
      <c r="G17" s="36"/>
      <c r="H17" s="138"/>
      <c r="I17" s="138"/>
      <c r="J17" s="138"/>
      <c r="K17" s="36"/>
      <c r="L17" s="36"/>
      <c r="M17" s="138"/>
      <c r="N17" s="138"/>
      <c r="O17" s="36"/>
      <c r="P17" s="36"/>
      <c r="Q17" s="88"/>
      <c r="R17" s="88"/>
      <c r="S17" s="37"/>
      <c r="T17" s="37"/>
      <c r="U17" s="37"/>
      <c r="V17" s="37"/>
      <c r="W17" s="37"/>
      <c r="X17" s="37"/>
      <c r="Z17" s="37"/>
      <c r="AA17" s="37"/>
      <c r="AB17" s="37"/>
    </row>
    <row r="18" spans="1:28" s="22" customFormat="1" ht="17.100000000000001" customHeight="1">
      <c r="A18" s="48"/>
      <c r="B18" s="343"/>
      <c r="C18" s="343"/>
      <c r="D18" s="36"/>
      <c r="E18" s="36"/>
      <c r="F18" s="36"/>
      <c r="G18" s="36"/>
      <c r="H18" s="138"/>
      <c r="I18" s="138"/>
      <c r="J18" s="138"/>
      <c r="K18" s="36"/>
      <c r="L18" s="36"/>
      <c r="M18" s="138"/>
      <c r="N18" s="138"/>
      <c r="O18" s="36"/>
      <c r="P18" s="36"/>
      <c r="Q18" s="88"/>
      <c r="R18" s="88"/>
      <c r="S18" s="37"/>
      <c r="T18" s="37"/>
      <c r="U18" s="37"/>
      <c r="V18" s="37"/>
      <c r="W18" s="37"/>
      <c r="X18" s="37"/>
      <c r="Z18" s="37"/>
      <c r="AA18" s="37"/>
      <c r="AB18" s="37"/>
    </row>
    <row r="19" spans="1:28" s="22" customFormat="1" ht="17.100000000000001" customHeight="1">
      <c r="A19" s="48"/>
      <c r="B19" s="343"/>
      <c r="C19" s="343"/>
      <c r="D19" s="36"/>
      <c r="E19" s="36"/>
      <c r="F19" s="36"/>
      <c r="G19" s="36"/>
      <c r="H19" s="138"/>
      <c r="I19" s="138"/>
      <c r="J19" s="138"/>
      <c r="K19" s="36"/>
      <c r="L19" s="36"/>
      <c r="M19" s="138"/>
      <c r="N19" s="138"/>
      <c r="O19" s="36"/>
      <c r="P19" s="36"/>
      <c r="Q19" s="88"/>
      <c r="R19" s="88"/>
      <c r="S19" s="37"/>
      <c r="T19" s="37"/>
      <c r="U19" s="37"/>
      <c r="V19" s="37"/>
      <c r="W19" s="37"/>
      <c r="X19" s="37"/>
      <c r="Z19" s="37"/>
      <c r="AA19" s="37"/>
      <c r="AB19" s="37"/>
    </row>
    <row r="20" spans="1:28" s="22" customFormat="1" ht="17.100000000000001" customHeight="1">
      <c r="A20" s="48"/>
      <c r="B20" s="343"/>
      <c r="C20" s="343"/>
      <c r="D20" s="36"/>
      <c r="E20" s="36"/>
      <c r="F20" s="36"/>
      <c r="G20" s="36"/>
      <c r="H20" s="138"/>
      <c r="I20" s="138"/>
      <c r="J20" s="138"/>
      <c r="K20" s="36"/>
      <c r="L20" s="36"/>
      <c r="M20" s="138"/>
      <c r="N20" s="138"/>
      <c r="O20" s="36"/>
      <c r="P20" s="36"/>
      <c r="Q20" s="88"/>
      <c r="R20" s="88"/>
      <c r="S20" s="37"/>
      <c r="T20" s="37"/>
      <c r="U20" s="37"/>
      <c r="V20" s="37"/>
      <c r="W20" s="37"/>
      <c r="X20" s="37"/>
      <c r="Z20" s="37"/>
      <c r="AA20" s="37"/>
      <c r="AB20" s="37"/>
    </row>
    <row r="21" spans="1:28" s="22" customFormat="1" ht="17.100000000000001" customHeight="1">
      <c r="A21" s="48"/>
      <c r="B21" s="343"/>
      <c r="C21" s="343"/>
      <c r="D21" s="36"/>
      <c r="E21" s="36"/>
      <c r="F21" s="36"/>
      <c r="G21" s="36"/>
      <c r="H21" s="138"/>
      <c r="I21" s="138"/>
      <c r="J21" s="138"/>
      <c r="K21" s="36"/>
      <c r="L21" s="36"/>
      <c r="M21" s="138"/>
      <c r="N21" s="138"/>
      <c r="O21" s="36"/>
      <c r="P21" s="36"/>
      <c r="Q21" s="88"/>
      <c r="R21" s="88"/>
      <c r="S21" s="37"/>
      <c r="T21" s="37"/>
      <c r="U21" s="37"/>
      <c r="V21" s="37"/>
      <c r="W21" s="37"/>
      <c r="X21" s="37"/>
      <c r="Z21" s="37"/>
      <c r="AA21" s="37"/>
      <c r="AB21" s="37"/>
    </row>
    <row r="22" spans="1:28" s="22" customFormat="1" ht="17.100000000000001" customHeight="1">
      <c r="A22" s="49"/>
      <c r="B22" s="343"/>
      <c r="C22" s="343"/>
      <c r="D22" s="24"/>
      <c r="E22" s="24"/>
      <c r="F22" s="24"/>
      <c r="G22" s="24"/>
      <c r="H22" s="138"/>
      <c r="I22" s="138"/>
      <c r="J22" s="138"/>
      <c r="K22" s="24"/>
      <c r="L22" s="24"/>
      <c r="M22" s="138"/>
      <c r="N22" s="138"/>
      <c r="O22" s="24"/>
      <c r="P22" s="24"/>
      <c r="Q22" s="88"/>
      <c r="R22" s="88"/>
      <c r="S22" s="37"/>
      <c r="T22" s="37"/>
      <c r="U22" s="37"/>
      <c r="V22" s="37"/>
      <c r="W22" s="37"/>
      <c r="X22" s="37"/>
      <c r="Z22" s="37"/>
      <c r="AA22" s="37"/>
      <c r="AB22" s="37"/>
    </row>
    <row r="23" spans="1:28" s="22" customFormat="1" ht="17.100000000000001" customHeight="1">
      <c r="A23" s="59"/>
      <c r="B23" s="343"/>
      <c r="C23" s="343"/>
      <c r="D23" s="60"/>
      <c r="E23" s="60"/>
      <c r="F23" s="60"/>
      <c r="G23" s="60"/>
      <c r="H23" s="138"/>
      <c r="I23" s="138"/>
      <c r="J23" s="138"/>
      <c r="K23" s="60"/>
      <c r="L23" s="60"/>
      <c r="M23" s="138"/>
      <c r="N23" s="138"/>
      <c r="O23" s="60"/>
      <c r="P23" s="60"/>
      <c r="Q23" s="88"/>
      <c r="R23" s="88"/>
      <c r="S23" s="61"/>
      <c r="T23" s="61"/>
      <c r="U23" s="61"/>
      <c r="V23" s="61"/>
      <c r="W23" s="61"/>
      <c r="X23" s="61"/>
      <c r="Z23" s="61"/>
      <c r="AA23" s="61"/>
      <c r="AB23" s="61"/>
    </row>
    <row r="24" spans="1:28" s="22" customFormat="1" ht="17.100000000000001" customHeight="1">
      <c r="A24" s="59"/>
      <c r="B24" s="343"/>
      <c r="C24" s="343"/>
      <c r="D24" s="60"/>
      <c r="E24" s="60"/>
      <c r="F24" s="60"/>
      <c r="G24" s="60"/>
      <c r="H24" s="138"/>
      <c r="I24" s="138"/>
      <c r="J24" s="138"/>
      <c r="K24" s="60"/>
      <c r="L24" s="60"/>
      <c r="M24" s="138"/>
      <c r="N24" s="138"/>
      <c r="O24" s="60"/>
      <c r="P24" s="60"/>
      <c r="Q24" s="88"/>
      <c r="R24" s="88"/>
      <c r="S24" s="61"/>
      <c r="T24" s="61"/>
      <c r="U24" s="61"/>
      <c r="V24" s="61"/>
      <c r="W24" s="61"/>
      <c r="X24" s="61"/>
      <c r="Z24" s="61"/>
      <c r="AA24" s="61"/>
      <c r="AB24" s="61"/>
    </row>
    <row r="25" spans="1:28" s="22" customFormat="1" ht="17.100000000000001" customHeight="1">
      <c r="A25" s="155"/>
      <c r="B25" s="343"/>
      <c r="C25" s="343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88"/>
      <c r="R25" s="88"/>
      <c r="S25" s="88"/>
      <c r="T25" s="88"/>
      <c r="U25" s="88"/>
      <c r="V25" s="88"/>
      <c r="W25" s="88"/>
      <c r="X25" s="88"/>
      <c r="Z25" s="367"/>
      <c r="AA25" s="367"/>
      <c r="AB25" s="367"/>
    </row>
    <row r="26" spans="1:28" s="22" customFormat="1" ht="17.100000000000001" customHeight="1">
      <c r="A26" s="155"/>
      <c r="B26" s="343"/>
      <c r="C26" s="343"/>
      <c r="D26" s="138"/>
      <c r="E26" s="138"/>
      <c r="F26" s="138"/>
      <c r="G26" s="138"/>
      <c r="H26" s="138"/>
      <c r="I26" s="138"/>
      <c r="J26" s="138"/>
      <c r="K26" s="138"/>
      <c r="L26" s="138"/>
      <c r="M26" s="138"/>
      <c r="N26" s="138"/>
      <c r="O26" s="138"/>
      <c r="P26" s="138"/>
      <c r="Q26" s="88"/>
      <c r="R26" s="88"/>
      <c r="S26" s="88"/>
      <c r="T26" s="88"/>
      <c r="U26" s="88"/>
      <c r="V26" s="88"/>
      <c r="W26" s="88"/>
      <c r="X26" s="88"/>
      <c r="Z26" s="367"/>
      <c r="AA26" s="367"/>
      <c r="AB26" s="367"/>
    </row>
    <row r="27" spans="1:28" s="22" customFormat="1" ht="17.100000000000001" customHeight="1">
      <c r="A27" s="155"/>
      <c r="B27" s="343"/>
      <c r="C27" s="343"/>
      <c r="D27" s="138"/>
      <c r="E27" s="138"/>
      <c r="F27" s="138"/>
      <c r="G27" s="138"/>
      <c r="H27" s="138"/>
      <c r="I27" s="138"/>
      <c r="J27" s="138"/>
      <c r="K27" s="138"/>
      <c r="L27" s="138"/>
      <c r="M27" s="138"/>
      <c r="N27" s="138"/>
      <c r="O27" s="138"/>
      <c r="P27" s="138"/>
      <c r="Q27" s="88"/>
      <c r="R27" s="88"/>
      <c r="S27" s="88"/>
      <c r="T27" s="88"/>
      <c r="U27" s="88"/>
      <c r="V27" s="88"/>
      <c r="W27" s="88"/>
      <c r="X27" s="88"/>
      <c r="Z27" s="367"/>
      <c r="AA27" s="367"/>
      <c r="AB27" s="367"/>
    </row>
    <row r="28" spans="1:28" s="22" customFormat="1" ht="17.100000000000001" customHeight="1">
      <c r="A28" s="155"/>
      <c r="B28" s="343"/>
      <c r="C28" s="343"/>
      <c r="D28" s="138"/>
      <c r="E28" s="138"/>
      <c r="F28" s="138"/>
      <c r="G28" s="138"/>
      <c r="H28" s="138"/>
      <c r="I28" s="138"/>
      <c r="J28" s="138"/>
      <c r="K28" s="138"/>
      <c r="L28" s="138"/>
      <c r="M28" s="138"/>
      <c r="N28" s="138"/>
      <c r="O28" s="138"/>
      <c r="P28" s="138"/>
      <c r="Q28" s="88"/>
      <c r="R28" s="88"/>
      <c r="S28" s="88"/>
      <c r="T28" s="88"/>
      <c r="U28" s="88"/>
      <c r="V28" s="88"/>
      <c r="W28" s="88"/>
      <c r="X28" s="88"/>
      <c r="Z28" s="367"/>
      <c r="AA28" s="367"/>
      <c r="AB28" s="367"/>
    </row>
    <row r="29" spans="1:28" s="22" customFormat="1" ht="17.100000000000001" customHeight="1">
      <c r="A29" s="155"/>
      <c r="B29" s="343"/>
      <c r="C29" s="343"/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88"/>
      <c r="R29" s="88"/>
      <c r="S29" s="88"/>
      <c r="T29" s="88"/>
      <c r="U29" s="88"/>
      <c r="V29" s="88"/>
      <c r="W29" s="88"/>
      <c r="X29" s="88"/>
      <c r="Z29" s="367"/>
      <c r="AA29" s="367"/>
      <c r="AB29" s="367"/>
    </row>
    <row r="30" spans="1:28" s="22" customFormat="1" ht="17.100000000000001" customHeight="1">
      <c r="A30" s="155"/>
      <c r="B30" s="343"/>
      <c r="C30" s="343"/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138"/>
      <c r="Q30" s="88"/>
      <c r="R30" s="88"/>
      <c r="S30" s="88"/>
      <c r="T30" s="88"/>
      <c r="U30" s="88"/>
      <c r="V30" s="88"/>
      <c r="W30" s="88"/>
      <c r="X30" s="88"/>
      <c r="Z30" s="367"/>
      <c r="AA30" s="367"/>
      <c r="AB30" s="367"/>
    </row>
    <row r="31" spans="1:28" s="22" customFormat="1" ht="17.100000000000001" customHeight="1">
      <c r="A31" s="155"/>
      <c r="B31" s="343"/>
      <c r="C31" s="343"/>
      <c r="D31" s="138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88"/>
      <c r="R31" s="88"/>
      <c r="S31" s="88"/>
      <c r="T31" s="88"/>
      <c r="U31" s="88"/>
      <c r="V31" s="88"/>
      <c r="W31" s="88"/>
      <c r="X31" s="88"/>
      <c r="Z31" s="367"/>
      <c r="AA31" s="367"/>
      <c r="AB31" s="367"/>
    </row>
    <row r="32" spans="1:28" s="22" customFormat="1" ht="17.100000000000001" customHeight="1">
      <c r="A32" s="155"/>
      <c r="B32" s="343"/>
      <c r="C32" s="343"/>
      <c r="D32" s="138"/>
      <c r="E32" s="138"/>
      <c r="F32" s="138"/>
      <c r="G32" s="138"/>
      <c r="H32" s="138"/>
      <c r="I32" s="138"/>
      <c r="J32" s="138"/>
      <c r="K32" s="138"/>
      <c r="L32" s="138"/>
      <c r="M32" s="138"/>
      <c r="N32" s="138"/>
      <c r="O32" s="138"/>
      <c r="P32" s="138"/>
      <c r="Q32" s="88"/>
      <c r="R32" s="88"/>
      <c r="S32" s="88"/>
      <c r="T32" s="88"/>
      <c r="U32" s="88"/>
      <c r="V32" s="88"/>
      <c r="W32" s="88"/>
      <c r="X32" s="88"/>
      <c r="Z32" s="367"/>
      <c r="AA32" s="367"/>
      <c r="AB32" s="367"/>
    </row>
    <row r="33" spans="1:36" s="22" customFormat="1" ht="17.100000000000001" customHeight="1">
      <c r="A33" s="49"/>
      <c r="B33" s="343"/>
      <c r="C33" s="343"/>
      <c r="D33" s="24"/>
      <c r="E33" s="24"/>
      <c r="F33" s="24"/>
      <c r="G33" s="24"/>
      <c r="H33" s="138"/>
      <c r="I33" s="138"/>
      <c r="J33" s="138"/>
      <c r="K33" s="24"/>
      <c r="L33" s="24"/>
      <c r="M33" s="138"/>
      <c r="N33" s="138"/>
      <c r="O33" s="24"/>
      <c r="P33" s="24"/>
      <c r="Q33" s="88"/>
      <c r="R33" s="88"/>
      <c r="S33" s="37"/>
      <c r="T33" s="37"/>
      <c r="U33" s="37"/>
      <c r="V33" s="37"/>
      <c r="W33" s="37"/>
      <c r="X33" s="37"/>
      <c r="Z33" s="37"/>
      <c r="AA33" s="37"/>
      <c r="AB33" s="37"/>
    </row>
    <row r="34" spans="1:36" s="22" customFormat="1" ht="17.100000000000001" customHeight="1"/>
    <row r="35" spans="1:36" s="22" customFormat="1" ht="17.100000000000001" customHeight="1">
      <c r="A35" s="28" t="s">
        <v>181</v>
      </c>
    </row>
    <row r="36" spans="1:36" s="30" customFormat="1" ht="18" customHeight="1">
      <c r="A36" s="84" t="s">
        <v>58</v>
      </c>
      <c r="B36" s="84" t="s">
        <v>59</v>
      </c>
      <c r="C36" s="85" t="s">
        <v>95</v>
      </c>
      <c r="D36" s="85"/>
      <c r="E36" s="86"/>
      <c r="F36" s="85"/>
      <c r="G36" s="85"/>
      <c r="H36" s="85"/>
      <c r="I36" s="85"/>
      <c r="J36" s="85"/>
      <c r="K36" s="85"/>
      <c r="L36" s="85" t="s">
        <v>96</v>
      </c>
      <c r="M36" s="85" t="s">
        <v>97</v>
      </c>
      <c r="N36" s="85" t="s">
        <v>98</v>
      </c>
      <c r="O36" s="85" t="s">
        <v>99</v>
      </c>
      <c r="P36" s="85" t="s">
        <v>100</v>
      </c>
      <c r="Q36" s="85" t="s">
        <v>101</v>
      </c>
      <c r="R36" s="85" t="s">
        <v>102</v>
      </c>
      <c r="S36" s="85" t="s">
        <v>101</v>
      </c>
      <c r="T36" s="85" t="s">
        <v>61</v>
      </c>
      <c r="U36" s="85"/>
      <c r="V36" s="85" t="s">
        <v>101</v>
      </c>
      <c r="W36" s="85" t="s">
        <v>62</v>
      </c>
      <c r="X36" s="85"/>
      <c r="Y36" s="85" t="s">
        <v>296</v>
      </c>
      <c r="Z36" s="85" t="s">
        <v>297</v>
      </c>
      <c r="AA36" s="85" t="s">
        <v>298</v>
      </c>
      <c r="AB36" s="85" t="s">
        <v>299</v>
      </c>
      <c r="AC36" s="85"/>
      <c r="AD36" s="85"/>
      <c r="AE36" s="85"/>
      <c r="AF36" s="85"/>
      <c r="AG36" s="85"/>
      <c r="AH36" s="85"/>
      <c r="AI36" s="85" t="s">
        <v>63</v>
      </c>
      <c r="AJ36" s="22"/>
    </row>
    <row r="68" spans="1:17" s="22" customFormat="1" ht="17.100000000000001" customHeight="1">
      <c r="A68" s="28" t="s">
        <v>172</v>
      </c>
    </row>
    <row r="69" spans="1:17" s="30" customFormat="1" ht="18" customHeight="1">
      <c r="A69" s="176">
        <v>1</v>
      </c>
      <c r="B69" s="176">
        <v>2</v>
      </c>
      <c r="C69" s="85">
        <v>3</v>
      </c>
      <c r="D69" s="85">
        <v>4</v>
      </c>
      <c r="E69" s="86">
        <v>5</v>
      </c>
      <c r="F69" s="85">
        <v>6</v>
      </c>
      <c r="G69" s="85">
        <v>7</v>
      </c>
      <c r="H69" s="85">
        <v>8</v>
      </c>
      <c r="I69" s="85">
        <v>9</v>
      </c>
      <c r="J69" s="85">
        <v>10</v>
      </c>
      <c r="K69" s="85">
        <v>11</v>
      </c>
      <c r="L69" s="85">
        <v>12</v>
      </c>
      <c r="M69" s="85">
        <v>13</v>
      </c>
      <c r="N69" s="85">
        <v>14</v>
      </c>
      <c r="O69" s="85">
        <v>15</v>
      </c>
      <c r="P69" s="85">
        <v>16</v>
      </c>
      <c r="Q69" s="22"/>
    </row>
    <row r="101" spans="1:3" s="22" customFormat="1" ht="17.100000000000001" customHeight="1">
      <c r="A101" s="28" t="s">
        <v>173</v>
      </c>
    </row>
    <row r="102" spans="1:3" s="30" customFormat="1" ht="18" customHeight="1">
      <c r="A102" s="176" t="s">
        <v>58</v>
      </c>
      <c r="B102" s="176" t="s">
        <v>174</v>
      </c>
      <c r="C102" s="176" t="s">
        <v>175</v>
      </c>
    </row>
    <row r="134" spans="1:12" s="22" customFormat="1" ht="17.100000000000001" customHeight="1">
      <c r="A134" s="28" t="s">
        <v>315</v>
      </c>
    </row>
    <row r="135" spans="1:12" s="30" customFormat="1" ht="18" customHeight="1">
      <c r="A135" s="176" t="s">
        <v>325</v>
      </c>
      <c r="B135" s="176" t="s">
        <v>326</v>
      </c>
      <c r="C135" s="85" t="s">
        <v>324</v>
      </c>
      <c r="D135" s="85" t="s">
        <v>121</v>
      </c>
      <c r="E135" s="85" t="s">
        <v>327</v>
      </c>
      <c r="F135" s="85" t="s">
        <v>328</v>
      </c>
      <c r="G135" s="85" t="s">
        <v>327</v>
      </c>
      <c r="H135" s="85" t="s">
        <v>329</v>
      </c>
      <c r="I135" s="85" t="s">
        <v>327</v>
      </c>
      <c r="J135" s="85" t="s">
        <v>330</v>
      </c>
      <c r="K135" s="85" t="s">
        <v>71</v>
      </c>
      <c r="L135" s="85" t="s">
        <v>639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38"/>
  <sheetViews>
    <sheetView showGridLines="0" showWhiteSpace="0" zoomScaleNormal="100" zoomScaleSheetLayoutView="100" workbookViewId="0">
      <selection sqref="A1:K2"/>
    </sheetView>
  </sheetViews>
  <sheetFormatPr defaultColWidth="10.77734375" defaultRowHeight="15" customHeight="1"/>
  <cols>
    <col min="1" max="3" width="3.33203125" style="54" customWidth="1"/>
    <col min="4" max="4" width="5.77734375" style="54" customWidth="1"/>
    <col min="5" max="5" width="9.77734375" style="54" customWidth="1"/>
    <col min="6" max="6" width="11.77734375" style="55" customWidth="1"/>
    <col min="7" max="7" width="11.77734375" style="54" customWidth="1"/>
    <col min="8" max="9" width="9.77734375" style="54" customWidth="1"/>
    <col min="10" max="11" width="4.77734375" style="54" customWidth="1"/>
    <col min="12" max="16384" width="10.77734375" style="54"/>
  </cols>
  <sheetData>
    <row r="1" spans="1:11" s="2" customFormat="1" ht="33" customHeight="1">
      <c r="A1" s="566" t="s">
        <v>35</v>
      </c>
      <c r="B1" s="566"/>
      <c r="C1" s="566"/>
      <c r="D1" s="566"/>
      <c r="E1" s="566"/>
      <c r="F1" s="566"/>
      <c r="G1" s="566"/>
      <c r="H1" s="566"/>
      <c r="I1" s="566"/>
      <c r="J1" s="566"/>
      <c r="K1" s="566"/>
    </row>
    <row r="2" spans="1:11" s="2" customFormat="1" ht="33" customHeight="1">
      <c r="A2" s="566"/>
      <c r="B2" s="566"/>
      <c r="C2" s="566"/>
      <c r="D2" s="566"/>
      <c r="E2" s="566"/>
      <c r="F2" s="566"/>
      <c r="G2" s="566"/>
      <c r="H2" s="566"/>
      <c r="I2" s="566"/>
      <c r="J2" s="566"/>
      <c r="K2" s="566"/>
    </row>
    <row r="3" spans="1:11" s="2" customFormat="1" ht="12.75" customHeight="1">
      <c r="A3" s="17" t="s">
        <v>37</v>
      </c>
      <c r="B3" s="17"/>
      <c r="C3" s="17"/>
      <c r="D3" s="16"/>
      <c r="E3" s="16"/>
      <c r="F3" s="34"/>
      <c r="G3" s="16"/>
      <c r="H3" s="16"/>
      <c r="I3" s="16"/>
      <c r="J3" s="16"/>
      <c r="K3" s="16"/>
    </row>
    <row r="4" spans="1:11" s="1" customFormat="1" ht="13.5" customHeight="1">
      <c r="A4" s="33" t="str">
        <f>" 교   정   번   호(Calibration No) : "&amp;기본정보!H3</f>
        <v xml:space="preserve"> 교   정   번   호(Calibration No) : </v>
      </c>
      <c r="B4" s="33"/>
      <c r="C4" s="33"/>
      <c r="D4" s="18"/>
      <c r="E4" s="18"/>
      <c r="F4" s="35"/>
      <c r="G4" s="19"/>
      <c r="H4" s="18"/>
      <c r="I4" s="18"/>
      <c r="J4" s="20"/>
      <c r="K4" s="19"/>
    </row>
    <row r="5" spans="1:11" s="52" customFormat="1" ht="15" customHeight="1">
      <c r="F5" s="53"/>
    </row>
    <row r="6" spans="1:11" ht="15" customHeight="1">
      <c r="A6" s="210" t="str">
        <f>IF(Calcu!B9=TRUE,"","삭제")</f>
        <v>삭제</v>
      </c>
      <c r="D6" s="87" t="str">
        <f>"○ 품명 : "&amp;기본정보!C$5</f>
        <v xml:space="preserve">○ 품명 : </v>
      </c>
      <c r="F6" s="54"/>
      <c r="G6" s="55"/>
    </row>
    <row r="7" spans="1:11" ht="15" customHeight="1">
      <c r="A7" s="151" t="str">
        <f>A6</f>
        <v>삭제</v>
      </c>
      <c r="D7" s="87" t="str">
        <f>"○ 제작회사 : "&amp;기본정보!C$6</f>
        <v xml:space="preserve">○ 제작회사 : </v>
      </c>
      <c r="F7" s="54"/>
      <c r="G7" s="55"/>
    </row>
    <row r="8" spans="1:11" ht="15" customHeight="1">
      <c r="A8" s="151" t="str">
        <f>A6</f>
        <v>삭제</v>
      </c>
      <c r="D8" s="87" t="str">
        <f>"○ 형식 : "&amp;기본정보!C$7</f>
        <v xml:space="preserve">○ 형식 : </v>
      </c>
      <c r="F8" s="54"/>
      <c r="G8" s="55"/>
    </row>
    <row r="9" spans="1:11" ht="15" customHeight="1">
      <c r="A9" s="151" t="str">
        <f>A6</f>
        <v>삭제</v>
      </c>
      <c r="D9" s="87" t="str">
        <f>"○ 기기번호 : "&amp;기본정보!C$8</f>
        <v xml:space="preserve">○ 기기번호 : </v>
      </c>
      <c r="F9" s="54"/>
      <c r="G9" s="55"/>
    </row>
    <row r="10" spans="1:11" ht="15" customHeight="1">
      <c r="A10" s="151" t="str">
        <f>A6</f>
        <v>삭제</v>
      </c>
      <c r="D10" s="87"/>
      <c r="F10" s="54"/>
      <c r="G10" s="55"/>
    </row>
    <row r="11" spans="1:11" ht="15" customHeight="1">
      <c r="A11" s="151" t="str">
        <f>A6</f>
        <v>삭제</v>
      </c>
      <c r="D11" s="56" t="s">
        <v>122</v>
      </c>
      <c r="F11" s="54"/>
      <c r="G11" s="55"/>
    </row>
    <row r="12" spans="1:11" ht="15" customHeight="1">
      <c r="A12" s="151" t="str">
        <f>A6</f>
        <v>삭제</v>
      </c>
      <c r="D12" s="567" t="s">
        <v>609</v>
      </c>
      <c r="E12" s="570" t="s">
        <v>610</v>
      </c>
      <c r="F12" s="582" t="e">
        <f>Calcu!J103</f>
        <v>#N/A</v>
      </c>
      <c r="G12" s="583"/>
      <c r="H12" s="583"/>
      <c r="I12" s="584"/>
    </row>
    <row r="13" spans="1:11" ht="15" customHeight="1">
      <c r="A13" s="151" t="str">
        <f>A6</f>
        <v>삭제</v>
      </c>
      <c r="D13" s="568"/>
      <c r="E13" s="571"/>
      <c r="F13" s="574" t="s">
        <v>611</v>
      </c>
      <c r="G13" s="575"/>
      <c r="H13" s="572" t="s">
        <v>79</v>
      </c>
      <c r="I13" s="573" t="s">
        <v>104</v>
      </c>
    </row>
    <row r="14" spans="1:11" ht="15" customHeight="1">
      <c r="A14" s="151" t="str">
        <f>A6</f>
        <v>삭제</v>
      </c>
      <c r="D14" s="568"/>
      <c r="E14" s="571"/>
      <c r="F14" s="576" t="s">
        <v>612</v>
      </c>
      <c r="G14" s="577"/>
      <c r="H14" s="572"/>
      <c r="I14" s="573"/>
    </row>
    <row r="15" spans="1:11" ht="15" customHeight="1">
      <c r="A15" s="151" t="str">
        <f t="shared" ref="A15:A20" si="0">A6</f>
        <v>삭제</v>
      </c>
      <c r="B15" s="55"/>
      <c r="C15" s="55"/>
      <c r="D15" s="568"/>
      <c r="E15" s="571"/>
      <c r="F15" s="341"/>
      <c r="G15" s="342"/>
      <c r="H15" s="572"/>
      <c r="I15" s="573"/>
    </row>
    <row r="16" spans="1:11" ht="15" customHeight="1">
      <c r="A16" s="308" t="str">
        <f t="shared" si="0"/>
        <v>삭제</v>
      </c>
      <c r="B16" s="55"/>
      <c r="C16" s="55"/>
      <c r="D16" s="568"/>
      <c r="E16" s="571"/>
      <c r="F16" s="341"/>
      <c r="G16" s="342"/>
      <c r="H16" s="572"/>
      <c r="I16" s="573"/>
    </row>
    <row r="17" spans="1:9" ht="15" customHeight="1">
      <c r="A17" s="308" t="str">
        <f t="shared" si="0"/>
        <v>삭제</v>
      </c>
      <c r="B17" s="55"/>
      <c r="C17" s="55"/>
      <c r="D17" s="568"/>
      <c r="E17" s="571"/>
      <c r="F17" s="578" t="e">
        <f>측정불확도추정보고서!N220</f>
        <v>#DIV/0!</v>
      </c>
      <c r="G17" s="579"/>
      <c r="H17" s="572"/>
      <c r="I17" s="573"/>
    </row>
    <row r="18" spans="1:9" ht="15" customHeight="1">
      <c r="A18" s="308" t="str">
        <f t="shared" si="0"/>
        <v>삭제</v>
      </c>
      <c r="B18" s="55"/>
      <c r="C18" s="55"/>
      <c r="D18" s="568"/>
      <c r="E18" s="571"/>
      <c r="F18" s="580"/>
      <c r="G18" s="581"/>
      <c r="H18" s="572"/>
      <c r="I18" s="573"/>
    </row>
    <row r="19" spans="1:9" ht="15" customHeight="1">
      <c r="A19" s="308" t="str">
        <f t="shared" si="0"/>
        <v>삭제</v>
      </c>
      <c r="B19" s="55"/>
      <c r="C19" s="55"/>
      <c r="D19" s="568"/>
      <c r="E19" s="571"/>
      <c r="F19" s="309"/>
      <c r="G19" s="310"/>
      <c r="H19" s="572"/>
      <c r="I19" s="573"/>
    </row>
    <row r="20" spans="1:9" ht="15" customHeight="1">
      <c r="A20" s="308" t="str">
        <f t="shared" si="0"/>
        <v>삭제</v>
      </c>
      <c r="B20" s="55"/>
      <c r="C20" s="55"/>
      <c r="D20" s="569"/>
      <c r="E20" s="303">
        <f>Calcu!C64</f>
        <v>0</v>
      </c>
      <c r="F20" s="281">
        <f>Calcu!D64</f>
        <v>0</v>
      </c>
      <c r="G20" s="301">
        <f>Calcu!E64</f>
        <v>0</v>
      </c>
      <c r="H20" s="294">
        <f>Calcu!F64</f>
        <v>0</v>
      </c>
      <c r="I20" s="295">
        <f>Calcu!G64</f>
        <v>0</v>
      </c>
    </row>
    <row r="21" spans="1:9" ht="15" customHeight="1">
      <c r="A21" s="210" t="str">
        <f>IF(Calcu!S9=TRUE,"","삭제")</f>
        <v>삭제</v>
      </c>
      <c r="B21" s="55"/>
      <c r="C21" s="55"/>
      <c r="D21" s="298">
        <v>1</v>
      </c>
      <c r="E21" s="304" t="str">
        <f>Calcu!C65</f>
        <v/>
      </c>
      <c r="F21" s="282" t="str">
        <f>Calcu!D65</f>
        <v/>
      </c>
      <c r="G21" s="302" t="str">
        <f>Calcu!E65</f>
        <v/>
      </c>
      <c r="H21" s="296" t="str">
        <f>Calcu!F65</f>
        <v/>
      </c>
      <c r="I21" s="297" t="str">
        <f>Calcu!G65</f>
        <v/>
      </c>
    </row>
    <row r="22" spans="1:9" ht="15" customHeight="1">
      <c r="A22" s="210" t="str">
        <f>IF(Calcu!S10=TRUE,"","삭제")</f>
        <v>삭제</v>
      </c>
      <c r="B22" s="55"/>
      <c r="C22" s="55"/>
      <c r="D22" s="299">
        <v>2</v>
      </c>
      <c r="E22" s="305" t="str">
        <f>Calcu!C66</f>
        <v/>
      </c>
      <c r="F22" s="283" t="str">
        <f>Calcu!D66</f>
        <v/>
      </c>
      <c r="G22" s="306" t="str">
        <f>Calcu!E66</f>
        <v/>
      </c>
      <c r="H22" s="307" t="str">
        <f>Calcu!F66</f>
        <v/>
      </c>
      <c r="I22" s="293" t="str">
        <f>Calcu!G66</f>
        <v/>
      </c>
    </row>
    <row r="23" spans="1:9" ht="15" customHeight="1">
      <c r="A23" s="210" t="str">
        <f>IF(Calcu!S11=TRUE,"","삭제")</f>
        <v>삭제</v>
      </c>
      <c r="B23" s="55"/>
      <c r="C23" s="55"/>
      <c r="D23" s="299">
        <v>3</v>
      </c>
      <c r="E23" s="305" t="str">
        <f>Calcu!C67</f>
        <v/>
      </c>
      <c r="F23" s="283" t="str">
        <f>Calcu!D67</f>
        <v/>
      </c>
      <c r="G23" s="306" t="str">
        <f>Calcu!E67</f>
        <v/>
      </c>
      <c r="H23" s="307" t="str">
        <f>Calcu!F67</f>
        <v/>
      </c>
      <c r="I23" s="293" t="str">
        <f>Calcu!G67</f>
        <v/>
      </c>
    </row>
    <row r="24" spans="1:9" ht="15" customHeight="1">
      <c r="A24" s="210" t="str">
        <f>IF(Calcu!S12=TRUE,"","삭제")</f>
        <v>삭제</v>
      </c>
      <c r="B24" s="55"/>
      <c r="C24" s="55"/>
      <c r="D24" s="299">
        <v>4</v>
      </c>
      <c r="E24" s="305" t="str">
        <f>Calcu!C68</f>
        <v/>
      </c>
      <c r="F24" s="283" t="str">
        <f>Calcu!D68</f>
        <v/>
      </c>
      <c r="G24" s="306" t="str">
        <f>Calcu!E68</f>
        <v/>
      </c>
      <c r="H24" s="307" t="str">
        <f>Calcu!F68</f>
        <v/>
      </c>
      <c r="I24" s="293" t="str">
        <f>Calcu!G68</f>
        <v/>
      </c>
    </row>
    <row r="25" spans="1:9" ht="15" customHeight="1">
      <c r="A25" s="210" t="str">
        <f>IF(Calcu!S13=TRUE,"","삭제")</f>
        <v>삭제</v>
      </c>
      <c r="D25" s="299">
        <v>5</v>
      </c>
      <c r="E25" s="305" t="str">
        <f>Calcu!C69</f>
        <v/>
      </c>
      <c r="F25" s="283" t="str">
        <f>Calcu!D69</f>
        <v/>
      </c>
      <c r="G25" s="306" t="str">
        <f>Calcu!E69</f>
        <v/>
      </c>
      <c r="H25" s="307" t="str">
        <f>Calcu!F69</f>
        <v/>
      </c>
      <c r="I25" s="293" t="str">
        <f>Calcu!G69</f>
        <v/>
      </c>
    </row>
    <row r="26" spans="1:9" ht="15" customHeight="1">
      <c r="A26" s="210" t="str">
        <f>IF(Calcu!S14=TRUE,"","삭제")</f>
        <v>삭제</v>
      </c>
      <c r="D26" s="299">
        <v>6</v>
      </c>
      <c r="E26" s="305" t="str">
        <f>Calcu!C70</f>
        <v/>
      </c>
      <c r="F26" s="283" t="str">
        <f>Calcu!D70</f>
        <v/>
      </c>
      <c r="G26" s="306" t="str">
        <f>Calcu!E70</f>
        <v/>
      </c>
      <c r="H26" s="307" t="str">
        <f>Calcu!F70</f>
        <v/>
      </c>
      <c r="I26" s="293" t="str">
        <f>Calcu!G70</f>
        <v/>
      </c>
    </row>
    <row r="27" spans="1:9" ht="15" customHeight="1">
      <c r="A27" s="210" t="str">
        <f>IF(Calcu!S15=TRUE,"","삭제")</f>
        <v>삭제</v>
      </c>
      <c r="D27" s="299">
        <v>7</v>
      </c>
      <c r="E27" s="305" t="str">
        <f>Calcu!C71</f>
        <v/>
      </c>
      <c r="F27" s="283" t="str">
        <f>Calcu!D71</f>
        <v/>
      </c>
      <c r="G27" s="306" t="str">
        <f>Calcu!E71</f>
        <v/>
      </c>
      <c r="H27" s="307" t="str">
        <f>Calcu!F71</f>
        <v/>
      </c>
      <c r="I27" s="293" t="str">
        <f>Calcu!G71</f>
        <v/>
      </c>
    </row>
    <row r="28" spans="1:9" ht="15" customHeight="1">
      <c r="A28" s="210" t="str">
        <f>IF(Calcu!S16=TRUE,"","삭제")</f>
        <v>삭제</v>
      </c>
      <c r="D28" s="299">
        <v>8</v>
      </c>
      <c r="E28" s="305" t="str">
        <f>Calcu!C72</f>
        <v/>
      </c>
      <c r="F28" s="283" t="str">
        <f>Calcu!D72</f>
        <v/>
      </c>
      <c r="G28" s="306" t="str">
        <f>Calcu!E72</f>
        <v/>
      </c>
      <c r="H28" s="307" t="str">
        <f>Calcu!F72</f>
        <v/>
      </c>
      <c r="I28" s="293" t="str">
        <f>Calcu!G72</f>
        <v/>
      </c>
    </row>
    <row r="29" spans="1:9" ht="15" customHeight="1">
      <c r="A29" s="210" t="str">
        <f>IF(Calcu!S17=TRUE,"","삭제")</f>
        <v>삭제</v>
      </c>
      <c r="D29" s="299">
        <v>9</v>
      </c>
      <c r="E29" s="305" t="str">
        <f>Calcu!C73</f>
        <v/>
      </c>
      <c r="F29" s="283" t="str">
        <f>Calcu!D73</f>
        <v/>
      </c>
      <c r="G29" s="306" t="str">
        <f>Calcu!E73</f>
        <v/>
      </c>
      <c r="H29" s="307" t="str">
        <f>Calcu!F73</f>
        <v/>
      </c>
      <c r="I29" s="293" t="str">
        <f>Calcu!G73</f>
        <v/>
      </c>
    </row>
    <row r="30" spans="1:9" ht="15" customHeight="1">
      <c r="A30" s="210" t="str">
        <f>IF(Calcu!S18=TRUE,"","삭제")</f>
        <v>삭제</v>
      </c>
      <c r="D30" s="299">
        <v>10</v>
      </c>
      <c r="E30" s="305" t="str">
        <f>Calcu!C74</f>
        <v/>
      </c>
      <c r="F30" s="283" t="str">
        <f>Calcu!D74</f>
        <v/>
      </c>
      <c r="G30" s="306" t="str">
        <f>Calcu!E74</f>
        <v/>
      </c>
      <c r="H30" s="307" t="str">
        <f>Calcu!F74</f>
        <v/>
      </c>
      <c r="I30" s="293" t="str">
        <f>Calcu!G74</f>
        <v/>
      </c>
    </row>
    <row r="31" spans="1:9" s="291" customFormat="1" ht="15" customHeight="1">
      <c r="A31" s="210" t="str">
        <f>IF(Calcu!S19=TRUE,"","삭제")</f>
        <v>삭제</v>
      </c>
      <c r="D31" s="299">
        <v>11</v>
      </c>
      <c r="E31" s="288" t="str">
        <f>Calcu!C75</f>
        <v/>
      </c>
      <c r="F31" s="284" t="str">
        <f>Calcu!D75</f>
        <v/>
      </c>
      <c r="G31" s="287" t="str">
        <f>Calcu!E75</f>
        <v/>
      </c>
      <c r="H31" s="286" t="str">
        <f>Calcu!F75</f>
        <v/>
      </c>
      <c r="I31" s="285" t="str">
        <f>Calcu!G75</f>
        <v/>
      </c>
    </row>
    <row r="32" spans="1:9" s="291" customFormat="1" ht="15" customHeight="1">
      <c r="A32" s="210" t="str">
        <f>IF(Calcu!S20=TRUE,"","삭제")</f>
        <v>삭제</v>
      </c>
      <c r="D32" s="299">
        <v>12</v>
      </c>
      <c r="E32" s="288" t="str">
        <f>Calcu!C76</f>
        <v/>
      </c>
      <c r="F32" s="284" t="str">
        <f>Calcu!D76</f>
        <v/>
      </c>
      <c r="G32" s="287" t="str">
        <f>Calcu!E76</f>
        <v/>
      </c>
      <c r="H32" s="286" t="str">
        <f>Calcu!F76</f>
        <v/>
      </c>
      <c r="I32" s="285" t="str">
        <f>Calcu!G76</f>
        <v/>
      </c>
    </row>
    <row r="33" spans="1:10" s="291" customFormat="1" ht="15" customHeight="1">
      <c r="A33" s="210" t="str">
        <f>IF(Calcu!S21=TRUE,"","삭제")</f>
        <v>삭제</v>
      </c>
      <c r="D33" s="299">
        <v>13</v>
      </c>
      <c r="E33" s="288" t="str">
        <f>Calcu!C77</f>
        <v/>
      </c>
      <c r="F33" s="284" t="str">
        <f>Calcu!D77</f>
        <v/>
      </c>
      <c r="G33" s="287" t="str">
        <f>Calcu!E77</f>
        <v/>
      </c>
      <c r="H33" s="286" t="str">
        <f>Calcu!F77</f>
        <v/>
      </c>
      <c r="I33" s="285" t="str">
        <f>Calcu!G77</f>
        <v/>
      </c>
    </row>
    <row r="34" spans="1:10" s="291" customFormat="1" ht="15" customHeight="1">
      <c r="A34" s="210" t="str">
        <f>IF(Calcu!S22=TRUE,"","삭제")</f>
        <v>삭제</v>
      </c>
      <c r="D34" s="299">
        <v>14</v>
      </c>
      <c r="E34" s="288" t="str">
        <f>Calcu!C78</f>
        <v/>
      </c>
      <c r="F34" s="284" t="str">
        <f>Calcu!D78</f>
        <v/>
      </c>
      <c r="G34" s="287" t="str">
        <f>Calcu!E78</f>
        <v/>
      </c>
      <c r="H34" s="286" t="str">
        <f>Calcu!F78</f>
        <v/>
      </c>
      <c r="I34" s="285" t="str">
        <f>Calcu!G78</f>
        <v/>
      </c>
    </row>
    <row r="35" spans="1:10" ht="15" customHeight="1">
      <c r="A35" s="210" t="str">
        <f>IF(Calcu!S23=TRUE,"","삭제")</f>
        <v>삭제</v>
      </c>
      <c r="B35" s="150"/>
      <c r="C35" s="150"/>
      <c r="D35" s="300">
        <v>15</v>
      </c>
      <c r="E35" s="303" t="str">
        <f>Calcu!C79</f>
        <v/>
      </c>
      <c r="F35" s="281" t="str">
        <f>Calcu!D79</f>
        <v/>
      </c>
      <c r="G35" s="301" t="str">
        <f>Calcu!E79</f>
        <v/>
      </c>
      <c r="H35" s="294" t="str">
        <f>Calcu!F79</f>
        <v/>
      </c>
      <c r="I35" s="295" t="str">
        <f>Calcu!G79</f>
        <v/>
      </c>
    </row>
    <row r="36" spans="1:10" ht="15" customHeight="1">
      <c r="A36" s="151"/>
      <c r="B36" s="150"/>
      <c r="C36" s="150"/>
      <c r="D36" s="279"/>
      <c r="E36" s="280"/>
      <c r="F36" s="279"/>
      <c r="G36" s="279"/>
      <c r="H36" s="279"/>
      <c r="I36" s="279"/>
    </row>
    <row r="37" spans="1:10" s="291" customFormat="1" ht="15" customHeight="1">
      <c r="A37" s="308"/>
      <c r="B37" s="150"/>
      <c r="C37" s="150"/>
      <c r="D37" s="289" t="s">
        <v>711</v>
      </c>
      <c r="E37" s="290"/>
      <c r="F37" s="150"/>
      <c r="G37" s="150"/>
      <c r="H37" s="150"/>
      <c r="I37" s="150"/>
    </row>
    <row r="38" spans="1:10" ht="15" customHeight="1">
      <c r="A38" s="210"/>
      <c r="D38" s="139"/>
      <c r="E38" s="140"/>
      <c r="F38" s="140"/>
      <c r="G38" s="139"/>
      <c r="H38" s="139"/>
      <c r="I38" s="311"/>
      <c r="J38" s="139"/>
    </row>
  </sheetData>
  <mergeCells count="9">
    <mergeCell ref="A1:K2"/>
    <mergeCell ref="D12:D20"/>
    <mergeCell ref="E12:E19"/>
    <mergeCell ref="H13:H19"/>
    <mergeCell ref="I13:I19"/>
    <mergeCell ref="F13:G13"/>
    <mergeCell ref="F14:G14"/>
    <mergeCell ref="F17:G18"/>
    <mergeCell ref="F12:I12"/>
  </mergeCells>
  <phoneticPr fontId="5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showGridLines="0" showWhiteSpace="0" zoomScaleNormal="100" zoomScaleSheetLayoutView="100" workbookViewId="0">
      <selection sqref="A1:K2"/>
    </sheetView>
  </sheetViews>
  <sheetFormatPr defaultColWidth="10.77734375" defaultRowHeight="15" customHeight="1"/>
  <cols>
    <col min="1" max="3" width="3.33203125" style="54" customWidth="1"/>
    <col min="4" max="4" width="5.77734375" style="54" customWidth="1"/>
    <col min="5" max="5" width="9.77734375" style="54" customWidth="1"/>
    <col min="6" max="6" width="11.77734375" style="55" customWidth="1"/>
    <col min="7" max="7" width="11.77734375" style="54" customWidth="1"/>
    <col min="8" max="9" width="9.77734375" style="54" customWidth="1"/>
    <col min="10" max="11" width="4.77734375" style="54" customWidth="1"/>
    <col min="12" max="16384" width="10.77734375" style="54"/>
  </cols>
  <sheetData>
    <row r="1" spans="1:11" s="2" customFormat="1" ht="33" customHeight="1">
      <c r="A1" s="585" t="s">
        <v>293</v>
      </c>
      <c r="B1" s="585"/>
      <c r="C1" s="585"/>
      <c r="D1" s="585"/>
      <c r="E1" s="585"/>
      <c r="F1" s="585"/>
      <c r="G1" s="585"/>
      <c r="H1" s="585"/>
      <c r="I1" s="585"/>
      <c r="J1" s="585"/>
      <c r="K1" s="585"/>
    </row>
    <row r="2" spans="1:11" s="2" customFormat="1" ht="33" customHeight="1">
      <c r="A2" s="585"/>
      <c r="B2" s="585"/>
      <c r="C2" s="585"/>
      <c r="D2" s="585"/>
      <c r="E2" s="585"/>
      <c r="F2" s="585"/>
      <c r="G2" s="585"/>
      <c r="H2" s="585"/>
      <c r="I2" s="585"/>
      <c r="J2" s="585"/>
      <c r="K2" s="585"/>
    </row>
    <row r="3" spans="1:11" s="2" customFormat="1" ht="12.75" customHeight="1">
      <c r="A3" s="17" t="s">
        <v>37</v>
      </c>
      <c r="B3" s="17"/>
      <c r="C3" s="17"/>
      <c r="D3" s="16"/>
      <c r="E3" s="16"/>
      <c r="F3" s="34"/>
      <c r="G3" s="16"/>
      <c r="H3" s="16"/>
      <c r="I3" s="16"/>
      <c r="J3" s="16"/>
      <c r="K3" s="16"/>
    </row>
    <row r="4" spans="1:11" s="1" customFormat="1" ht="13.5" customHeight="1">
      <c r="A4" s="33" t="str">
        <f>" 교   정   번   호(Calibration No) : "&amp;기본정보!H3</f>
        <v xml:space="preserve"> 교   정   번   호(Calibration No) : </v>
      </c>
      <c r="B4" s="33"/>
      <c r="C4" s="33"/>
      <c r="D4" s="18"/>
      <c r="E4" s="18"/>
      <c r="F4" s="35"/>
      <c r="G4" s="19"/>
      <c r="H4" s="18"/>
      <c r="I4" s="18"/>
      <c r="J4" s="20"/>
      <c r="K4" s="19"/>
    </row>
    <row r="5" spans="1:11" s="52" customFormat="1" ht="15" customHeight="1">
      <c r="F5" s="53"/>
    </row>
    <row r="6" spans="1:11" ht="15" customHeight="1">
      <c r="A6" s="210" t="str">
        <f>IF(Calcu!B9=TRUE,"","삭제")</f>
        <v>삭제</v>
      </c>
      <c r="D6" s="87" t="str">
        <f>"○ Description : "&amp;기본정보!C$5</f>
        <v xml:space="preserve">○ Description : </v>
      </c>
      <c r="F6" s="54"/>
      <c r="G6" s="55"/>
    </row>
    <row r="7" spans="1:11" ht="15" customHeight="1">
      <c r="A7" s="151" t="str">
        <f>A6</f>
        <v>삭제</v>
      </c>
      <c r="D7" s="87" t="str">
        <f>"○ Manufacturer : "&amp;기본정보!C$6</f>
        <v xml:space="preserve">○ Manufacturer : </v>
      </c>
      <c r="F7" s="54"/>
      <c r="G7" s="55"/>
    </row>
    <row r="8" spans="1:11" ht="15" customHeight="1">
      <c r="A8" s="151" t="str">
        <f>A6</f>
        <v>삭제</v>
      </c>
      <c r="D8" s="87" t="str">
        <f>"○ Model Name : "&amp;기본정보!C$7</f>
        <v xml:space="preserve">○ Model Name : </v>
      </c>
      <c r="F8" s="54"/>
      <c r="G8" s="55"/>
    </row>
    <row r="9" spans="1:11" ht="15" customHeight="1">
      <c r="A9" s="151" t="str">
        <f>A6</f>
        <v>삭제</v>
      </c>
      <c r="D9" s="87" t="str">
        <f>"○ Serial Number : "&amp;기본정보!C$8</f>
        <v xml:space="preserve">○ Serial Number : </v>
      </c>
      <c r="F9" s="54"/>
      <c r="G9" s="55"/>
    </row>
    <row r="10" spans="1:11" ht="15" customHeight="1">
      <c r="A10" s="151" t="str">
        <f>A6</f>
        <v>삭제</v>
      </c>
      <c r="D10" s="87"/>
      <c r="F10" s="54"/>
      <c r="G10" s="55"/>
    </row>
    <row r="11" spans="1:11" ht="15" customHeight="1">
      <c r="A11" s="151" t="str">
        <f>A6</f>
        <v>삭제</v>
      </c>
      <c r="D11" s="56" t="s">
        <v>103</v>
      </c>
      <c r="F11" s="54"/>
      <c r="G11" s="55"/>
    </row>
    <row r="12" spans="1:11" s="291" customFormat="1" ht="15" customHeight="1">
      <c r="A12" s="308" t="str">
        <f>A6</f>
        <v>삭제</v>
      </c>
      <c r="D12" s="567" t="s">
        <v>613</v>
      </c>
      <c r="E12" s="570" t="s">
        <v>614</v>
      </c>
      <c r="F12" s="582" t="e">
        <f>Calcu!K103</f>
        <v>#N/A</v>
      </c>
      <c r="G12" s="583"/>
      <c r="H12" s="583"/>
      <c r="I12" s="584"/>
    </row>
    <row r="13" spans="1:11" s="291" customFormat="1" ht="15" customHeight="1">
      <c r="A13" s="308" t="str">
        <f>A6</f>
        <v>삭제</v>
      </c>
      <c r="D13" s="568"/>
      <c r="E13" s="571"/>
      <c r="F13" s="574" t="s">
        <v>615</v>
      </c>
      <c r="G13" s="575"/>
      <c r="H13" s="586" t="s">
        <v>616</v>
      </c>
      <c r="I13" s="573" t="s">
        <v>713</v>
      </c>
    </row>
    <row r="14" spans="1:11" s="291" customFormat="1" ht="15" customHeight="1">
      <c r="A14" s="308" t="str">
        <f>A6</f>
        <v>삭제</v>
      </c>
      <c r="D14" s="568"/>
      <c r="E14" s="571"/>
      <c r="F14" s="576"/>
      <c r="G14" s="577"/>
      <c r="H14" s="572"/>
      <c r="I14" s="573"/>
    </row>
    <row r="15" spans="1:11" s="291" customFormat="1" ht="15" customHeight="1">
      <c r="A15" s="308" t="str">
        <f t="shared" ref="A15:A20" si="0">A6</f>
        <v>삭제</v>
      </c>
      <c r="B15" s="292"/>
      <c r="C15" s="292"/>
      <c r="D15" s="568"/>
      <c r="E15" s="571"/>
      <c r="F15" s="341"/>
      <c r="G15" s="342"/>
      <c r="H15" s="572"/>
      <c r="I15" s="573"/>
    </row>
    <row r="16" spans="1:11" s="291" customFormat="1" ht="15" customHeight="1">
      <c r="A16" s="308" t="str">
        <f t="shared" si="0"/>
        <v>삭제</v>
      </c>
      <c r="B16" s="292"/>
      <c r="C16" s="292"/>
      <c r="D16" s="568"/>
      <c r="E16" s="571"/>
      <c r="F16" s="341"/>
      <c r="G16" s="342"/>
      <c r="H16" s="572"/>
      <c r="I16" s="573"/>
    </row>
    <row r="17" spans="1:9" s="291" customFormat="1" ht="15" customHeight="1">
      <c r="A17" s="308" t="str">
        <f t="shared" si="0"/>
        <v>삭제</v>
      </c>
      <c r="B17" s="292"/>
      <c r="C17" s="292"/>
      <c r="D17" s="568"/>
      <c r="E17" s="571"/>
      <c r="F17" s="578" t="e">
        <f>측정불확도추정보고서!N220</f>
        <v>#DIV/0!</v>
      </c>
      <c r="G17" s="579"/>
      <c r="H17" s="572"/>
      <c r="I17" s="573"/>
    </row>
    <row r="18" spans="1:9" s="291" customFormat="1" ht="15" customHeight="1">
      <c r="A18" s="308" t="str">
        <f t="shared" si="0"/>
        <v>삭제</v>
      </c>
      <c r="B18" s="292"/>
      <c r="C18" s="292"/>
      <c r="D18" s="568"/>
      <c r="E18" s="571"/>
      <c r="F18" s="580"/>
      <c r="G18" s="581"/>
      <c r="H18" s="572"/>
      <c r="I18" s="573"/>
    </row>
    <row r="19" spans="1:9" s="291" customFormat="1" ht="15" customHeight="1">
      <c r="A19" s="308" t="str">
        <f t="shared" si="0"/>
        <v>삭제</v>
      </c>
      <c r="B19" s="292"/>
      <c r="C19" s="292"/>
      <c r="D19" s="568"/>
      <c r="E19" s="571"/>
      <c r="F19" s="309"/>
      <c r="G19" s="310"/>
      <c r="H19" s="572"/>
      <c r="I19" s="573"/>
    </row>
    <row r="20" spans="1:9" s="291" customFormat="1" ht="15" customHeight="1">
      <c r="A20" s="308" t="str">
        <f t="shared" si="0"/>
        <v>삭제</v>
      </c>
      <c r="B20" s="292"/>
      <c r="C20" s="292"/>
      <c r="D20" s="569"/>
      <c r="E20" s="303">
        <f>Calcu!C64</f>
        <v>0</v>
      </c>
      <c r="F20" s="281">
        <f>Calcu!D64</f>
        <v>0</v>
      </c>
      <c r="G20" s="301">
        <f>Calcu!E64</f>
        <v>0</v>
      </c>
      <c r="H20" s="294">
        <f>Calcu!F64</f>
        <v>0</v>
      </c>
      <c r="I20" s="295">
        <f>Calcu!G64</f>
        <v>0</v>
      </c>
    </row>
    <row r="21" spans="1:9" s="291" customFormat="1" ht="15" customHeight="1">
      <c r="A21" s="210" t="str">
        <f>IF(Calcu!S9=TRUE,"","삭제")</f>
        <v>삭제</v>
      </c>
      <c r="B21" s="292"/>
      <c r="C21" s="292"/>
      <c r="D21" s="298">
        <v>1</v>
      </c>
      <c r="E21" s="304" t="str">
        <f>Calcu!C65</f>
        <v/>
      </c>
      <c r="F21" s="282" t="str">
        <f>Calcu!D65</f>
        <v/>
      </c>
      <c r="G21" s="302" t="str">
        <f>Calcu!E65</f>
        <v/>
      </c>
      <c r="H21" s="296" t="str">
        <f>Calcu!F65</f>
        <v/>
      </c>
      <c r="I21" s="297" t="str">
        <f>Calcu!G65</f>
        <v/>
      </c>
    </row>
    <row r="22" spans="1:9" s="291" customFormat="1" ht="15" customHeight="1">
      <c r="A22" s="210" t="str">
        <f>IF(Calcu!S10=TRUE,"","삭제")</f>
        <v>삭제</v>
      </c>
      <c r="B22" s="292"/>
      <c r="C22" s="292"/>
      <c r="D22" s="299">
        <v>2</v>
      </c>
      <c r="E22" s="305" t="str">
        <f>Calcu!C66</f>
        <v/>
      </c>
      <c r="F22" s="283" t="str">
        <f>Calcu!D66</f>
        <v/>
      </c>
      <c r="G22" s="306" t="str">
        <f>Calcu!E66</f>
        <v/>
      </c>
      <c r="H22" s="307" t="str">
        <f>Calcu!F66</f>
        <v/>
      </c>
      <c r="I22" s="293" t="str">
        <f>Calcu!G66</f>
        <v/>
      </c>
    </row>
    <row r="23" spans="1:9" s="291" customFormat="1" ht="15" customHeight="1">
      <c r="A23" s="210" t="str">
        <f>IF(Calcu!S11=TRUE,"","삭제")</f>
        <v>삭제</v>
      </c>
      <c r="B23" s="292"/>
      <c r="C23" s="292"/>
      <c r="D23" s="299">
        <v>3</v>
      </c>
      <c r="E23" s="305" t="str">
        <f>Calcu!C67</f>
        <v/>
      </c>
      <c r="F23" s="283" t="str">
        <f>Calcu!D67</f>
        <v/>
      </c>
      <c r="G23" s="306" t="str">
        <f>Calcu!E67</f>
        <v/>
      </c>
      <c r="H23" s="307" t="str">
        <f>Calcu!F67</f>
        <v/>
      </c>
      <c r="I23" s="293" t="str">
        <f>Calcu!G67</f>
        <v/>
      </c>
    </row>
    <row r="24" spans="1:9" s="291" customFormat="1" ht="15" customHeight="1">
      <c r="A24" s="210" t="str">
        <f>IF(Calcu!S12=TRUE,"","삭제")</f>
        <v>삭제</v>
      </c>
      <c r="B24" s="292"/>
      <c r="C24" s="292"/>
      <c r="D24" s="299">
        <v>4</v>
      </c>
      <c r="E24" s="305" t="str">
        <f>Calcu!C68</f>
        <v/>
      </c>
      <c r="F24" s="283" t="str">
        <f>Calcu!D68</f>
        <v/>
      </c>
      <c r="G24" s="306" t="str">
        <f>Calcu!E68</f>
        <v/>
      </c>
      <c r="H24" s="307" t="str">
        <f>Calcu!F68</f>
        <v/>
      </c>
      <c r="I24" s="293" t="str">
        <f>Calcu!G68</f>
        <v/>
      </c>
    </row>
    <row r="25" spans="1:9" s="291" customFormat="1" ht="15" customHeight="1">
      <c r="A25" s="210" t="str">
        <f>IF(Calcu!S13=TRUE,"","삭제")</f>
        <v>삭제</v>
      </c>
      <c r="D25" s="299">
        <v>5</v>
      </c>
      <c r="E25" s="305" t="str">
        <f>Calcu!C69</f>
        <v/>
      </c>
      <c r="F25" s="283" t="str">
        <f>Calcu!D69</f>
        <v/>
      </c>
      <c r="G25" s="306" t="str">
        <f>Calcu!E69</f>
        <v/>
      </c>
      <c r="H25" s="307" t="str">
        <f>Calcu!F69</f>
        <v/>
      </c>
      <c r="I25" s="293" t="str">
        <f>Calcu!G69</f>
        <v/>
      </c>
    </row>
    <row r="26" spans="1:9" s="291" customFormat="1" ht="15" customHeight="1">
      <c r="A26" s="210" t="str">
        <f>IF(Calcu!S14=TRUE,"","삭제")</f>
        <v>삭제</v>
      </c>
      <c r="D26" s="299">
        <v>6</v>
      </c>
      <c r="E26" s="305" t="str">
        <f>Calcu!C70</f>
        <v/>
      </c>
      <c r="F26" s="283" t="str">
        <f>Calcu!D70</f>
        <v/>
      </c>
      <c r="G26" s="306" t="str">
        <f>Calcu!E70</f>
        <v/>
      </c>
      <c r="H26" s="307" t="str">
        <f>Calcu!F70</f>
        <v/>
      </c>
      <c r="I26" s="293" t="str">
        <f>Calcu!G70</f>
        <v/>
      </c>
    </row>
    <row r="27" spans="1:9" s="291" customFormat="1" ht="15" customHeight="1">
      <c r="A27" s="210" t="str">
        <f>IF(Calcu!S15=TRUE,"","삭제")</f>
        <v>삭제</v>
      </c>
      <c r="D27" s="299">
        <v>7</v>
      </c>
      <c r="E27" s="305" t="str">
        <f>Calcu!C71</f>
        <v/>
      </c>
      <c r="F27" s="283" t="str">
        <f>Calcu!D71</f>
        <v/>
      </c>
      <c r="G27" s="306" t="str">
        <f>Calcu!E71</f>
        <v/>
      </c>
      <c r="H27" s="307" t="str">
        <f>Calcu!F71</f>
        <v/>
      </c>
      <c r="I27" s="293" t="str">
        <f>Calcu!G71</f>
        <v/>
      </c>
    </row>
    <row r="28" spans="1:9" s="291" customFormat="1" ht="15" customHeight="1">
      <c r="A28" s="210" t="str">
        <f>IF(Calcu!S16=TRUE,"","삭제")</f>
        <v>삭제</v>
      </c>
      <c r="D28" s="299">
        <v>8</v>
      </c>
      <c r="E28" s="305" t="str">
        <f>Calcu!C72</f>
        <v/>
      </c>
      <c r="F28" s="283" t="str">
        <f>Calcu!D72</f>
        <v/>
      </c>
      <c r="G28" s="306" t="str">
        <f>Calcu!E72</f>
        <v/>
      </c>
      <c r="H28" s="307" t="str">
        <f>Calcu!F72</f>
        <v/>
      </c>
      <c r="I28" s="293" t="str">
        <f>Calcu!G72</f>
        <v/>
      </c>
    </row>
    <row r="29" spans="1:9" s="291" customFormat="1" ht="15" customHeight="1">
      <c r="A29" s="210" t="str">
        <f>IF(Calcu!S17=TRUE,"","삭제")</f>
        <v>삭제</v>
      </c>
      <c r="D29" s="299">
        <v>9</v>
      </c>
      <c r="E29" s="305" t="str">
        <f>Calcu!C73</f>
        <v/>
      </c>
      <c r="F29" s="283" t="str">
        <f>Calcu!D73</f>
        <v/>
      </c>
      <c r="G29" s="306" t="str">
        <f>Calcu!E73</f>
        <v/>
      </c>
      <c r="H29" s="307" t="str">
        <f>Calcu!F73</f>
        <v/>
      </c>
      <c r="I29" s="293" t="str">
        <f>Calcu!G73</f>
        <v/>
      </c>
    </row>
    <row r="30" spans="1:9" s="291" customFormat="1" ht="15" customHeight="1">
      <c r="A30" s="210" t="str">
        <f>IF(Calcu!S18=TRUE,"","삭제")</f>
        <v>삭제</v>
      </c>
      <c r="D30" s="299">
        <v>10</v>
      </c>
      <c r="E30" s="305" t="str">
        <f>Calcu!C74</f>
        <v/>
      </c>
      <c r="F30" s="283" t="str">
        <f>Calcu!D74</f>
        <v/>
      </c>
      <c r="G30" s="306" t="str">
        <f>Calcu!E74</f>
        <v/>
      </c>
      <c r="H30" s="307" t="str">
        <f>Calcu!F74</f>
        <v/>
      </c>
      <c r="I30" s="293" t="str">
        <f>Calcu!G74</f>
        <v/>
      </c>
    </row>
    <row r="31" spans="1:9" s="291" customFormat="1" ht="15" customHeight="1">
      <c r="A31" s="210" t="str">
        <f>IF(Calcu!S19=TRUE,"","삭제")</f>
        <v>삭제</v>
      </c>
      <c r="D31" s="299">
        <v>11</v>
      </c>
      <c r="E31" s="288" t="str">
        <f>Calcu!C75</f>
        <v/>
      </c>
      <c r="F31" s="284" t="str">
        <f>Calcu!D75</f>
        <v/>
      </c>
      <c r="G31" s="287" t="str">
        <f>Calcu!E75</f>
        <v/>
      </c>
      <c r="H31" s="286" t="str">
        <f>Calcu!F75</f>
        <v/>
      </c>
      <c r="I31" s="285" t="str">
        <f>Calcu!G75</f>
        <v/>
      </c>
    </row>
    <row r="32" spans="1:9" s="291" customFormat="1" ht="15" customHeight="1">
      <c r="A32" s="210" t="str">
        <f>IF(Calcu!S20=TRUE,"","삭제")</f>
        <v>삭제</v>
      </c>
      <c r="D32" s="299">
        <v>12</v>
      </c>
      <c r="E32" s="288" t="str">
        <f>Calcu!C76</f>
        <v/>
      </c>
      <c r="F32" s="284" t="str">
        <f>Calcu!D76</f>
        <v/>
      </c>
      <c r="G32" s="287" t="str">
        <f>Calcu!E76</f>
        <v/>
      </c>
      <c r="H32" s="286" t="str">
        <f>Calcu!F76</f>
        <v/>
      </c>
      <c r="I32" s="285" t="str">
        <f>Calcu!G76</f>
        <v/>
      </c>
    </row>
    <row r="33" spans="1:11" s="291" customFormat="1" ht="15" customHeight="1">
      <c r="A33" s="210" t="str">
        <f>IF(Calcu!S21=TRUE,"","삭제")</f>
        <v>삭제</v>
      </c>
      <c r="D33" s="299">
        <v>13</v>
      </c>
      <c r="E33" s="288" t="str">
        <f>Calcu!C77</f>
        <v/>
      </c>
      <c r="F33" s="284" t="str">
        <f>Calcu!D77</f>
        <v/>
      </c>
      <c r="G33" s="287" t="str">
        <f>Calcu!E77</f>
        <v/>
      </c>
      <c r="H33" s="286" t="str">
        <f>Calcu!F77</f>
        <v/>
      </c>
      <c r="I33" s="285" t="str">
        <f>Calcu!G77</f>
        <v/>
      </c>
    </row>
    <row r="34" spans="1:11" s="291" customFormat="1" ht="15" customHeight="1">
      <c r="A34" s="210" t="str">
        <f>IF(Calcu!S22=TRUE,"","삭제")</f>
        <v>삭제</v>
      </c>
      <c r="D34" s="299">
        <v>14</v>
      </c>
      <c r="E34" s="288" t="str">
        <f>Calcu!C78</f>
        <v/>
      </c>
      <c r="F34" s="284" t="str">
        <f>Calcu!D78</f>
        <v/>
      </c>
      <c r="G34" s="287" t="str">
        <f>Calcu!E78</f>
        <v/>
      </c>
      <c r="H34" s="286" t="str">
        <f>Calcu!F78</f>
        <v/>
      </c>
      <c r="I34" s="285" t="str">
        <f>Calcu!G78</f>
        <v/>
      </c>
    </row>
    <row r="35" spans="1:11" s="291" customFormat="1" ht="15" customHeight="1">
      <c r="A35" s="210" t="str">
        <f>IF(Calcu!S23=TRUE,"","삭제")</f>
        <v>삭제</v>
      </c>
      <c r="B35" s="150"/>
      <c r="C35" s="150"/>
      <c r="D35" s="300">
        <v>15</v>
      </c>
      <c r="E35" s="303" t="str">
        <f>Calcu!C79</f>
        <v/>
      </c>
      <c r="F35" s="281" t="str">
        <f>Calcu!D79</f>
        <v/>
      </c>
      <c r="G35" s="301" t="str">
        <f>Calcu!E79</f>
        <v/>
      </c>
      <c r="H35" s="294" t="str">
        <f>Calcu!F79</f>
        <v/>
      </c>
      <c r="I35" s="295" t="str">
        <f>Calcu!G79</f>
        <v/>
      </c>
    </row>
    <row r="36" spans="1:11" s="291" customFormat="1" ht="15" customHeight="1">
      <c r="A36" s="308"/>
      <c r="B36" s="150"/>
      <c r="C36" s="150"/>
      <c r="D36" s="314"/>
      <c r="E36" s="280"/>
      <c r="F36" s="279"/>
      <c r="G36" s="279"/>
      <c r="H36" s="279"/>
      <c r="I36" s="279"/>
    </row>
    <row r="37" spans="1:11" s="291" customFormat="1" ht="15" customHeight="1">
      <c r="A37" s="308"/>
      <c r="B37" s="150"/>
      <c r="C37" s="150"/>
      <c r="D37" s="290" t="s">
        <v>712</v>
      </c>
      <c r="E37" s="290"/>
      <c r="F37" s="150"/>
      <c r="G37" s="150"/>
      <c r="H37" s="150"/>
      <c r="I37" s="150"/>
    </row>
    <row r="38" spans="1:11" s="291" customFormat="1" ht="15" customHeight="1">
      <c r="A38" s="210"/>
      <c r="D38" s="311"/>
      <c r="E38" s="312"/>
      <c r="F38" s="311"/>
      <c r="G38" s="311"/>
      <c r="H38" s="311"/>
      <c r="I38" s="311"/>
      <c r="J38" s="313"/>
      <c r="K38" s="54"/>
    </row>
    <row r="39" spans="1:11" s="291" customFormat="1" ht="15" customHeight="1">
      <c r="A39" s="308"/>
      <c r="F39" s="292"/>
      <c r="J39" s="54"/>
      <c r="K39" s="54"/>
    </row>
    <row r="40" spans="1:11" ht="15" customHeight="1">
      <c r="A40" s="151"/>
    </row>
    <row r="41" spans="1:11" ht="15" customHeight="1">
      <c r="A41" s="151"/>
    </row>
    <row r="42" spans="1:11" ht="15" customHeight="1">
      <c r="A42" s="151"/>
    </row>
    <row r="43" spans="1:11" ht="15" customHeight="1">
      <c r="A43" s="151"/>
    </row>
  </sheetData>
  <mergeCells count="8">
    <mergeCell ref="F13:G14"/>
    <mergeCell ref="A1:K2"/>
    <mergeCell ref="D12:D20"/>
    <mergeCell ref="E12:E19"/>
    <mergeCell ref="F12:I12"/>
    <mergeCell ref="H13:H19"/>
    <mergeCell ref="I13:I19"/>
    <mergeCell ref="F17:G18"/>
  </mergeCells>
  <phoneticPr fontId="5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"/>
  <sheetViews>
    <sheetView showGridLines="0" showWhiteSpace="0" zoomScaleNormal="100" zoomScaleSheetLayoutView="100" workbookViewId="0">
      <selection sqref="A1:Q2"/>
    </sheetView>
  </sheetViews>
  <sheetFormatPr defaultColWidth="8.77734375" defaultRowHeight="15" customHeight="1"/>
  <cols>
    <col min="1" max="1" width="3.77734375" style="292" customWidth="1"/>
    <col min="2" max="5" width="1.77734375" style="292" hidden="1" customWidth="1"/>
    <col min="6" max="6" width="9.21875" style="292" customWidth="1"/>
    <col min="7" max="7" width="4.44140625" style="292" bestFit="1" customWidth="1"/>
    <col min="8" max="8" width="8.77734375" style="292"/>
    <col min="9" max="9" width="1.77734375" style="292" customWidth="1"/>
    <col min="10" max="10" width="7.5546875" style="292" bestFit="1" customWidth="1"/>
    <col min="11" max="11" width="9.109375" style="292" bestFit="1" customWidth="1"/>
    <col min="12" max="12" width="5.21875" style="292" bestFit="1" customWidth="1"/>
    <col min="13" max="13" width="7.5546875" style="292" bestFit="1" customWidth="1"/>
    <col min="14" max="14" width="9.109375" style="292" bestFit="1" customWidth="1"/>
    <col min="15" max="15" width="5.21875" style="292" bestFit="1" customWidth="1"/>
    <col min="16" max="16" width="1.77734375" style="292" customWidth="1"/>
    <col min="17" max="17" width="10.33203125" style="292" customWidth="1"/>
    <col min="18" max="16384" width="8.77734375" style="292"/>
  </cols>
  <sheetData>
    <row r="1" spans="1:17" s="346" customFormat="1" ht="33" customHeight="1">
      <c r="A1" s="592" t="s">
        <v>677</v>
      </c>
      <c r="B1" s="592"/>
      <c r="C1" s="592"/>
      <c r="D1" s="592"/>
      <c r="E1" s="592"/>
      <c r="F1" s="592"/>
      <c r="G1" s="592"/>
      <c r="H1" s="592"/>
      <c r="I1" s="592"/>
      <c r="J1" s="592"/>
      <c r="K1" s="592"/>
      <c r="L1" s="592"/>
      <c r="M1" s="592"/>
      <c r="N1" s="592"/>
      <c r="O1" s="592"/>
      <c r="P1" s="592"/>
      <c r="Q1" s="592"/>
    </row>
    <row r="2" spans="1:17" s="346" customFormat="1" ht="33" customHeight="1">
      <c r="A2" s="592"/>
      <c r="B2" s="592"/>
      <c r="C2" s="592"/>
      <c r="D2" s="592"/>
      <c r="E2" s="592"/>
      <c r="F2" s="592"/>
      <c r="G2" s="592"/>
      <c r="H2" s="592"/>
      <c r="I2" s="592"/>
      <c r="J2" s="592"/>
      <c r="K2" s="592"/>
      <c r="L2" s="592"/>
      <c r="M2" s="592"/>
      <c r="N2" s="592"/>
      <c r="O2" s="592"/>
      <c r="P2" s="592"/>
      <c r="Q2" s="592"/>
    </row>
    <row r="3" spans="1:17" s="346" customFormat="1" ht="12.75" customHeight="1">
      <c r="A3" s="347" t="s">
        <v>678</v>
      </c>
      <c r="B3" s="347"/>
      <c r="C3" s="347"/>
      <c r="D3" s="347"/>
      <c r="E3" s="347"/>
      <c r="F3" s="34"/>
      <c r="G3" s="34"/>
      <c r="H3" s="34"/>
      <c r="I3" s="34"/>
      <c r="J3" s="34"/>
      <c r="K3" s="34"/>
      <c r="L3" s="34"/>
      <c r="M3" s="34"/>
    </row>
    <row r="4" spans="1:17" s="350" customFormat="1" ht="13.5" customHeight="1">
      <c r="A4" s="33" t="str">
        <f>" 교   정   번   호(Calibration No) : "&amp;기본정보!H3</f>
        <v xml:space="preserve"> 교   정   번   호(Calibration No) : </v>
      </c>
      <c r="B4" s="33"/>
      <c r="C4" s="33"/>
      <c r="D4" s="33"/>
      <c r="E4" s="33"/>
      <c r="F4" s="35"/>
      <c r="G4" s="35"/>
      <c r="H4" s="35"/>
      <c r="I4" s="35"/>
      <c r="J4" s="35"/>
      <c r="K4" s="348"/>
      <c r="L4" s="20"/>
      <c r="M4" s="349"/>
      <c r="N4" s="349"/>
      <c r="O4" s="349"/>
      <c r="P4" s="349"/>
      <c r="Q4" s="349"/>
    </row>
    <row r="5" spans="1:17" s="290" customFormat="1" ht="15" customHeight="1"/>
    <row r="6" spans="1:17" ht="15" customHeight="1">
      <c r="F6" s="87" t="str">
        <f>"○ 품명 : "&amp;기본정보!C$5</f>
        <v xml:space="preserve">○ 품명 : </v>
      </c>
      <c r="G6" s="351"/>
    </row>
    <row r="7" spans="1:17" ht="15" customHeight="1">
      <c r="F7" s="87" t="str">
        <f>"○ 제작회사 : "&amp;기본정보!C$6</f>
        <v xml:space="preserve">○ 제작회사 : </v>
      </c>
      <c r="G7" s="351"/>
    </row>
    <row r="8" spans="1:17" ht="15" customHeight="1">
      <c r="F8" s="87" t="str">
        <f>"○ 형식 : "&amp;기본정보!C$7</f>
        <v xml:space="preserve">○ 형식 : </v>
      </c>
      <c r="G8" s="351"/>
    </row>
    <row r="9" spans="1:17" ht="15" customHeight="1">
      <c r="F9" s="87" t="str">
        <f>"○ 기기번호 : "&amp;기본정보!C$8</f>
        <v xml:space="preserve">○ 기기번호 : </v>
      </c>
      <c r="G9" s="351"/>
    </row>
    <row r="11" spans="1:17" ht="15" customHeight="1">
      <c r="F11" s="56" t="s">
        <v>122</v>
      </c>
      <c r="G11" s="56"/>
    </row>
    <row r="12" spans="1:17" ht="15" customHeight="1">
      <c r="A12" s="352"/>
      <c r="B12" s="352"/>
      <c r="C12" s="352"/>
      <c r="D12" s="352"/>
      <c r="E12" s="352"/>
    </row>
    <row r="13" spans="1:17" s="353" customFormat="1" ht="15" customHeight="1">
      <c r="B13" s="593"/>
      <c r="C13" s="595"/>
      <c r="D13" s="595"/>
      <c r="E13" s="597"/>
      <c r="F13" s="599" t="s">
        <v>679</v>
      </c>
      <c r="G13" s="601" t="s">
        <v>101</v>
      </c>
      <c r="H13" s="603" t="s">
        <v>680</v>
      </c>
      <c r="I13" s="605"/>
      <c r="J13" s="606" t="s">
        <v>681</v>
      </c>
      <c r="K13" s="606"/>
      <c r="L13" s="606"/>
      <c r="M13" s="587" t="s">
        <v>682</v>
      </c>
      <c r="N13" s="587"/>
      <c r="O13" s="587"/>
      <c r="P13" s="588"/>
      <c r="Q13" s="590" t="s">
        <v>683</v>
      </c>
    </row>
    <row r="14" spans="1:17" s="354" customFormat="1" ht="22.5">
      <c r="B14" s="594"/>
      <c r="C14" s="596"/>
      <c r="D14" s="596"/>
      <c r="E14" s="598"/>
      <c r="F14" s="600"/>
      <c r="G14" s="602"/>
      <c r="H14" s="604"/>
      <c r="I14" s="596"/>
      <c r="J14" s="361" t="s">
        <v>684</v>
      </c>
      <c r="K14" s="385" t="s">
        <v>686</v>
      </c>
      <c r="L14" s="385" t="s">
        <v>687</v>
      </c>
      <c r="M14" s="361" t="s">
        <v>688</v>
      </c>
      <c r="N14" s="385" t="s">
        <v>685</v>
      </c>
      <c r="O14" s="385" t="s">
        <v>689</v>
      </c>
      <c r="P14" s="589"/>
      <c r="Q14" s="591"/>
    </row>
    <row r="15" spans="1:17" ht="15" customHeight="1">
      <c r="A15" s="352" t="str">
        <f>IF(Calcu!S9=TRUE,"","삭제")</f>
        <v>삭제</v>
      </c>
      <c r="B15" s="355"/>
      <c r="C15" s="355"/>
      <c r="D15" s="355"/>
      <c r="F15" s="356" t="str">
        <f>IF(Calcu_ADJ!S9=FALSE,Calcu!C65,Calcu_ADJ!C65)</f>
        <v/>
      </c>
      <c r="G15" s="356">
        <f>Calcu!C$64</f>
        <v>0</v>
      </c>
      <c r="H15" s="356" t="str">
        <f>IF(Calcu_ADJ!S9=FALSE,Calcu!K65,Calcu_ADJ!K65)</f>
        <v/>
      </c>
      <c r="J15" s="292" t="str">
        <f>Calcu!E65</f>
        <v/>
      </c>
      <c r="K15" s="292" t="str">
        <f>Calcu!F65</f>
        <v/>
      </c>
      <c r="L15" s="292" t="str">
        <f>LEFT(Calcu!L65)</f>
        <v/>
      </c>
      <c r="M15" s="292" t="str">
        <f>Calcu_ADJ!E65</f>
        <v>-</v>
      </c>
      <c r="N15" s="292" t="str">
        <f>Calcu_ADJ!F65</f>
        <v>-</v>
      </c>
      <c r="O15" s="292" t="str">
        <f>LEFT(Calcu_ADJ!L65)</f>
        <v>-</v>
      </c>
      <c r="Q15" s="292" t="str">
        <f>IF(Calcu_ADJ!S9=FALSE,Calcu!G65,Calcu_ADJ!G65)</f>
        <v/>
      </c>
    </row>
    <row r="16" spans="1:17" ht="15" customHeight="1">
      <c r="A16" s="352" t="str">
        <f>IF(Calcu!S10=TRUE,"","삭제")</f>
        <v>삭제</v>
      </c>
      <c r="B16" s="355"/>
      <c r="C16" s="355"/>
      <c r="D16" s="355"/>
      <c r="F16" s="356" t="str">
        <f>IF(Calcu_ADJ!S10=FALSE,Calcu!C66,Calcu_ADJ!C66)</f>
        <v/>
      </c>
      <c r="G16" s="356">
        <f>Calcu!C$64</f>
        <v>0</v>
      </c>
      <c r="H16" s="356" t="str">
        <f>IF(Calcu_ADJ!S10=FALSE,Calcu!K66,Calcu_ADJ!K66)</f>
        <v/>
      </c>
      <c r="J16" s="292" t="str">
        <f>Calcu!E66</f>
        <v/>
      </c>
      <c r="K16" s="292" t="str">
        <f>Calcu!F66</f>
        <v/>
      </c>
      <c r="L16" s="292" t="str">
        <f>LEFT(Calcu!L66)</f>
        <v/>
      </c>
      <c r="M16" s="292" t="str">
        <f>Calcu_ADJ!E66</f>
        <v>-</v>
      </c>
      <c r="N16" s="292" t="str">
        <f>Calcu_ADJ!F66</f>
        <v>-</v>
      </c>
      <c r="O16" s="292" t="str">
        <f>LEFT(Calcu_ADJ!L66)</f>
        <v>-</v>
      </c>
      <c r="Q16" s="292" t="str">
        <f>IF(Calcu_ADJ!S10=FALSE,Calcu!G66,Calcu_ADJ!G66)</f>
        <v/>
      </c>
    </row>
    <row r="17" spans="1:17" ht="15" customHeight="1">
      <c r="A17" s="352" t="str">
        <f>IF(Calcu!S11=TRUE,"","삭제")</f>
        <v>삭제</v>
      </c>
      <c r="B17" s="355"/>
      <c r="C17" s="355"/>
      <c r="D17" s="355"/>
      <c r="F17" s="356" t="str">
        <f>IF(Calcu_ADJ!S11=FALSE,Calcu!C67,Calcu_ADJ!C67)</f>
        <v/>
      </c>
      <c r="G17" s="356">
        <f>Calcu!C$64</f>
        <v>0</v>
      </c>
      <c r="H17" s="356" t="str">
        <f>IF(Calcu_ADJ!S11=FALSE,Calcu!K67,Calcu_ADJ!K67)</f>
        <v/>
      </c>
      <c r="J17" s="292" t="str">
        <f>Calcu!E67</f>
        <v/>
      </c>
      <c r="K17" s="292" t="str">
        <f>Calcu!F67</f>
        <v/>
      </c>
      <c r="L17" s="292" t="str">
        <f>LEFT(Calcu!L67)</f>
        <v/>
      </c>
      <c r="M17" s="292" t="str">
        <f>Calcu_ADJ!E67</f>
        <v>-</v>
      </c>
      <c r="N17" s="292" t="str">
        <f>Calcu_ADJ!F67</f>
        <v>-</v>
      </c>
      <c r="O17" s="292" t="str">
        <f>LEFT(Calcu_ADJ!L67)</f>
        <v>-</v>
      </c>
      <c r="Q17" s="292" t="str">
        <f>IF(Calcu_ADJ!S11=FALSE,Calcu!G67,Calcu_ADJ!G67)</f>
        <v/>
      </c>
    </row>
    <row r="18" spans="1:17" ht="15" customHeight="1">
      <c r="A18" s="352" t="str">
        <f>IF(Calcu!S12=TRUE,"","삭제")</f>
        <v>삭제</v>
      </c>
      <c r="B18" s="355"/>
      <c r="C18" s="355"/>
      <c r="D18" s="355"/>
      <c r="F18" s="356" t="str">
        <f>IF(Calcu_ADJ!S12=FALSE,Calcu!C68,Calcu_ADJ!C68)</f>
        <v/>
      </c>
      <c r="G18" s="356">
        <f>Calcu!C$64</f>
        <v>0</v>
      </c>
      <c r="H18" s="356" t="str">
        <f>IF(Calcu_ADJ!S12=FALSE,Calcu!K68,Calcu_ADJ!K68)</f>
        <v/>
      </c>
      <c r="J18" s="292" t="str">
        <f>Calcu!E68</f>
        <v/>
      </c>
      <c r="K18" s="292" t="str">
        <f>Calcu!F68</f>
        <v/>
      </c>
      <c r="L18" s="292" t="str">
        <f>LEFT(Calcu!L68)</f>
        <v/>
      </c>
      <c r="M18" s="292" t="str">
        <f>Calcu_ADJ!E68</f>
        <v>-</v>
      </c>
      <c r="N18" s="292" t="str">
        <f>Calcu_ADJ!F68</f>
        <v>-</v>
      </c>
      <c r="O18" s="292" t="str">
        <f>LEFT(Calcu_ADJ!L68)</f>
        <v>-</v>
      </c>
      <c r="Q18" s="292" t="str">
        <f>IF(Calcu_ADJ!S12=FALSE,Calcu!G68,Calcu_ADJ!G68)</f>
        <v/>
      </c>
    </row>
    <row r="19" spans="1:17" ht="15" customHeight="1">
      <c r="A19" s="352" t="str">
        <f>IF(Calcu!S13=TRUE,"","삭제")</f>
        <v>삭제</v>
      </c>
      <c r="B19" s="355"/>
      <c r="C19" s="355"/>
      <c r="D19" s="355"/>
      <c r="F19" s="356" t="str">
        <f>IF(Calcu_ADJ!S13=FALSE,Calcu!C69,Calcu_ADJ!C69)</f>
        <v/>
      </c>
      <c r="G19" s="356">
        <f>Calcu!C$64</f>
        <v>0</v>
      </c>
      <c r="H19" s="356" t="str">
        <f>IF(Calcu_ADJ!S13=FALSE,Calcu!K69,Calcu_ADJ!K69)</f>
        <v/>
      </c>
      <c r="J19" s="292" t="str">
        <f>Calcu!E69</f>
        <v/>
      </c>
      <c r="K19" s="292" t="str">
        <f>Calcu!F69</f>
        <v/>
      </c>
      <c r="L19" s="292" t="str">
        <f>LEFT(Calcu!L69)</f>
        <v/>
      </c>
      <c r="M19" s="292" t="str">
        <f>Calcu_ADJ!E69</f>
        <v>-</v>
      </c>
      <c r="N19" s="292" t="str">
        <f>Calcu_ADJ!F69</f>
        <v>-</v>
      </c>
      <c r="O19" s="292" t="str">
        <f>LEFT(Calcu_ADJ!L69)</f>
        <v>-</v>
      </c>
      <c r="Q19" s="292" t="str">
        <f>IF(Calcu_ADJ!S13=FALSE,Calcu!G69,Calcu_ADJ!G69)</f>
        <v/>
      </c>
    </row>
    <row r="20" spans="1:17" ht="15" customHeight="1">
      <c r="A20" s="352" t="str">
        <f>IF(Calcu!S14=TRUE,"","삭제")</f>
        <v>삭제</v>
      </c>
      <c r="B20" s="355"/>
      <c r="C20" s="355"/>
      <c r="D20" s="355"/>
      <c r="F20" s="356" t="str">
        <f>IF(Calcu_ADJ!S14=FALSE,Calcu!C70,Calcu_ADJ!C70)</f>
        <v/>
      </c>
      <c r="G20" s="356">
        <f>Calcu!C$64</f>
        <v>0</v>
      </c>
      <c r="H20" s="356" t="str">
        <f>IF(Calcu_ADJ!S14=FALSE,Calcu!K70,Calcu_ADJ!K70)</f>
        <v/>
      </c>
      <c r="J20" s="292" t="str">
        <f>Calcu!E70</f>
        <v/>
      </c>
      <c r="K20" s="292" t="str">
        <f>Calcu!F70</f>
        <v/>
      </c>
      <c r="L20" s="292" t="str">
        <f>LEFT(Calcu!L70)</f>
        <v/>
      </c>
      <c r="M20" s="292" t="str">
        <f>Calcu_ADJ!E70</f>
        <v>-</v>
      </c>
      <c r="N20" s="292" t="str">
        <f>Calcu_ADJ!F70</f>
        <v>-</v>
      </c>
      <c r="O20" s="292" t="str">
        <f>LEFT(Calcu_ADJ!L70)</f>
        <v>-</v>
      </c>
      <c r="Q20" s="292" t="str">
        <f>IF(Calcu_ADJ!S14=FALSE,Calcu!G70,Calcu_ADJ!G70)</f>
        <v/>
      </c>
    </row>
    <row r="21" spans="1:17" ht="15" customHeight="1">
      <c r="A21" s="352" t="str">
        <f>IF(Calcu!S15=TRUE,"","삭제")</f>
        <v>삭제</v>
      </c>
      <c r="B21" s="355"/>
      <c r="C21" s="355"/>
      <c r="D21" s="355"/>
      <c r="F21" s="356" t="str">
        <f>IF(Calcu_ADJ!S15=FALSE,Calcu!C71,Calcu_ADJ!C71)</f>
        <v/>
      </c>
      <c r="G21" s="356">
        <f>Calcu!C$64</f>
        <v>0</v>
      </c>
      <c r="H21" s="356" t="str">
        <f>IF(Calcu_ADJ!S15=FALSE,Calcu!K71,Calcu_ADJ!K71)</f>
        <v/>
      </c>
      <c r="J21" s="292" t="str">
        <f>Calcu!E71</f>
        <v/>
      </c>
      <c r="K21" s="292" t="str">
        <f>Calcu!F71</f>
        <v/>
      </c>
      <c r="L21" s="292" t="str">
        <f>LEFT(Calcu!L71)</f>
        <v/>
      </c>
      <c r="M21" s="292" t="str">
        <f>Calcu_ADJ!E71</f>
        <v>-</v>
      </c>
      <c r="N21" s="292" t="str">
        <f>Calcu_ADJ!F71</f>
        <v>-</v>
      </c>
      <c r="O21" s="292" t="str">
        <f>LEFT(Calcu_ADJ!L71)</f>
        <v>-</v>
      </c>
      <c r="Q21" s="292" t="str">
        <f>IF(Calcu_ADJ!S15=FALSE,Calcu!G71,Calcu_ADJ!G71)</f>
        <v/>
      </c>
    </row>
    <row r="22" spans="1:17" ht="15" customHeight="1">
      <c r="A22" s="352" t="str">
        <f>IF(Calcu!S16=TRUE,"","삭제")</f>
        <v>삭제</v>
      </c>
      <c r="B22" s="355"/>
      <c r="C22" s="355"/>
      <c r="D22" s="355"/>
      <c r="F22" s="356" t="str">
        <f>IF(Calcu_ADJ!S16=FALSE,Calcu!C72,Calcu_ADJ!C72)</f>
        <v/>
      </c>
      <c r="G22" s="356">
        <f>Calcu!C$64</f>
        <v>0</v>
      </c>
      <c r="H22" s="356" t="str">
        <f>IF(Calcu_ADJ!S16=FALSE,Calcu!K72,Calcu_ADJ!K72)</f>
        <v/>
      </c>
      <c r="J22" s="292" t="str">
        <f>Calcu!E72</f>
        <v/>
      </c>
      <c r="K22" s="292" t="str">
        <f>Calcu!F72</f>
        <v/>
      </c>
      <c r="L22" s="292" t="str">
        <f>LEFT(Calcu!L72)</f>
        <v/>
      </c>
      <c r="M22" s="292" t="str">
        <f>Calcu_ADJ!E72</f>
        <v>-</v>
      </c>
      <c r="N22" s="292" t="str">
        <f>Calcu_ADJ!F72</f>
        <v>-</v>
      </c>
      <c r="O22" s="292" t="str">
        <f>LEFT(Calcu_ADJ!L72)</f>
        <v>-</v>
      </c>
      <c r="Q22" s="292" t="str">
        <f>IF(Calcu_ADJ!S16=FALSE,Calcu!G72,Calcu_ADJ!G72)</f>
        <v/>
      </c>
    </row>
    <row r="23" spans="1:17" ht="15" customHeight="1">
      <c r="A23" s="352" t="str">
        <f>IF(Calcu!S17=TRUE,"","삭제")</f>
        <v>삭제</v>
      </c>
      <c r="B23" s="355"/>
      <c r="C23" s="355"/>
      <c r="D23" s="355"/>
      <c r="F23" s="356" t="str">
        <f>IF(Calcu_ADJ!S17=FALSE,Calcu!C73,Calcu_ADJ!C73)</f>
        <v/>
      </c>
      <c r="G23" s="356">
        <f>Calcu!C$64</f>
        <v>0</v>
      </c>
      <c r="H23" s="356" t="str">
        <f>IF(Calcu_ADJ!S17=FALSE,Calcu!K73,Calcu_ADJ!K73)</f>
        <v/>
      </c>
      <c r="J23" s="292" t="str">
        <f>Calcu!E73</f>
        <v/>
      </c>
      <c r="K23" s="292" t="str">
        <f>Calcu!F73</f>
        <v/>
      </c>
      <c r="L23" s="292" t="str">
        <f>LEFT(Calcu!L73)</f>
        <v/>
      </c>
      <c r="M23" s="292" t="str">
        <f>Calcu_ADJ!E73</f>
        <v>-</v>
      </c>
      <c r="N23" s="292" t="str">
        <f>Calcu_ADJ!F73</f>
        <v>-</v>
      </c>
      <c r="O23" s="292" t="str">
        <f>LEFT(Calcu_ADJ!L73)</f>
        <v>-</v>
      </c>
      <c r="Q23" s="292" t="str">
        <f>IF(Calcu_ADJ!S17=FALSE,Calcu!G73,Calcu_ADJ!G73)</f>
        <v/>
      </c>
    </row>
    <row r="24" spans="1:17" ht="15" customHeight="1">
      <c r="A24" s="352" t="str">
        <f>IF(Calcu!S18=TRUE,"","삭제")</f>
        <v>삭제</v>
      </c>
      <c r="B24" s="355"/>
      <c r="C24" s="355"/>
      <c r="D24" s="355"/>
      <c r="F24" s="356" t="str">
        <f>IF(Calcu_ADJ!S18=FALSE,Calcu!C74,Calcu_ADJ!C74)</f>
        <v/>
      </c>
      <c r="G24" s="356">
        <f>Calcu!C$64</f>
        <v>0</v>
      </c>
      <c r="H24" s="356" t="str">
        <f>IF(Calcu_ADJ!S18=FALSE,Calcu!K74,Calcu_ADJ!K74)</f>
        <v/>
      </c>
      <c r="J24" s="292" t="str">
        <f>Calcu!E74</f>
        <v/>
      </c>
      <c r="K24" s="292" t="str">
        <f>Calcu!F74</f>
        <v/>
      </c>
      <c r="L24" s="292" t="str">
        <f>LEFT(Calcu!L74)</f>
        <v/>
      </c>
      <c r="M24" s="292" t="str">
        <f>Calcu_ADJ!E74</f>
        <v>-</v>
      </c>
      <c r="N24" s="292" t="str">
        <f>Calcu_ADJ!F74</f>
        <v>-</v>
      </c>
      <c r="O24" s="292" t="str">
        <f>LEFT(Calcu_ADJ!L74)</f>
        <v>-</v>
      </c>
      <c r="Q24" s="292" t="str">
        <f>IF(Calcu_ADJ!S18=FALSE,Calcu!G74,Calcu_ADJ!G74)</f>
        <v/>
      </c>
    </row>
    <row r="25" spans="1:17" ht="15" customHeight="1">
      <c r="A25" s="352" t="str">
        <f>IF(Calcu!S19=TRUE,"","삭제")</f>
        <v>삭제</v>
      </c>
      <c r="B25" s="355"/>
      <c r="C25" s="355"/>
      <c r="D25" s="355"/>
      <c r="F25" s="356" t="str">
        <f>IF(Calcu_ADJ!S19=FALSE,Calcu!C75,Calcu_ADJ!C75)</f>
        <v/>
      </c>
      <c r="G25" s="356">
        <f>Calcu!C$64</f>
        <v>0</v>
      </c>
      <c r="H25" s="356" t="str">
        <f>IF(Calcu_ADJ!S19=FALSE,Calcu!K75,Calcu_ADJ!K75)</f>
        <v/>
      </c>
      <c r="J25" s="292" t="str">
        <f>Calcu!E75</f>
        <v/>
      </c>
      <c r="K25" s="292" t="str">
        <f>Calcu!F75</f>
        <v/>
      </c>
      <c r="L25" s="292" t="str">
        <f>LEFT(Calcu!L75)</f>
        <v/>
      </c>
      <c r="M25" s="292" t="str">
        <f>Calcu_ADJ!E75</f>
        <v>-</v>
      </c>
      <c r="N25" s="292" t="str">
        <f>Calcu_ADJ!F75</f>
        <v>-</v>
      </c>
      <c r="O25" s="292" t="str">
        <f>LEFT(Calcu_ADJ!L75)</f>
        <v>-</v>
      </c>
      <c r="Q25" s="292" t="str">
        <f>IF(Calcu_ADJ!S19=FALSE,Calcu!G75,Calcu_ADJ!G75)</f>
        <v/>
      </c>
    </row>
    <row r="26" spans="1:17" ht="15" customHeight="1">
      <c r="A26" s="352" t="str">
        <f>IF(Calcu!S20=TRUE,"","삭제")</f>
        <v>삭제</v>
      </c>
      <c r="B26" s="355"/>
      <c r="C26" s="355"/>
      <c r="D26" s="355"/>
      <c r="F26" s="356" t="str">
        <f>IF(Calcu_ADJ!S20=FALSE,Calcu!C76,Calcu_ADJ!C76)</f>
        <v/>
      </c>
      <c r="G26" s="356">
        <f>Calcu!C$64</f>
        <v>0</v>
      </c>
      <c r="H26" s="356" t="str">
        <f>IF(Calcu_ADJ!S20=FALSE,Calcu!K76,Calcu_ADJ!K76)</f>
        <v/>
      </c>
      <c r="J26" s="292" t="str">
        <f>Calcu!E76</f>
        <v/>
      </c>
      <c r="K26" s="292" t="str">
        <f>Calcu!F76</f>
        <v/>
      </c>
      <c r="L26" s="292" t="str">
        <f>LEFT(Calcu!L76)</f>
        <v/>
      </c>
      <c r="M26" s="292" t="str">
        <f>Calcu_ADJ!E76</f>
        <v>-</v>
      </c>
      <c r="N26" s="292" t="str">
        <f>Calcu_ADJ!F76</f>
        <v>-</v>
      </c>
      <c r="O26" s="292" t="str">
        <f>LEFT(Calcu_ADJ!L76)</f>
        <v>-</v>
      </c>
      <c r="Q26" s="292" t="str">
        <f>IF(Calcu_ADJ!S20=FALSE,Calcu!G76,Calcu_ADJ!G76)</f>
        <v/>
      </c>
    </row>
    <row r="27" spans="1:17" ht="15" customHeight="1">
      <c r="A27" s="352" t="str">
        <f>IF(Calcu!S21=TRUE,"","삭제")</f>
        <v>삭제</v>
      </c>
      <c r="B27" s="355"/>
      <c r="C27" s="355"/>
      <c r="D27" s="355"/>
      <c r="F27" s="356" t="str">
        <f>IF(Calcu_ADJ!S21=FALSE,Calcu!C77,Calcu_ADJ!C77)</f>
        <v/>
      </c>
      <c r="G27" s="356">
        <f>Calcu!C$64</f>
        <v>0</v>
      </c>
      <c r="H27" s="356" t="str">
        <f>IF(Calcu_ADJ!S21=FALSE,Calcu!K77,Calcu_ADJ!K77)</f>
        <v/>
      </c>
      <c r="J27" s="292" t="str">
        <f>Calcu!E77</f>
        <v/>
      </c>
      <c r="K27" s="292" t="str">
        <f>Calcu!F77</f>
        <v/>
      </c>
      <c r="L27" s="292" t="str">
        <f>LEFT(Calcu!L77)</f>
        <v/>
      </c>
      <c r="M27" s="292" t="str">
        <f>Calcu_ADJ!E77</f>
        <v>-</v>
      </c>
      <c r="N27" s="292" t="str">
        <f>Calcu_ADJ!F77</f>
        <v>-</v>
      </c>
      <c r="O27" s="292" t="str">
        <f>LEFT(Calcu_ADJ!L77)</f>
        <v>-</v>
      </c>
      <c r="Q27" s="292" t="str">
        <f>IF(Calcu_ADJ!S21=FALSE,Calcu!G77,Calcu_ADJ!G77)</f>
        <v/>
      </c>
    </row>
    <row r="28" spans="1:17" ht="15" customHeight="1">
      <c r="A28" s="352" t="str">
        <f>IF(Calcu!S22=TRUE,"","삭제")</f>
        <v>삭제</v>
      </c>
      <c r="B28" s="355"/>
      <c r="C28" s="355"/>
      <c r="D28" s="355"/>
      <c r="F28" s="356" t="str">
        <f>IF(Calcu_ADJ!S22=FALSE,Calcu!C78,Calcu_ADJ!C78)</f>
        <v/>
      </c>
      <c r="G28" s="356">
        <f>Calcu!C$64</f>
        <v>0</v>
      </c>
      <c r="H28" s="356" t="str">
        <f>IF(Calcu_ADJ!S22=FALSE,Calcu!K78,Calcu_ADJ!K78)</f>
        <v/>
      </c>
      <c r="J28" s="292" t="str">
        <f>Calcu!E78</f>
        <v/>
      </c>
      <c r="K28" s="292" t="str">
        <f>Calcu!F78</f>
        <v/>
      </c>
      <c r="L28" s="292" t="str">
        <f>LEFT(Calcu!L78)</f>
        <v/>
      </c>
      <c r="M28" s="292" t="str">
        <f>Calcu_ADJ!E78</f>
        <v>-</v>
      </c>
      <c r="N28" s="292" t="str">
        <f>Calcu_ADJ!F78</f>
        <v>-</v>
      </c>
      <c r="O28" s="292" t="str">
        <f>LEFT(Calcu_ADJ!L78)</f>
        <v>-</v>
      </c>
      <c r="Q28" s="292" t="str">
        <f>IF(Calcu_ADJ!S22=FALSE,Calcu!G78,Calcu_ADJ!G78)</f>
        <v/>
      </c>
    </row>
    <row r="29" spans="1:17" ht="15" customHeight="1">
      <c r="A29" s="352" t="str">
        <f>IF(Calcu!S23=TRUE,"","삭제")</f>
        <v>삭제</v>
      </c>
      <c r="B29" s="355"/>
      <c r="C29" s="355"/>
      <c r="D29" s="355"/>
      <c r="F29" s="356" t="str">
        <f>IF(Calcu_ADJ!S23=FALSE,Calcu!C79,Calcu_ADJ!C79)</f>
        <v/>
      </c>
      <c r="G29" s="356">
        <f>Calcu!C$64</f>
        <v>0</v>
      </c>
      <c r="H29" s="356" t="str">
        <f>IF(Calcu_ADJ!S23=FALSE,Calcu!K79,Calcu_ADJ!K79)</f>
        <v/>
      </c>
      <c r="J29" s="292" t="str">
        <f>Calcu!E79</f>
        <v/>
      </c>
      <c r="K29" s="292" t="str">
        <f>Calcu!F79</f>
        <v/>
      </c>
      <c r="L29" s="292" t="str">
        <f>LEFT(Calcu!L79)</f>
        <v/>
      </c>
      <c r="M29" s="292" t="str">
        <f>Calcu_ADJ!E79</f>
        <v>-</v>
      </c>
      <c r="N29" s="292" t="str">
        <f>Calcu_ADJ!F79</f>
        <v>-</v>
      </c>
      <c r="O29" s="292" t="str">
        <f>LEFT(Calcu_ADJ!L79)</f>
        <v>-</v>
      </c>
      <c r="Q29" s="292" t="str">
        <f>IF(Calcu_ADJ!S23=FALSE,Calcu!G79,Calcu_ADJ!G79)</f>
        <v/>
      </c>
    </row>
    <row r="30" spans="1:17" ht="15" customHeight="1">
      <c r="A30" s="352"/>
      <c r="F30" s="356"/>
      <c r="G30" s="356"/>
      <c r="H30" s="356"/>
    </row>
    <row r="31" spans="1:17" ht="15" customHeight="1">
      <c r="A31" s="352"/>
      <c r="G31" s="357" t="s">
        <v>691</v>
      </c>
      <c r="H31" s="358">
        <v>2</v>
      </c>
      <c r="K31" s="359"/>
      <c r="Q31" s="357"/>
    </row>
    <row r="32" spans="1:17" ht="15" customHeight="1">
      <c r="B32" s="312"/>
      <c r="C32" s="312"/>
      <c r="D32" s="312"/>
      <c r="E32" s="312"/>
      <c r="F32" s="312"/>
      <c r="G32" s="312"/>
      <c r="H32" s="312"/>
      <c r="I32" s="312"/>
      <c r="J32" s="312"/>
      <c r="K32" s="312"/>
      <c r="L32" s="312"/>
      <c r="M32" s="312"/>
      <c r="N32" s="312"/>
      <c r="O32" s="312"/>
      <c r="P32" s="312"/>
      <c r="Q32" s="360"/>
    </row>
  </sheetData>
  <mergeCells count="13">
    <mergeCell ref="M13:O13"/>
    <mergeCell ref="P13:P14"/>
    <mergeCell ref="Q13:Q14"/>
    <mergeCell ref="A1:Q2"/>
    <mergeCell ref="B13:B14"/>
    <mergeCell ref="C13:C14"/>
    <mergeCell ref="D13:D14"/>
    <mergeCell ref="E13:E14"/>
    <mergeCell ref="F13:F14"/>
    <mergeCell ref="G13:G14"/>
    <mergeCell ref="H13:H14"/>
    <mergeCell ref="I13:I14"/>
    <mergeCell ref="J13:L13"/>
  </mergeCells>
  <phoneticPr fontId="5" type="noConversion"/>
  <printOptions horizontalCentered="1"/>
  <pageMargins left="0" right="0" top="0.35433070866141736" bottom="0.59055118110236227" header="0" footer="0"/>
  <pageSetup paperSize="9" fitToHeight="0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showGridLines="0" showWhiteSpace="0" zoomScaleNormal="100" zoomScaleSheetLayoutView="100" workbookViewId="0">
      <selection sqref="A1:K2"/>
    </sheetView>
  </sheetViews>
  <sheetFormatPr defaultColWidth="10.77734375" defaultRowHeight="15" customHeight="1"/>
  <cols>
    <col min="1" max="3" width="3.33203125" style="54" customWidth="1"/>
    <col min="4" max="4" width="6.77734375" style="54" customWidth="1"/>
    <col min="5" max="5" width="12.77734375" style="54" customWidth="1"/>
    <col min="6" max="6" width="12.77734375" style="55" customWidth="1"/>
    <col min="7" max="7" width="11.77734375" style="54" customWidth="1"/>
    <col min="8" max="8" width="14.77734375" style="54" customWidth="1"/>
    <col min="9" max="11" width="3.33203125" style="54" customWidth="1"/>
    <col min="12" max="16384" width="10.77734375" style="54"/>
  </cols>
  <sheetData>
    <row r="1" spans="1:11" s="2" customFormat="1" ht="33" customHeight="1">
      <c r="A1" s="566" t="s">
        <v>105</v>
      </c>
      <c r="B1" s="566"/>
      <c r="C1" s="566"/>
      <c r="D1" s="566"/>
      <c r="E1" s="566"/>
      <c r="F1" s="566"/>
      <c r="G1" s="566"/>
      <c r="H1" s="566"/>
      <c r="I1" s="566"/>
      <c r="J1" s="566"/>
      <c r="K1" s="566"/>
    </row>
    <row r="2" spans="1:11" s="2" customFormat="1" ht="33" customHeight="1">
      <c r="A2" s="566"/>
      <c r="B2" s="566"/>
      <c r="C2" s="566"/>
      <c r="D2" s="566"/>
      <c r="E2" s="566"/>
      <c r="F2" s="566"/>
      <c r="G2" s="566"/>
      <c r="H2" s="566"/>
      <c r="I2" s="566"/>
      <c r="J2" s="566"/>
      <c r="K2" s="566"/>
    </row>
    <row r="3" spans="1:11" s="2" customFormat="1" ht="12.75" customHeight="1">
      <c r="A3" s="17"/>
      <c r="B3" s="17"/>
      <c r="C3" s="17"/>
      <c r="D3" s="16"/>
      <c r="E3" s="16"/>
      <c r="F3" s="34"/>
      <c r="G3" s="16"/>
      <c r="H3" s="16"/>
      <c r="I3" s="16"/>
      <c r="J3" s="16"/>
      <c r="K3" s="16"/>
    </row>
    <row r="4" spans="1:11" s="1" customFormat="1" ht="13.5" customHeight="1">
      <c r="A4" s="33"/>
      <c r="B4" s="33"/>
      <c r="C4" s="33"/>
      <c r="D4" s="18"/>
      <c r="E4" s="18"/>
      <c r="F4" s="35"/>
      <c r="G4" s="19"/>
      <c r="H4" s="18"/>
      <c r="I4" s="18"/>
      <c r="J4" s="20"/>
      <c r="K4" s="19"/>
    </row>
    <row r="5" spans="1:11" s="52" customFormat="1" ht="15" customHeight="1">
      <c r="F5" s="53"/>
    </row>
    <row r="6" spans="1:11" ht="15" customHeight="1">
      <c r="A6" s="210" t="str">
        <f>IF(Calcu!B9=TRUE,"","삭제")</f>
        <v>삭제</v>
      </c>
      <c r="D6" s="87" t="str">
        <f>"○ 품명 : "&amp;기본정보!C$5</f>
        <v xml:space="preserve">○ 품명 : </v>
      </c>
      <c r="F6" s="54"/>
      <c r="G6" s="55"/>
    </row>
    <row r="7" spans="1:11" ht="15" customHeight="1">
      <c r="A7" s="151" t="str">
        <f>A6</f>
        <v>삭제</v>
      </c>
      <c r="D7" s="87" t="str">
        <f>"○ 제작회사 : "&amp;기본정보!C$6</f>
        <v xml:space="preserve">○ 제작회사 : </v>
      </c>
      <c r="F7" s="54"/>
      <c r="G7" s="55"/>
    </row>
    <row r="8" spans="1:11" ht="15" customHeight="1">
      <c r="A8" s="151" t="str">
        <f>A6</f>
        <v>삭제</v>
      </c>
      <c r="D8" s="87" t="str">
        <f>"○ 형식 : "&amp;기본정보!C$7</f>
        <v xml:space="preserve">○ 형식 : </v>
      </c>
      <c r="F8" s="54"/>
      <c r="G8" s="55"/>
    </row>
    <row r="9" spans="1:11" ht="15" customHeight="1">
      <c r="A9" s="151" t="str">
        <f>A6</f>
        <v>삭제</v>
      </c>
      <c r="D9" s="87" t="str">
        <f>"○ 기기번호 : "&amp;기본정보!C$8</f>
        <v xml:space="preserve">○ 기기번호 : </v>
      </c>
      <c r="F9" s="54"/>
      <c r="G9" s="55"/>
    </row>
    <row r="10" spans="1:11" ht="15" customHeight="1">
      <c r="A10" s="151" t="str">
        <f>A6</f>
        <v>삭제</v>
      </c>
      <c r="D10" s="87"/>
      <c r="F10" s="54"/>
      <c r="G10" s="55"/>
    </row>
    <row r="11" spans="1:11" s="55" customFormat="1" ht="15" customHeight="1">
      <c r="A11" s="151" t="str">
        <f>A6</f>
        <v>삭제</v>
      </c>
      <c r="B11" s="54"/>
      <c r="C11" s="54"/>
      <c r="D11" s="56" t="s">
        <v>74</v>
      </c>
      <c r="E11" s="54"/>
      <c r="F11" s="54"/>
      <c r="H11" s="54"/>
      <c r="I11" s="54"/>
      <c r="J11" s="54"/>
      <c r="K11" s="54"/>
    </row>
    <row r="12" spans="1:11" s="141" customFormat="1" ht="15" customHeight="1">
      <c r="A12" s="151" t="str">
        <f>A6</f>
        <v>삭제</v>
      </c>
      <c r="B12" s="54"/>
      <c r="C12" s="54"/>
      <c r="D12" s="567" t="s">
        <v>57</v>
      </c>
      <c r="E12" s="156" t="s">
        <v>69</v>
      </c>
      <c r="F12" s="582" t="e">
        <f>Calcu!$J$103</f>
        <v>#N/A</v>
      </c>
      <c r="G12" s="583"/>
      <c r="H12" s="584"/>
      <c r="I12" s="54"/>
      <c r="J12" s="54"/>
      <c r="K12" s="54"/>
    </row>
    <row r="13" spans="1:11" s="141" customFormat="1" ht="15" customHeight="1">
      <c r="A13" s="151" t="str">
        <f>A6</f>
        <v>삭제</v>
      </c>
      <c r="B13" s="54"/>
      <c r="C13" s="54"/>
      <c r="D13" s="568"/>
      <c r="E13" s="607" t="s">
        <v>64</v>
      </c>
      <c r="F13" s="609" t="s">
        <v>54</v>
      </c>
      <c r="G13" s="572" t="s">
        <v>73</v>
      </c>
      <c r="H13" s="611" t="s">
        <v>644</v>
      </c>
      <c r="I13" s="54"/>
      <c r="J13" s="54"/>
      <c r="K13" s="54"/>
    </row>
    <row r="14" spans="1:11" s="141" customFormat="1" ht="15" customHeight="1">
      <c r="A14" s="151" t="str">
        <f>A6</f>
        <v>삭제</v>
      </c>
      <c r="B14" s="54"/>
      <c r="C14" s="54"/>
      <c r="D14" s="568"/>
      <c r="E14" s="608"/>
      <c r="F14" s="610"/>
      <c r="G14" s="572"/>
      <c r="H14" s="612"/>
      <c r="I14" s="54"/>
      <c r="J14" s="54"/>
      <c r="K14" s="54"/>
    </row>
    <row r="15" spans="1:11" s="141" customFormat="1" ht="15" customHeight="1">
      <c r="A15" s="151" t="str">
        <f>A6</f>
        <v>삭제</v>
      </c>
      <c r="B15" s="55"/>
      <c r="C15" s="55"/>
      <c r="D15" s="569"/>
      <c r="E15" s="83">
        <f>Calcu!C64</f>
        <v>0</v>
      </c>
      <c r="F15" s="82">
        <f>Calcu!E64</f>
        <v>0</v>
      </c>
      <c r="G15" s="80">
        <f>Calcu!K64</f>
        <v>0</v>
      </c>
      <c r="H15" s="81"/>
      <c r="I15" s="54"/>
      <c r="J15" s="54"/>
      <c r="K15" s="54"/>
    </row>
    <row r="16" spans="1:11" s="141" customFormat="1" ht="15" customHeight="1">
      <c r="A16" s="210" t="str">
        <f>IF(Calcu!S9=TRUE,"","삭제")</f>
        <v>삭제</v>
      </c>
      <c r="B16" s="55"/>
      <c r="C16" s="55"/>
      <c r="D16" s="158">
        <f>Calcu!B65</f>
        <v>1</v>
      </c>
      <c r="E16" s="160" t="str">
        <f>Calcu!C65</f>
        <v/>
      </c>
      <c r="F16" s="161" t="str">
        <f>Calcu!E65</f>
        <v/>
      </c>
      <c r="G16" s="162" t="str">
        <f>Calcu!K65</f>
        <v/>
      </c>
      <c r="H16" s="163" t="str">
        <f>Calcu!L65</f>
        <v/>
      </c>
      <c r="I16" s="54"/>
      <c r="J16" s="54"/>
      <c r="K16" s="54"/>
    </row>
    <row r="17" spans="1:11" s="141" customFormat="1" ht="15" customHeight="1">
      <c r="A17" s="210" t="str">
        <f>IF(Calcu!S10=TRUE,"","삭제")</f>
        <v>삭제</v>
      </c>
      <c r="B17" s="55"/>
      <c r="C17" s="55"/>
      <c r="D17" s="157">
        <f>Calcu!B66</f>
        <v>2</v>
      </c>
      <c r="E17" s="164" t="str">
        <f>Calcu!C66</f>
        <v/>
      </c>
      <c r="F17" s="165" t="str">
        <f>Calcu!E66</f>
        <v/>
      </c>
      <c r="G17" s="166" t="str">
        <f>Calcu!K66</f>
        <v/>
      </c>
      <c r="H17" s="167" t="str">
        <f>Calcu!L66</f>
        <v/>
      </c>
      <c r="I17" s="54"/>
      <c r="J17" s="54"/>
      <c r="K17" s="54"/>
    </row>
    <row r="18" spans="1:11" s="141" customFormat="1" ht="15" customHeight="1">
      <c r="A18" s="210" t="str">
        <f>IF(Calcu!S11=TRUE,"","삭제")</f>
        <v>삭제</v>
      </c>
      <c r="B18" s="55"/>
      <c r="C18" s="55"/>
      <c r="D18" s="157">
        <f>Calcu!B67</f>
        <v>3</v>
      </c>
      <c r="E18" s="164" t="str">
        <f>Calcu!C67</f>
        <v/>
      </c>
      <c r="F18" s="165" t="str">
        <f>Calcu!E67</f>
        <v/>
      </c>
      <c r="G18" s="166" t="str">
        <f>Calcu!K67</f>
        <v/>
      </c>
      <c r="H18" s="167" t="str">
        <f>Calcu!L67</f>
        <v/>
      </c>
      <c r="I18" s="54"/>
      <c r="J18" s="54"/>
      <c r="K18" s="54"/>
    </row>
    <row r="19" spans="1:11" s="141" customFormat="1" ht="15" customHeight="1">
      <c r="A19" s="210" t="str">
        <f>IF(Calcu!S12=TRUE,"","삭제")</f>
        <v>삭제</v>
      </c>
      <c r="B19" s="55"/>
      <c r="C19" s="55"/>
      <c r="D19" s="157">
        <f>Calcu!B68</f>
        <v>4</v>
      </c>
      <c r="E19" s="164" t="str">
        <f>Calcu!C68</f>
        <v/>
      </c>
      <c r="F19" s="165" t="str">
        <f>Calcu!E68</f>
        <v/>
      </c>
      <c r="G19" s="166" t="str">
        <f>Calcu!K68</f>
        <v/>
      </c>
      <c r="H19" s="167" t="str">
        <f>Calcu!L68</f>
        <v/>
      </c>
      <c r="I19" s="54"/>
      <c r="J19" s="54"/>
      <c r="K19" s="54"/>
    </row>
    <row r="20" spans="1:11" s="141" customFormat="1" ht="15" customHeight="1">
      <c r="A20" s="210" t="str">
        <f>IF(Calcu!S13=TRUE,"","삭제")</f>
        <v>삭제</v>
      </c>
      <c r="B20" s="55"/>
      <c r="C20" s="55"/>
      <c r="D20" s="157">
        <f>Calcu!B69</f>
        <v>5</v>
      </c>
      <c r="E20" s="164" t="str">
        <f>Calcu!C69</f>
        <v/>
      </c>
      <c r="F20" s="165" t="str">
        <f>Calcu!E69</f>
        <v/>
      </c>
      <c r="G20" s="166" t="str">
        <f>Calcu!K69</f>
        <v/>
      </c>
      <c r="H20" s="167" t="str">
        <f>Calcu!L69</f>
        <v/>
      </c>
      <c r="I20" s="54"/>
      <c r="J20" s="54"/>
      <c r="K20" s="54"/>
    </row>
    <row r="21" spans="1:11" s="141" customFormat="1" ht="15" customHeight="1">
      <c r="A21" s="210" t="str">
        <f>IF(Calcu!S14=TRUE,"","삭제")</f>
        <v>삭제</v>
      </c>
      <c r="B21" s="55"/>
      <c r="C21" s="55"/>
      <c r="D21" s="157">
        <f>Calcu!B70</f>
        <v>6</v>
      </c>
      <c r="E21" s="164" t="str">
        <f>Calcu!C70</f>
        <v/>
      </c>
      <c r="F21" s="165" t="str">
        <f>Calcu!E70</f>
        <v/>
      </c>
      <c r="G21" s="166" t="str">
        <f>Calcu!K70</f>
        <v/>
      </c>
      <c r="H21" s="167" t="str">
        <f>Calcu!L70</f>
        <v/>
      </c>
      <c r="I21" s="54"/>
      <c r="J21" s="54"/>
      <c r="K21" s="54"/>
    </row>
    <row r="22" spans="1:11" s="141" customFormat="1" ht="15" customHeight="1">
      <c r="A22" s="210" t="str">
        <f>IF(Calcu!S15=TRUE,"","삭제")</f>
        <v>삭제</v>
      </c>
      <c r="B22" s="55"/>
      <c r="C22" s="55"/>
      <c r="D22" s="157">
        <f>Calcu!B71</f>
        <v>7</v>
      </c>
      <c r="E22" s="164" t="str">
        <f>Calcu!C71</f>
        <v/>
      </c>
      <c r="F22" s="165" t="str">
        <f>Calcu!E71</f>
        <v/>
      </c>
      <c r="G22" s="166" t="str">
        <f>Calcu!K71</f>
        <v/>
      </c>
      <c r="H22" s="167" t="str">
        <f>Calcu!L71</f>
        <v/>
      </c>
      <c r="I22" s="54"/>
      <c r="J22" s="54"/>
      <c r="K22" s="54"/>
    </row>
    <row r="23" spans="1:11" s="141" customFormat="1" ht="15" customHeight="1">
      <c r="A23" s="210" t="str">
        <f>IF(Calcu!S16=TRUE,"","삭제")</f>
        <v>삭제</v>
      </c>
      <c r="B23" s="55"/>
      <c r="C23" s="55"/>
      <c r="D23" s="157">
        <f>Calcu!B72</f>
        <v>8</v>
      </c>
      <c r="E23" s="164" t="str">
        <f>Calcu!C72</f>
        <v/>
      </c>
      <c r="F23" s="165" t="str">
        <f>Calcu!E72</f>
        <v/>
      </c>
      <c r="G23" s="166" t="str">
        <f>Calcu!K72</f>
        <v/>
      </c>
      <c r="H23" s="167" t="str">
        <f>Calcu!L72</f>
        <v/>
      </c>
      <c r="I23" s="54"/>
      <c r="J23" s="54"/>
      <c r="K23" s="54"/>
    </row>
    <row r="24" spans="1:11" s="141" customFormat="1" ht="15" customHeight="1">
      <c r="A24" s="210" t="str">
        <f>IF(Calcu!S17=TRUE,"","삭제")</f>
        <v>삭제</v>
      </c>
      <c r="B24" s="55"/>
      <c r="C24" s="55"/>
      <c r="D24" s="157">
        <f>Calcu!B73</f>
        <v>9</v>
      </c>
      <c r="E24" s="164" t="str">
        <f>Calcu!C73</f>
        <v/>
      </c>
      <c r="F24" s="165" t="str">
        <f>Calcu!E73</f>
        <v/>
      </c>
      <c r="G24" s="166" t="str">
        <f>Calcu!K73</f>
        <v/>
      </c>
      <c r="H24" s="167" t="str">
        <f>Calcu!L73</f>
        <v/>
      </c>
      <c r="I24" s="54"/>
      <c r="J24" s="54"/>
      <c r="K24" s="54"/>
    </row>
    <row r="25" spans="1:11" s="141" customFormat="1" ht="15" customHeight="1">
      <c r="A25" s="210" t="str">
        <f>IF(Calcu!S18=TRUE,"","삭제")</f>
        <v>삭제</v>
      </c>
      <c r="B25" s="54"/>
      <c r="C25" s="54"/>
      <c r="D25" s="157">
        <f>Calcu!B74</f>
        <v>10</v>
      </c>
      <c r="E25" s="164" t="str">
        <f>Calcu!C74</f>
        <v/>
      </c>
      <c r="F25" s="165" t="str">
        <f>Calcu!E74</f>
        <v/>
      </c>
      <c r="G25" s="166" t="str">
        <f>Calcu!K74</f>
        <v/>
      </c>
      <c r="H25" s="167" t="str">
        <f>Calcu!L74</f>
        <v/>
      </c>
      <c r="I25" s="54"/>
      <c r="J25" s="54"/>
      <c r="K25" s="54"/>
    </row>
    <row r="26" spans="1:11" s="141" customFormat="1" ht="15" customHeight="1">
      <c r="A26" s="210" t="str">
        <f>IF(Calcu!S19=TRUE,"","삭제")</f>
        <v>삭제</v>
      </c>
      <c r="B26" s="54"/>
      <c r="C26" s="54"/>
      <c r="D26" s="157">
        <f>Calcu!B75</f>
        <v>11</v>
      </c>
      <c r="E26" s="164" t="str">
        <f>Calcu!C75</f>
        <v/>
      </c>
      <c r="F26" s="165" t="str">
        <f>Calcu!E75</f>
        <v/>
      </c>
      <c r="G26" s="166" t="str">
        <f>Calcu!K75</f>
        <v/>
      </c>
      <c r="H26" s="167" t="str">
        <f>Calcu!L75</f>
        <v/>
      </c>
      <c r="I26" s="54"/>
      <c r="J26" s="54"/>
      <c r="K26" s="54"/>
    </row>
    <row r="27" spans="1:11" s="141" customFormat="1" ht="15" customHeight="1">
      <c r="A27" s="210" t="str">
        <f>IF(Calcu!S20=TRUE,"","삭제")</f>
        <v>삭제</v>
      </c>
      <c r="B27" s="54"/>
      <c r="C27" s="54"/>
      <c r="D27" s="157">
        <f>Calcu!B76</f>
        <v>12</v>
      </c>
      <c r="E27" s="164" t="str">
        <f>Calcu!C76</f>
        <v/>
      </c>
      <c r="F27" s="165" t="str">
        <f>Calcu!E76</f>
        <v/>
      </c>
      <c r="G27" s="166" t="str">
        <f>Calcu!K76</f>
        <v/>
      </c>
      <c r="H27" s="167" t="str">
        <f>Calcu!L76</f>
        <v/>
      </c>
      <c r="I27" s="54"/>
      <c r="J27" s="54"/>
      <c r="K27" s="54"/>
    </row>
    <row r="28" spans="1:11" s="141" customFormat="1" ht="15" customHeight="1">
      <c r="A28" s="210" t="str">
        <f>IF(Calcu!S21=TRUE,"","삭제")</f>
        <v>삭제</v>
      </c>
      <c r="B28" s="54"/>
      <c r="C28" s="54"/>
      <c r="D28" s="157">
        <f>Calcu!B77</f>
        <v>13</v>
      </c>
      <c r="E28" s="164" t="str">
        <f>Calcu!C77</f>
        <v/>
      </c>
      <c r="F28" s="165" t="str">
        <f>Calcu!E77</f>
        <v/>
      </c>
      <c r="G28" s="166" t="str">
        <f>Calcu!K77</f>
        <v/>
      </c>
      <c r="H28" s="167" t="str">
        <f>Calcu!L77</f>
        <v/>
      </c>
      <c r="I28" s="54"/>
      <c r="J28" s="54"/>
      <c r="K28" s="54"/>
    </row>
    <row r="29" spans="1:11" s="141" customFormat="1" ht="15" customHeight="1">
      <c r="A29" s="210" t="str">
        <f>IF(Calcu!S22=TRUE,"","삭제")</f>
        <v>삭제</v>
      </c>
      <c r="B29" s="54"/>
      <c r="C29" s="54"/>
      <c r="D29" s="157">
        <f>Calcu!B78</f>
        <v>14</v>
      </c>
      <c r="E29" s="164" t="str">
        <f>Calcu!C78</f>
        <v/>
      </c>
      <c r="F29" s="165" t="str">
        <f>Calcu!E78</f>
        <v/>
      </c>
      <c r="G29" s="166" t="str">
        <f>Calcu!K78</f>
        <v/>
      </c>
      <c r="H29" s="167" t="str">
        <f>Calcu!L78</f>
        <v/>
      </c>
      <c r="I29" s="54"/>
      <c r="J29" s="54"/>
      <c r="K29" s="54"/>
    </row>
    <row r="30" spans="1:11" s="141" customFormat="1" ht="15" customHeight="1">
      <c r="A30" s="210" t="str">
        <f>IF(Calcu!S23=TRUE,"","삭제")</f>
        <v>삭제</v>
      </c>
      <c r="B30" s="54"/>
      <c r="C30" s="54"/>
      <c r="D30" s="159">
        <f>Calcu!B79</f>
        <v>15</v>
      </c>
      <c r="E30" s="168" t="str">
        <f>Calcu!C79</f>
        <v/>
      </c>
      <c r="F30" s="169" t="str">
        <f>Calcu!E79</f>
        <v/>
      </c>
      <c r="G30" s="170" t="str">
        <f>Calcu!K79</f>
        <v/>
      </c>
      <c r="H30" s="171" t="str">
        <f>Calcu!L79</f>
        <v/>
      </c>
      <c r="I30" s="54"/>
      <c r="J30" s="54"/>
      <c r="K30" s="54"/>
    </row>
    <row r="31" spans="1:11" ht="15" customHeight="1">
      <c r="A31" s="151"/>
      <c r="D31" s="208"/>
      <c r="E31" s="208"/>
      <c r="F31" s="208"/>
      <c r="G31" s="208"/>
      <c r="H31" s="209"/>
      <c r="I31" s="172"/>
      <c r="J31" s="55"/>
      <c r="K31" s="55"/>
    </row>
  </sheetData>
  <mergeCells count="7">
    <mergeCell ref="A1:K2"/>
    <mergeCell ref="D12:D15"/>
    <mergeCell ref="F12:H12"/>
    <mergeCell ref="E13:E14"/>
    <mergeCell ref="F13:F14"/>
    <mergeCell ref="G13:G14"/>
    <mergeCell ref="H13:H14"/>
  </mergeCells>
  <phoneticPr fontId="5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showGridLines="0" showWhiteSpace="0" zoomScaleSheetLayoutView="100" workbookViewId="0">
      <selection sqref="A1:J2"/>
    </sheetView>
  </sheetViews>
  <sheetFormatPr defaultColWidth="10.77734375" defaultRowHeight="15" customHeight="1"/>
  <cols>
    <col min="1" max="2" width="3.77734375" style="141" customWidth="1"/>
    <col min="3" max="3" width="11.109375" style="141" customWidth="1"/>
    <col min="4" max="4" width="11.109375" style="142" customWidth="1"/>
    <col min="5" max="8" width="11.109375" style="141" customWidth="1"/>
    <col min="9" max="10" width="3.77734375" style="141" customWidth="1"/>
    <col min="11" max="16384" width="10.77734375" style="141"/>
  </cols>
  <sheetData>
    <row r="1" spans="1:10" s="2" customFormat="1" ht="33" customHeight="1">
      <c r="A1" s="566" t="s">
        <v>72</v>
      </c>
      <c r="B1" s="566"/>
      <c r="C1" s="566"/>
      <c r="D1" s="566"/>
      <c r="E1" s="566"/>
      <c r="F1" s="566"/>
      <c r="G1" s="566"/>
      <c r="H1" s="566"/>
      <c r="I1" s="566"/>
      <c r="J1" s="566"/>
    </row>
    <row r="2" spans="1:10" s="2" customFormat="1" ht="33" customHeight="1">
      <c r="A2" s="566"/>
      <c r="B2" s="566"/>
      <c r="C2" s="566"/>
      <c r="D2" s="566"/>
      <c r="E2" s="566"/>
      <c r="F2" s="566"/>
      <c r="G2" s="566"/>
      <c r="H2" s="566"/>
      <c r="I2" s="566"/>
      <c r="J2" s="566"/>
    </row>
    <row r="3" spans="1:10" s="2" customFormat="1" ht="12.75" customHeight="1">
      <c r="A3" s="17"/>
      <c r="B3" s="17"/>
      <c r="C3" s="16"/>
      <c r="D3" s="34"/>
      <c r="E3" s="16"/>
      <c r="F3" s="16"/>
      <c r="G3" s="16"/>
      <c r="H3" s="16"/>
      <c r="I3" s="16"/>
      <c r="J3" s="16"/>
    </row>
    <row r="4" spans="1:10" s="1" customFormat="1" ht="13.5" customHeight="1">
      <c r="A4" s="33"/>
      <c r="B4" s="33"/>
      <c r="C4" s="18"/>
      <c r="D4" s="35"/>
      <c r="E4" s="19"/>
      <c r="F4" s="18"/>
      <c r="G4" s="18"/>
      <c r="H4" s="149"/>
      <c r="I4" s="20"/>
      <c r="J4" s="19"/>
    </row>
    <row r="5" spans="1:10" s="148" customFormat="1" ht="15" customHeight="1">
      <c r="A5" s="52"/>
      <c r="B5" s="52"/>
      <c r="C5" s="52"/>
      <c r="D5" s="53"/>
      <c r="E5" s="52"/>
      <c r="F5" s="52"/>
      <c r="G5" s="52"/>
      <c r="H5" s="52"/>
      <c r="I5" s="52"/>
      <c r="J5" s="52"/>
    </row>
    <row r="6" spans="1:10" s="148" customFormat="1" ht="15" customHeight="1">
      <c r="A6" s="289"/>
      <c r="B6" s="319" t="str">
        <f>"■ "&amp;기본정보!C4</f>
        <v xml:space="preserve">■ </v>
      </c>
      <c r="C6" s="320"/>
      <c r="D6" s="320"/>
      <c r="E6" s="320"/>
      <c r="F6" s="321"/>
      <c r="G6" s="322"/>
      <c r="H6" s="323"/>
      <c r="I6" s="324"/>
      <c r="J6" s="289"/>
    </row>
    <row r="7" spans="1:10" s="148" customFormat="1" ht="15" customHeight="1">
      <c r="A7" s="289"/>
      <c r="B7" s="319"/>
      <c r="C7" s="320"/>
      <c r="D7" s="320"/>
      <c r="E7" s="320"/>
      <c r="F7" s="321"/>
      <c r="G7" s="322"/>
      <c r="H7" s="323"/>
      <c r="I7" s="324"/>
      <c r="J7" s="289"/>
    </row>
    <row r="8" spans="1:10" s="148" customFormat="1" ht="15" customHeight="1">
      <c r="A8" s="289"/>
      <c r="B8" s="325"/>
      <c r="C8" s="613" t="s">
        <v>623</v>
      </c>
      <c r="D8" s="614"/>
      <c r="E8" s="634">
        <f>기본정보!C7</f>
        <v>0</v>
      </c>
      <c r="F8" s="634"/>
      <c r="G8" s="634">
        <f>기본정보!C8</f>
        <v>0</v>
      </c>
      <c r="H8" s="634"/>
      <c r="I8" s="323"/>
      <c r="J8" s="289"/>
    </row>
    <row r="9" spans="1:10" s="148" customFormat="1" ht="15" customHeight="1">
      <c r="A9" s="289"/>
      <c r="B9" s="325"/>
      <c r="C9" s="615"/>
      <c r="D9" s="616"/>
      <c r="E9" s="634"/>
      <c r="F9" s="634"/>
      <c r="G9" s="634"/>
      <c r="H9" s="634"/>
      <c r="I9" s="323"/>
      <c r="J9" s="289"/>
    </row>
    <row r="10" spans="1:10" s="148" customFormat="1" ht="15" customHeight="1">
      <c r="A10" s="289"/>
      <c r="B10" s="325"/>
      <c r="C10" s="617"/>
      <c r="D10" s="618"/>
      <c r="E10" s="634"/>
      <c r="F10" s="634"/>
      <c r="G10" s="634"/>
      <c r="H10" s="634"/>
      <c r="I10" s="323"/>
      <c r="J10" s="289"/>
    </row>
    <row r="11" spans="1:10" s="148" customFormat="1" ht="15" customHeight="1">
      <c r="A11" s="289"/>
      <c r="B11" s="325"/>
      <c r="C11" s="619" t="s">
        <v>624</v>
      </c>
      <c r="D11" s="620"/>
      <c r="E11" s="636" t="e">
        <f>Calcu!C85</f>
        <v>#DIV/0!</v>
      </c>
      <c r="F11" s="637"/>
      <c r="G11" s="637"/>
      <c r="H11" s="638"/>
      <c r="I11" s="323"/>
      <c r="J11" s="289"/>
    </row>
    <row r="12" spans="1:10" s="148" customFormat="1" ht="15" customHeight="1">
      <c r="A12" s="289"/>
      <c r="B12" s="325"/>
      <c r="C12" s="635"/>
      <c r="D12" s="622"/>
      <c r="E12" s="639"/>
      <c r="F12" s="640"/>
      <c r="G12" s="640"/>
      <c r="H12" s="641"/>
      <c r="I12" s="323"/>
      <c r="J12" s="289"/>
    </row>
    <row r="13" spans="1:10" s="148" customFormat="1" ht="15" customHeight="1">
      <c r="A13" s="289"/>
      <c r="B13" s="325"/>
      <c r="C13" s="635"/>
      <c r="D13" s="622"/>
      <c r="E13" s="639"/>
      <c r="F13" s="640"/>
      <c r="G13" s="640"/>
      <c r="H13" s="641"/>
      <c r="I13" s="323"/>
      <c r="J13" s="289"/>
    </row>
    <row r="14" spans="1:10" s="148" customFormat="1" ht="15" customHeight="1">
      <c r="A14" s="289"/>
      <c r="B14" s="325"/>
      <c r="C14" s="635"/>
      <c r="D14" s="622"/>
      <c r="E14" s="639"/>
      <c r="F14" s="640"/>
      <c r="G14" s="640"/>
      <c r="H14" s="641"/>
      <c r="I14" s="323"/>
      <c r="J14" s="289"/>
    </row>
    <row r="15" spans="1:10" s="148" customFormat="1" ht="15" customHeight="1">
      <c r="A15" s="289"/>
      <c r="B15" s="325"/>
      <c r="C15" s="635"/>
      <c r="D15" s="622"/>
      <c r="E15" s="639"/>
      <c r="F15" s="640"/>
      <c r="G15" s="640"/>
      <c r="H15" s="641"/>
      <c r="I15" s="323"/>
      <c r="J15" s="289"/>
    </row>
    <row r="16" spans="1:10" s="148" customFormat="1" ht="15" customHeight="1">
      <c r="A16" s="289"/>
      <c r="B16" s="325"/>
      <c r="C16" s="635"/>
      <c r="D16" s="622"/>
      <c r="E16" s="639"/>
      <c r="F16" s="640"/>
      <c r="G16" s="640"/>
      <c r="H16" s="641"/>
      <c r="I16" s="323"/>
      <c r="J16" s="289"/>
    </row>
    <row r="17" spans="1:10" s="148" customFormat="1" ht="15" customHeight="1">
      <c r="A17" s="289"/>
      <c r="B17" s="325"/>
      <c r="C17" s="623"/>
      <c r="D17" s="624"/>
      <c r="E17" s="642"/>
      <c r="F17" s="643"/>
      <c r="G17" s="643"/>
      <c r="H17" s="644"/>
      <c r="I17" s="323"/>
      <c r="J17" s="289"/>
    </row>
    <row r="18" spans="1:10" s="148" customFormat="1" ht="15" customHeight="1">
      <c r="A18" s="289"/>
      <c r="B18" s="325"/>
      <c r="C18" s="619" t="s">
        <v>625</v>
      </c>
      <c r="D18" s="620"/>
      <c r="E18" s="645">
        <f>Calcu!L85</f>
        <v>0</v>
      </c>
      <c r="F18" s="646"/>
      <c r="G18" s="646"/>
      <c r="H18" s="647"/>
      <c r="I18" s="323"/>
      <c r="J18" s="289"/>
    </row>
    <row r="19" spans="1:10" s="148" customFormat="1" ht="15" customHeight="1">
      <c r="A19" s="289"/>
      <c r="B19" s="325"/>
      <c r="C19" s="635"/>
      <c r="D19" s="622"/>
      <c r="E19" s="648"/>
      <c r="F19" s="649"/>
      <c r="G19" s="649"/>
      <c r="H19" s="650"/>
      <c r="I19" s="323"/>
      <c r="J19" s="289"/>
    </row>
    <row r="20" spans="1:10" s="148" customFormat="1" ht="15" customHeight="1">
      <c r="A20" s="289"/>
      <c r="B20" s="325"/>
      <c r="C20" s="635"/>
      <c r="D20" s="622"/>
      <c r="E20" s="648"/>
      <c r="F20" s="649"/>
      <c r="G20" s="649"/>
      <c r="H20" s="650"/>
      <c r="I20" s="323"/>
      <c r="J20" s="289"/>
    </row>
    <row r="21" spans="1:10" s="148" customFormat="1" ht="15" customHeight="1">
      <c r="A21" s="289"/>
      <c r="B21" s="325"/>
      <c r="C21" s="635"/>
      <c r="D21" s="622"/>
      <c r="E21" s="648"/>
      <c r="F21" s="649"/>
      <c r="G21" s="649"/>
      <c r="H21" s="650"/>
      <c r="I21" s="323"/>
      <c r="J21" s="289"/>
    </row>
    <row r="22" spans="1:10" s="148" customFormat="1" ht="15" customHeight="1">
      <c r="A22" s="289"/>
      <c r="B22" s="325"/>
      <c r="C22" s="635"/>
      <c r="D22" s="622"/>
      <c r="E22" s="648"/>
      <c r="F22" s="649"/>
      <c r="G22" s="649"/>
      <c r="H22" s="650"/>
      <c r="I22" s="323"/>
      <c r="J22" s="289"/>
    </row>
    <row r="23" spans="1:10" s="148" customFormat="1" ht="15" customHeight="1">
      <c r="A23" s="289"/>
      <c r="B23" s="325"/>
      <c r="C23" s="635"/>
      <c r="D23" s="622"/>
      <c r="E23" s="648"/>
      <c r="F23" s="649"/>
      <c r="G23" s="649"/>
      <c r="H23" s="650"/>
      <c r="I23" s="323"/>
      <c r="J23" s="289"/>
    </row>
    <row r="24" spans="1:10" s="148" customFormat="1" ht="15" customHeight="1">
      <c r="A24" s="289"/>
      <c r="B24" s="325"/>
      <c r="C24" s="623"/>
      <c r="D24" s="624"/>
      <c r="E24" s="651"/>
      <c r="F24" s="652"/>
      <c r="G24" s="652"/>
      <c r="H24" s="653"/>
      <c r="I24" s="323"/>
      <c r="J24" s="289"/>
    </row>
    <row r="25" spans="1:10" s="148" customFormat="1" ht="15" customHeight="1">
      <c r="A25" s="289"/>
      <c r="B25" s="325"/>
      <c r="C25" s="619" t="str">
        <f>IF(Calcu!D3="mV/V","3) Sensitivity","3) Rated Output")</f>
        <v>3) Rated Output</v>
      </c>
      <c r="D25" s="620"/>
      <c r="E25" s="625" t="str">
        <f>Calcu!M85&amp;" "&amp;Calcu!M84</f>
        <v>0 0</v>
      </c>
      <c r="F25" s="626"/>
      <c r="G25" s="626"/>
      <c r="H25" s="627"/>
      <c r="I25" s="323"/>
      <c r="J25" s="289"/>
    </row>
    <row r="26" spans="1:10" s="148" customFormat="1" ht="15" customHeight="1">
      <c r="A26" s="289"/>
      <c r="B26" s="325"/>
      <c r="C26" s="621"/>
      <c r="D26" s="622"/>
      <c r="E26" s="628"/>
      <c r="F26" s="629"/>
      <c r="G26" s="629"/>
      <c r="H26" s="630"/>
      <c r="I26" s="323"/>
      <c r="J26" s="289"/>
    </row>
    <row r="27" spans="1:10" s="148" customFormat="1" ht="15" customHeight="1">
      <c r="A27" s="289"/>
      <c r="B27" s="325"/>
      <c r="C27" s="621"/>
      <c r="D27" s="622"/>
      <c r="E27" s="628"/>
      <c r="F27" s="629"/>
      <c r="G27" s="629"/>
      <c r="H27" s="630"/>
      <c r="I27" s="323"/>
      <c r="J27" s="289"/>
    </row>
    <row r="28" spans="1:10" s="148" customFormat="1" ht="15" customHeight="1">
      <c r="A28" s="289"/>
      <c r="B28" s="325"/>
      <c r="C28" s="621"/>
      <c r="D28" s="622"/>
      <c r="E28" s="628"/>
      <c r="F28" s="629"/>
      <c r="G28" s="629"/>
      <c r="H28" s="630"/>
      <c r="I28" s="323"/>
      <c r="J28" s="289"/>
    </row>
    <row r="29" spans="1:10" s="148" customFormat="1" ht="15" customHeight="1">
      <c r="A29" s="289"/>
      <c r="B29" s="325"/>
      <c r="C29" s="621"/>
      <c r="D29" s="622"/>
      <c r="E29" s="628"/>
      <c r="F29" s="629"/>
      <c r="G29" s="629"/>
      <c r="H29" s="630"/>
      <c r="I29" s="323"/>
      <c r="J29" s="289"/>
    </row>
    <row r="30" spans="1:10" s="148" customFormat="1" ht="15" customHeight="1">
      <c r="A30" s="289"/>
      <c r="B30" s="325"/>
      <c r="C30" s="621"/>
      <c r="D30" s="622"/>
      <c r="E30" s="628"/>
      <c r="F30" s="629"/>
      <c r="G30" s="629"/>
      <c r="H30" s="630"/>
      <c r="I30" s="323"/>
      <c r="J30" s="289"/>
    </row>
    <row r="31" spans="1:10" s="148" customFormat="1" ht="15" customHeight="1">
      <c r="A31" s="289"/>
      <c r="B31" s="325"/>
      <c r="C31" s="623"/>
      <c r="D31" s="624"/>
      <c r="E31" s="631"/>
      <c r="F31" s="632"/>
      <c r="G31" s="632"/>
      <c r="H31" s="633"/>
      <c r="I31" s="323"/>
      <c r="J31" s="289"/>
    </row>
    <row r="32" spans="1:10" s="148" customFormat="1" ht="15" customHeight="1">
      <c r="A32" s="289"/>
      <c r="B32" s="325"/>
      <c r="C32" s="326"/>
      <c r="D32" s="326"/>
      <c r="E32" s="327"/>
      <c r="F32" s="327"/>
      <c r="G32" s="327"/>
      <c r="H32" s="327"/>
      <c r="I32" s="323"/>
      <c r="J32" s="289"/>
    </row>
    <row r="33" spans="1:11" s="148" customFormat="1" ht="15" customHeight="1">
      <c r="A33" s="289"/>
      <c r="B33" s="325"/>
      <c r="C33" s="328" t="s">
        <v>617</v>
      </c>
      <c r="D33" s="326"/>
      <c r="E33" s="327"/>
      <c r="F33" s="327"/>
      <c r="G33" s="327"/>
      <c r="H33" s="327"/>
      <c r="I33" s="323"/>
      <c r="J33" s="289"/>
    </row>
    <row r="34" spans="1:11" s="148" customFormat="1" ht="15" customHeight="1">
      <c r="A34" s="289"/>
      <c r="B34" s="325"/>
      <c r="C34" s="328" t="s">
        <v>618</v>
      </c>
      <c r="D34" s="326"/>
      <c r="E34" s="327"/>
      <c r="F34" s="327"/>
      <c r="G34" s="327"/>
      <c r="H34" s="327"/>
      <c r="I34" s="323"/>
      <c r="J34" s="289"/>
    </row>
    <row r="35" spans="1:11" s="148" customFormat="1" ht="15" customHeight="1">
      <c r="A35" s="289"/>
      <c r="B35" s="325"/>
      <c r="C35" s="328"/>
      <c r="D35" s="326"/>
      <c r="E35" s="327"/>
      <c r="F35" s="327"/>
      <c r="G35" s="327"/>
      <c r="H35" s="327"/>
      <c r="I35" s="323"/>
      <c r="J35" s="289"/>
    </row>
    <row r="36" spans="1:11" s="148" customFormat="1" ht="15" customHeight="1">
      <c r="A36" s="289"/>
      <c r="B36" s="325"/>
      <c r="C36" s="328" t="s">
        <v>619</v>
      </c>
      <c r="D36" s="326"/>
      <c r="E36" s="327"/>
      <c r="F36" s="327"/>
      <c r="G36" s="327"/>
      <c r="H36" s="327"/>
      <c r="I36" s="323"/>
      <c r="J36" s="289"/>
    </row>
    <row r="37" spans="1:11" s="148" customFormat="1" ht="15" customHeight="1">
      <c r="A37" s="289"/>
      <c r="B37" s="325"/>
      <c r="C37" s="328" t="s">
        <v>620</v>
      </c>
      <c r="D37" s="326"/>
      <c r="E37" s="327"/>
      <c r="F37" s="327"/>
      <c r="G37" s="327"/>
      <c r="H37" s="327"/>
      <c r="I37" s="323"/>
      <c r="J37" s="289"/>
    </row>
    <row r="38" spans="1:11" s="148" customFormat="1" ht="15" customHeight="1">
      <c r="A38" s="289"/>
      <c r="B38" s="325"/>
      <c r="C38" s="328" t="s">
        <v>621</v>
      </c>
      <c r="D38" s="326"/>
      <c r="E38" s="327"/>
      <c r="F38" s="327"/>
      <c r="G38" s="327"/>
      <c r="H38" s="327"/>
      <c r="I38" s="323"/>
      <c r="J38" s="289"/>
    </row>
    <row r="39" spans="1:11" s="148" customFormat="1" ht="15" customHeight="1">
      <c r="A39" s="289"/>
      <c r="B39" s="325"/>
      <c r="C39" s="328" t="s">
        <v>622</v>
      </c>
      <c r="D39" s="326"/>
      <c r="E39" s="327"/>
      <c r="F39" s="327"/>
      <c r="G39" s="327"/>
      <c r="H39" s="327"/>
      <c r="I39" s="323"/>
      <c r="J39" s="289"/>
    </row>
    <row r="40" spans="1:11" ht="15" customHeight="1">
      <c r="B40" s="146"/>
      <c r="C40" s="147"/>
      <c r="D40" s="146"/>
      <c r="E40" s="146"/>
      <c r="F40" s="146"/>
      <c r="G40" s="146"/>
      <c r="H40" s="146"/>
      <c r="I40" s="145"/>
      <c r="K40" s="144"/>
    </row>
    <row r="41" spans="1:11" ht="15" customHeight="1">
      <c r="A41" s="143"/>
    </row>
  </sheetData>
  <mergeCells count="10">
    <mergeCell ref="A1:J2"/>
    <mergeCell ref="C8:D10"/>
    <mergeCell ref="C25:D31"/>
    <mergeCell ref="E25:H31"/>
    <mergeCell ref="E8:F10"/>
    <mergeCell ref="G8:H10"/>
    <mergeCell ref="C11:D17"/>
    <mergeCell ref="E11:H17"/>
    <mergeCell ref="C18:D24"/>
    <mergeCell ref="E18:H24"/>
  </mergeCells>
  <phoneticPr fontId="5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44"/>
  <sheetViews>
    <sheetView showGridLines="0" zoomScaleNormal="100" workbookViewId="0"/>
  </sheetViews>
  <sheetFormatPr defaultColWidth="8.88671875" defaultRowHeight="13.5" customHeight="1"/>
  <cols>
    <col min="1" max="1" width="3.77734375" style="44" customWidth="1"/>
    <col min="2" max="2" width="9.109375" style="45" customWidth="1"/>
    <col min="3" max="3" width="9.77734375" style="45" customWidth="1"/>
    <col min="4" max="4" width="8.77734375" style="40" customWidth="1"/>
    <col min="5" max="7" width="8.77734375" style="41" customWidth="1"/>
    <col min="8" max="8" width="8.88671875" style="76"/>
    <col min="9" max="9" width="3.77734375" style="76" customWidth="1"/>
    <col min="10" max="13" width="8.88671875" style="76"/>
    <col min="14" max="16384" width="8.88671875" style="43"/>
  </cols>
  <sheetData>
    <row r="1" spans="1:22" s="137" customFormat="1" ht="25.5">
      <c r="A1" s="134" t="s">
        <v>123</v>
      </c>
      <c r="B1" s="45"/>
      <c r="C1" s="45"/>
      <c r="D1" s="45"/>
      <c r="E1" s="135"/>
      <c r="F1" s="41"/>
      <c r="G1" s="41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</row>
    <row r="2" spans="1:22" s="42" customFormat="1" ht="15" customHeight="1">
      <c r="A2" s="38"/>
      <c r="B2" s="38"/>
      <c r="C2" s="38"/>
      <c r="D2" s="38"/>
      <c r="E2" s="38"/>
      <c r="F2" s="38"/>
      <c r="G2" s="38"/>
    </row>
    <row r="3" spans="1:22" s="42" customFormat="1" ht="15" customHeight="1">
      <c r="A3" s="173"/>
      <c r="B3" s="174" t="s">
        <v>3</v>
      </c>
      <c r="C3" s="78">
        <f>기본정보!C3</f>
        <v>0</v>
      </c>
      <c r="D3" s="174" t="s">
        <v>106</v>
      </c>
      <c r="E3" s="659">
        <f>기본정보!H3</f>
        <v>0</v>
      </c>
      <c r="F3" s="660"/>
      <c r="G3" s="174" t="s">
        <v>124</v>
      </c>
      <c r="H3" s="207">
        <f>기본정보!H8</f>
        <v>0</v>
      </c>
    </row>
    <row r="4" spans="1:22" s="42" customFormat="1" ht="15" customHeight="1">
      <c r="A4" s="173"/>
      <c r="B4" s="174" t="s">
        <v>125</v>
      </c>
      <c r="C4" s="206">
        <f>기본정보!C8</f>
        <v>0</v>
      </c>
      <c r="D4" s="174" t="s">
        <v>126</v>
      </c>
      <c r="E4" s="657">
        <f>기본정보!H4</f>
        <v>0</v>
      </c>
      <c r="F4" s="658"/>
      <c r="G4" s="174" t="s">
        <v>127</v>
      </c>
      <c r="H4" s="207">
        <f>기본정보!H9</f>
        <v>0</v>
      </c>
    </row>
    <row r="5" spans="1:22" s="42" customFormat="1" ht="15" customHeight="1">
      <c r="A5" s="173"/>
      <c r="D5" s="38"/>
      <c r="E5" s="38"/>
      <c r="F5" s="38"/>
      <c r="G5" s="38"/>
    </row>
    <row r="6" spans="1:22" s="42" customFormat="1" ht="15" customHeight="1">
      <c r="A6" s="39" t="s">
        <v>128</v>
      </c>
      <c r="D6" s="38"/>
      <c r="E6" s="38"/>
      <c r="F6" s="38"/>
      <c r="G6" s="38"/>
      <c r="I6" s="39" t="s">
        <v>692</v>
      </c>
      <c r="L6" s="38"/>
      <c r="M6" s="38"/>
      <c r="N6" s="38"/>
      <c r="O6" s="38"/>
    </row>
    <row r="7" spans="1:22" ht="13.5" customHeight="1">
      <c r="B7" s="174" t="s">
        <v>385</v>
      </c>
      <c r="C7" s="274" t="str">
        <f>Pressure_2_R1!K4&amp;" V"</f>
        <v xml:space="preserve"> V</v>
      </c>
      <c r="D7" s="75"/>
      <c r="E7" s="40"/>
      <c r="I7" s="44"/>
      <c r="J7" s="364" t="s">
        <v>385</v>
      </c>
      <c r="K7" s="274" t="str">
        <f>Pressure_2_R1!K4&amp;" V"</f>
        <v xml:space="preserve"> V</v>
      </c>
      <c r="L7" s="75"/>
      <c r="M7" s="40"/>
      <c r="N7" s="41"/>
      <c r="O7" s="41"/>
    </row>
    <row r="8" spans="1:22" s="318" customFormat="1" ht="13.5" customHeight="1">
      <c r="A8" s="44"/>
      <c r="B8" s="386"/>
      <c r="C8" s="386"/>
      <c r="D8" s="75"/>
      <c r="E8" s="40"/>
      <c r="F8" s="41"/>
      <c r="G8" s="41"/>
      <c r="H8" s="76"/>
      <c r="I8" s="44"/>
      <c r="J8" s="386"/>
      <c r="K8" s="386"/>
      <c r="L8" s="75"/>
      <c r="M8" s="40"/>
      <c r="N8" s="41"/>
      <c r="O8" s="41"/>
    </row>
    <row r="9" spans="1:22" ht="13.5" customHeight="1">
      <c r="A9" s="39" t="s">
        <v>129</v>
      </c>
      <c r="B9" s="40"/>
      <c r="C9" s="40"/>
      <c r="E9" s="75"/>
      <c r="F9" s="40"/>
      <c r="H9" s="41"/>
      <c r="I9" s="39" t="s">
        <v>129</v>
      </c>
      <c r="J9" s="40"/>
      <c r="K9" s="40"/>
      <c r="L9" s="40"/>
      <c r="M9" s="75"/>
      <c r="N9" s="40"/>
      <c r="O9" s="41"/>
    </row>
    <row r="10" spans="1:22" ht="13.5" customHeight="1">
      <c r="A10" s="42"/>
      <c r="B10" s="656" t="s">
        <v>130</v>
      </c>
      <c r="C10" s="661" t="s">
        <v>674</v>
      </c>
      <c r="D10" s="654" t="s">
        <v>131</v>
      </c>
      <c r="E10" s="656" t="e">
        <f>Calcu!$J$103&amp;" 지시값"</f>
        <v>#N/A</v>
      </c>
      <c r="F10" s="656"/>
      <c r="G10" s="656"/>
      <c r="H10" s="41"/>
      <c r="I10" s="42"/>
      <c r="J10" s="656" t="s">
        <v>130</v>
      </c>
      <c r="K10" s="661" t="s">
        <v>674</v>
      </c>
      <c r="L10" s="654" t="s">
        <v>131</v>
      </c>
      <c r="M10" s="656" t="e">
        <f>Calcu_ADJ!#REF!&amp;" 지시값"</f>
        <v>#REF!</v>
      </c>
      <c r="N10" s="656"/>
      <c r="O10" s="656"/>
    </row>
    <row r="11" spans="1:22" ht="13.5" customHeight="1">
      <c r="A11" s="42"/>
      <c r="B11" s="656"/>
      <c r="C11" s="662"/>
      <c r="D11" s="655"/>
      <c r="E11" s="212" t="s">
        <v>53</v>
      </c>
      <c r="F11" s="212" t="s">
        <v>132</v>
      </c>
      <c r="G11" s="212" t="s">
        <v>0</v>
      </c>
      <c r="H11" s="41"/>
      <c r="I11" s="42"/>
      <c r="J11" s="656"/>
      <c r="K11" s="662"/>
      <c r="L11" s="655"/>
      <c r="M11" s="362" t="s">
        <v>53</v>
      </c>
      <c r="N11" s="362" t="s">
        <v>132</v>
      </c>
      <c r="O11" s="362" t="s">
        <v>0</v>
      </c>
    </row>
    <row r="12" spans="1:22" ht="13.5" customHeight="1">
      <c r="A12" s="42"/>
      <c r="B12" s="656"/>
      <c r="C12" s="345">
        <f>Pressure_2_R1!C4</f>
        <v>0</v>
      </c>
      <c r="D12" s="213">
        <f>Calcu!E8</f>
        <v>0</v>
      </c>
      <c r="E12" s="213">
        <f>Calcu!F8</f>
        <v>0</v>
      </c>
      <c r="F12" s="213">
        <f>Calcu!G8</f>
        <v>0</v>
      </c>
      <c r="G12" s="213">
        <f>Calcu!H8</f>
        <v>0</v>
      </c>
      <c r="H12" s="41"/>
      <c r="I12" s="42"/>
      <c r="J12" s="656"/>
      <c r="K12" s="345">
        <f>Pressure_2_R1!C4</f>
        <v>0</v>
      </c>
      <c r="L12" s="363">
        <f>Calcu_ADJ!E8</f>
        <v>0</v>
      </c>
      <c r="M12" s="363">
        <f>Calcu_ADJ!F8</f>
        <v>0</v>
      </c>
      <c r="N12" s="363">
        <f>Calcu_ADJ!G8</f>
        <v>0</v>
      </c>
      <c r="O12" s="363">
        <f>Calcu_ADJ!H8</f>
        <v>0</v>
      </c>
    </row>
    <row r="13" spans="1:22" ht="13.5" customHeight="1">
      <c r="A13" s="42"/>
      <c r="B13" s="78">
        <f>Calcu!C9</f>
        <v>1</v>
      </c>
      <c r="C13" s="344" t="str">
        <f>IF(Calcu!B9=FALSE,"",Pressure_2_R1!B4)</f>
        <v/>
      </c>
      <c r="D13" s="77" t="str">
        <f>Calcu!E9</f>
        <v/>
      </c>
      <c r="E13" s="77" t="str">
        <f ca="1">TEXT(Calcu!F9,Calcu!$J$3)</f>
        <v/>
      </c>
      <c r="F13" s="77" t="str">
        <f ca="1">TEXT(Calcu!G9,Calcu!$J$3)</f>
        <v/>
      </c>
      <c r="G13" s="77" t="str">
        <f ca="1">TEXT(Calcu!H9,Calcu!$J$3)</f>
        <v/>
      </c>
      <c r="H13" s="41"/>
      <c r="I13" s="42"/>
      <c r="J13" s="78">
        <f>Calcu_ADJ!C9</f>
        <v>1</v>
      </c>
      <c r="K13" s="344" t="str">
        <f>IF(Calcu_ADJ!B9=FALSE,"",Pressure_2_R1!B4)</f>
        <v/>
      </c>
      <c r="L13" s="77" t="str">
        <f>Calcu_ADJ!E9</f>
        <v/>
      </c>
      <c r="M13" s="77" t="str">
        <f ca="1">TEXT(Calcu_ADJ!F9,Calcu_ADJ!$J$3)</f>
        <v/>
      </c>
      <c r="N13" s="77" t="str">
        <f ca="1">TEXT(Calcu_ADJ!G9,Calcu_ADJ!$J$3)</f>
        <v/>
      </c>
      <c r="O13" s="77" t="str">
        <f ca="1">TEXT(Calcu_ADJ!H9,Calcu_ADJ!$J$3)</f>
        <v/>
      </c>
    </row>
    <row r="14" spans="1:22" ht="13.5" customHeight="1">
      <c r="A14" s="42"/>
      <c r="B14" s="78">
        <f>Calcu!C10</f>
        <v>2</v>
      </c>
      <c r="C14" s="344" t="str">
        <f>IF(Calcu!B10=FALSE,"",Pressure_2_R1!B5)</f>
        <v/>
      </c>
      <c r="D14" s="77" t="str">
        <f>Calcu!E10</f>
        <v/>
      </c>
      <c r="E14" s="77" t="str">
        <f ca="1">TEXT(Calcu!F10,Calcu!$J$3)</f>
        <v/>
      </c>
      <c r="F14" s="77" t="str">
        <f ca="1">TEXT(Calcu!G10,Calcu!$J$3)</f>
        <v/>
      </c>
      <c r="G14" s="77" t="str">
        <f ca="1">TEXT(Calcu!H10,Calcu!$J$3)</f>
        <v/>
      </c>
      <c r="H14" s="41"/>
      <c r="I14" s="42"/>
      <c r="J14" s="78">
        <f>Calcu_ADJ!C10</f>
        <v>2</v>
      </c>
      <c r="K14" s="344" t="str">
        <f>IF(Calcu_ADJ!B10=FALSE,"",Pressure_2_R1!B5)</f>
        <v/>
      </c>
      <c r="L14" s="77" t="str">
        <f>Calcu_ADJ!E10</f>
        <v/>
      </c>
      <c r="M14" s="77" t="str">
        <f ca="1">TEXT(Calcu_ADJ!F10,Calcu_ADJ!$J$3)</f>
        <v/>
      </c>
      <c r="N14" s="77" t="str">
        <f ca="1">TEXT(Calcu_ADJ!G10,Calcu_ADJ!$J$3)</f>
        <v/>
      </c>
      <c r="O14" s="77" t="str">
        <f ca="1">TEXT(Calcu_ADJ!H10,Calcu_ADJ!$J$3)</f>
        <v/>
      </c>
    </row>
    <row r="15" spans="1:22" ht="13.5" customHeight="1">
      <c r="A15" s="42"/>
      <c r="B15" s="78">
        <f>Calcu!C11</f>
        <v>3</v>
      </c>
      <c r="C15" s="344" t="str">
        <f>IF(Calcu!B11=FALSE,"",Pressure_2_R1!B6)</f>
        <v/>
      </c>
      <c r="D15" s="77" t="str">
        <f>Calcu!E11</f>
        <v/>
      </c>
      <c r="E15" s="77" t="str">
        <f ca="1">TEXT(Calcu!F11,Calcu!$J$3)</f>
        <v/>
      </c>
      <c r="F15" s="77" t="str">
        <f ca="1">TEXT(Calcu!G11,Calcu!$J$3)</f>
        <v/>
      </c>
      <c r="G15" s="77" t="str">
        <f ca="1">TEXT(Calcu!H11,Calcu!$J$3)</f>
        <v/>
      </c>
      <c r="H15" s="41"/>
      <c r="I15" s="42"/>
      <c r="J15" s="78">
        <f>Calcu_ADJ!C11</f>
        <v>3</v>
      </c>
      <c r="K15" s="344" t="str">
        <f>IF(Calcu_ADJ!B11=FALSE,"",Pressure_2_R1!B6)</f>
        <v/>
      </c>
      <c r="L15" s="77" t="str">
        <f>Calcu_ADJ!E11</f>
        <v/>
      </c>
      <c r="M15" s="77" t="str">
        <f ca="1">TEXT(Calcu_ADJ!F11,Calcu_ADJ!$J$3)</f>
        <v/>
      </c>
      <c r="N15" s="77" t="str">
        <f ca="1">TEXT(Calcu_ADJ!G11,Calcu_ADJ!$J$3)</f>
        <v/>
      </c>
      <c r="O15" s="77" t="str">
        <f ca="1">TEXT(Calcu_ADJ!H11,Calcu_ADJ!$J$3)</f>
        <v/>
      </c>
    </row>
    <row r="16" spans="1:22" ht="13.5" customHeight="1">
      <c r="A16" s="42"/>
      <c r="B16" s="78">
        <f>Calcu!C12</f>
        <v>4</v>
      </c>
      <c r="C16" s="344" t="str">
        <f>IF(Calcu!B12=FALSE,"",Pressure_2_R1!B7)</f>
        <v/>
      </c>
      <c r="D16" s="77" t="str">
        <f>Calcu!E12</f>
        <v/>
      </c>
      <c r="E16" s="77" t="str">
        <f ca="1">TEXT(Calcu!F12,Calcu!$J$3)</f>
        <v/>
      </c>
      <c r="F16" s="77" t="str">
        <f ca="1">TEXT(Calcu!G12,Calcu!$J$3)</f>
        <v/>
      </c>
      <c r="G16" s="77" t="str">
        <f ca="1">TEXT(Calcu!H12,Calcu!$J$3)</f>
        <v/>
      </c>
      <c r="H16" s="41"/>
      <c r="I16" s="42"/>
      <c r="J16" s="78">
        <f>Calcu_ADJ!C12</f>
        <v>4</v>
      </c>
      <c r="K16" s="344" t="str">
        <f>IF(Calcu_ADJ!B12=FALSE,"",Pressure_2_R1!B7)</f>
        <v/>
      </c>
      <c r="L16" s="77" t="str">
        <f>Calcu_ADJ!E12</f>
        <v/>
      </c>
      <c r="M16" s="77" t="str">
        <f ca="1">TEXT(Calcu_ADJ!F12,Calcu_ADJ!$J$3)</f>
        <v/>
      </c>
      <c r="N16" s="77" t="str">
        <f ca="1">TEXT(Calcu_ADJ!G12,Calcu_ADJ!$J$3)</f>
        <v/>
      </c>
      <c r="O16" s="77" t="str">
        <f ca="1">TEXT(Calcu_ADJ!H12,Calcu_ADJ!$J$3)</f>
        <v/>
      </c>
    </row>
    <row r="17" spans="1:15" ht="13.5" customHeight="1">
      <c r="A17" s="42"/>
      <c r="B17" s="78">
        <f>Calcu!C13</f>
        <v>5</v>
      </c>
      <c r="C17" s="344" t="str">
        <f>IF(Calcu!B13=FALSE,"",Pressure_2_R1!B8)</f>
        <v/>
      </c>
      <c r="D17" s="77" t="str">
        <f>Calcu!E13</f>
        <v/>
      </c>
      <c r="E17" s="77" t="str">
        <f ca="1">TEXT(Calcu!F13,Calcu!$J$3)</f>
        <v/>
      </c>
      <c r="F17" s="77" t="str">
        <f ca="1">TEXT(Calcu!G13,Calcu!$J$3)</f>
        <v/>
      </c>
      <c r="G17" s="77" t="str">
        <f ca="1">TEXT(Calcu!H13,Calcu!$J$3)</f>
        <v/>
      </c>
      <c r="H17" s="41"/>
      <c r="I17" s="42"/>
      <c r="J17" s="78">
        <f>Calcu_ADJ!C13</f>
        <v>5</v>
      </c>
      <c r="K17" s="344" t="str">
        <f>IF(Calcu_ADJ!B13=FALSE,"",Pressure_2_R1!B8)</f>
        <v/>
      </c>
      <c r="L17" s="77" t="str">
        <f>Calcu_ADJ!E13</f>
        <v/>
      </c>
      <c r="M17" s="77" t="str">
        <f ca="1">TEXT(Calcu_ADJ!F13,Calcu_ADJ!$J$3)</f>
        <v/>
      </c>
      <c r="N17" s="77" t="str">
        <f ca="1">TEXT(Calcu_ADJ!G13,Calcu_ADJ!$J$3)</f>
        <v/>
      </c>
      <c r="O17" s="77" t="str">
        <f ca="1">TEXT(Calcu_ADJ!H13,Calcu_ADJ!$J$3)</f>
        <v/>
      </c>
    </row>
    <row r="18" spans="1:15" ht="13.5" customHeight="1">
      <c r="A18" s="42"/>
      <c r="B18" s="78">
        <f>Calcu!C14</f>
        <v>6</v>
      </c>
      <c r="C18" s="344" t="str">
        <f>IF(Calcu!B14=FALSE,"",Pressure_2_R1!B9)</f>
        <v/>
      </c>
      <c r="D18" s="77" t="str">
        <f>Calcu!E14</f>
        <v/>
      </c>
      <c r="E18" s="77" t="str">
        <f ca="1">TEXT(Calcu!F14,Calcu!$J$3)</f>
        <v/>
      </c>
      <c r="F18" s="77" t="str">
        <f ca="1">TEXT(Calcu!G14,Calcu!$J$3)</f>
        <v/>
      </c>
      <c r="G18" s="77" t="str">
        <f ca="1">TEXT(Calcu!H14,Calcu!$J$3)</f>
        <v/>
      </c>
      <c r="H18" s="41"/>
      <c r="I18" s="42"/>
      <c r="J18" s="78">
        <f>Calcu_ADJ!C14</f>
        <v>6</v>
      </c>
      <c r="K18" s="344" t="str">
        <f>IF(Calcu_ADJ!B14=FALSE,"",Pressure_2_R1!B9)</f>
        <v/>
      </c>
      <c r="L18" s="77" t="str">
        <f>Calcu_ADJ!E14</f>
        <v/>
      </c>
      <c r="M18" s="77" t="str">
        <f ca="1">TEXT(Calcu_ADJ!F14,Calcu_ADJ!$J$3)</f>
        <v/>
      </c>
      <c r="N18" s="77" t="str">
        <f ca="1">TEXT(Calcu_ADJ!G14,Calcu_ADJ!$J$3)</f>
        <v/>
      </c>
      <c r="O18" s="77" t="str">
        <f ca="1">TEXT(Calcu_ADJ!H14,Calcu_ADJ!$J$3)</f>
        <v/>
      </c>
    </row>
    <row r="19" spans="1:15" ht="13.5" customHeight="1">
      <c r="A19" s="42"/>
      <c r="B19" s="78">
        <f>Calcu!C15</f>
        <v>7</v>
      </c>
      <c r="C19" s="344" t="str">
        <f>IF(Calcu!B15=FALSE,"",Pressure_2_R1!B10)</f>
        <v/>
      </c>
      <c r="D19" s="77" t="str">
        <f>Calcu!E15</f>
        <v/>
      </c>
      <c r="E19" s="77" t="str">
        <f ca="1">TEXT(Calcu!F15,Calcu!$J$3)</f>
        <v/>
      </c>
      <c r="F19" s="77" t="str">
        <f ca="1">TEXT(Calcu!G15,Calcu!$J$3)</f>
        <v/>
      </c>
      <c r="G19" s="77" t="str">
        <f ca="1">TEXT(Calcu!H15,Calcu!$J$3)</f>
        <v/>
      </c>
      <c r="H19" s="41"/>
      <c r="I19" s="42"/>
      <c r="J19" s="78">
        <f>Calcu_ADJ!C15</f>
        <v>7</v>
      </c>
      <c r="K19" s="344" t="str">
        <f>IF(Calcu_ADJ!B15=FALSE,"",Pressure_2_R1!B10)</f>
        <v/>
      </c>
      <c r="L19" s="77" t="str">
        <f>Calcu_ADJ!E15</f>
        <v/>
      </c>
      <c r="M19" s="77" t="str">
        <f ca="1">TEXT(Calcu_ADJ!F15,Calcu_ADJ!$J$3)</f>
        <v/>
      </c>
      <c r="N19" s="77" t="str">
        <f ca="1">TEXT(Calcu_ADJ!G15,Calcu_ADJ!$J$3)</f>
        <v/>
      </c>
      <c r="O19" s="77" t="str">
        <f ca="1">TEXT(Calcu_ADJ!H15,Calcu_ADJ!$J$3)</f>
        <v/>
      </c>
    </row>
    <row r="20" spans="1:15" ht="13.5" customHeight="1">
      <c r="A20" s="42"/>
      <c r="B20" s="78">
        <f>Calcu!C16</f>
        <v>8</v>
      </c>
      <c r="C20" s="344" t="str">
        <f>IF(Calcu!B16=FALSE,"",Pressure_2_R1!B11)</f>
        <v/>
      </c>
      <c r="D20" s="77" t="str">
        <f>Calcu!E16</f>
        <v/>
      </c>
      <c r="E20" s="77" t="str">
        <f ca="1">TEXT(Calcu!F16,Calcu!$J$3)</f>
        <v/>
      </c>
      <c r="F20" s="77" t="str">
        <f ca="1">TEXT(Calcu!G16,Calcu!$J$3)</f>
        <v/>
      </c>
      <c r="G20" s="77" t="str">
        <f ca="1">TEXT(Calcu!H16,Calcu!$J$3)</f>
        <v/>
      </c>
      <c r="H20" s="41"/>
      <c r="I20" s="42"/>
      <c r="J20" s="78">
        <f>Calcu_ADJ!C16</f>
        <v>8</v>
      </c>
      <c r="K20" s="344" t="str">
        <f>IF(Calcu_ADJ!B16=FALSE,"",Pressure_2_R1!B11)</f>
        <v/>
      </c>
      <c r="L20" s="77" t="str">
        <f>Calcu_ADJ!E16</f>
        <v/>
      </c>
      <c r="M20" s="77" t="str">
        <f ca="1">TEXT(Calcu_ADJ!F16,Calcu_ADJ!$J$3)</f>
        <v/>
      </c>
      <c r="N20" s="77" t="str">
        <f ca="1">TEXT(Calcu_ADJ!G16,Calcu_ADJ!$J$3)</f>
        <v/>
      </c>
      <c r="O20" s="77" t="str">
        <f ca="1">TEXT(Calcu_ADJ!H16,Calcu_ADJ!$J$3)</f>
        <v/>
      </c>
    </row>
    <row r="21" spans="1:15" ht="13.5" customHeight="1">
      <c r="A21" s="42"/>
      <c r="B21" s="78">
        <f>Calcu!C17</f>
        <v>9</v>
      </c>
      <c r="C21" s="344" t="str">
        <f>IF(Calcu!B17=FALSE,"",Pressure_2_R1!B12)</f>
        <v/>
      </c>
      <c r="D21" s="77" t="str">
        <f>Calcu!E17</f>
        <v/>
      </c>
      <c r="E21" s="77" t="str">
        <f ca="1">TEXT(Calcu!F17,Calcu!$J$3)</f>
        <v/>
      </c>
      <c r="F21" s="77" t="str">
        <f ca="1">TEXT(Calcu!G17,Calcu!$J$3)</f>
        <v/>
      </c>
      <c r="G21" s="77" t="str">
        <f ca="1">TEXT(Calcu!H17,Calcu!$J$3)</f>
        <v/>
      </c>
      <c r="H21" s="41"/>
      <c r="I21" s="42"/>
      <c r="J21" s="78">
        <f>Calcu_ADJ!C17</f>
        <v>9</v>
      </c>
      <c r="K21" s="344" t="str">
        <f>IF(Calcu_ADJ!B17=FALSE,"",Pressure_2_R1!B12)</f>
        <v/>
      </c>
      <c r="L21" s="77" t="str">
        <f>Calcu_ADJ!E17</f>
        <v/>
      </c>
      <c r="M21" s="77" t="str">
        <f ca="1">TEXT(Calcu_ADJ!F17,Calcu_ADJ!$J$3)</f>
        <v/>
      </c>
      <c r="N21" s="77" t="str">
        <f ca="1">TEXT(Calcu_ADJ!G17,Calcu_ADJ!$J$3)</f>
        <v/>
      </c>
      <c r="O21" s="77" t="str">
        <f ca="1">TEXT(Calcu_ADJ!H17,Calcu_ADJ!$J$3)</f>
        <v/>
      </c>
    </row>
    <row r="22" spans="1:15" ht="13.5" customHeight="1">
      <c r="A22" s="42"/>
      <c r="B22" s="78">
        <f>Calcu!C18</f>
        <v>10</v>
      </c>
      <c r="C22" s="344" t="str">
        <f>IF(Calcu!B18=FALSE,"",Pressure_2_R1!B13)</f>
        <v/>
      </c>
      <c r="D22" s="77" t="str">
        <f>Calcu!E18</f>
        <v/>
      </c>
      <c r="E22" s="77" t="str">
        <f ca="1">TEXT(Calcu!F18,Calcu!$J$3)</f>
        <v/>
      </c>
      <c r="F22" s="77" t="str">
        <f ca="1">TEXT(Calcu!G18,Calcu!$J$3)</f>
        <v/>
      </c>
      <c r="G22" s="77" t="str">
        <f ca="1">TEXT(Calcu!H18,Calcu!$J$3)</f>
        <v/>
      </c>
      <c r="H22" s="41"/>
      <c r="I22" s="42"/>
      <c r="J22" s="78">
        <f>Calcu_ADJ!C18</f>
        <v>10</v>
      </c>
      <c r="K22" s="344" t="str">
        <f>IF(Calcu_ADJ!B18=FALSE,"",Pressure_2_R1!B13)</f>
        <v/>
      </c>
      <c r="L22" s="77" t="str">
        <f>Calcu_ADJ!E18</f>
        <v/>
      </c>
      <c r="M22" s="77" t="str">
        <f ca="1">TEXT(Calcu_ADJ!F18,Calcu_ADJ!$J$3)</f>
        <v/>
      </c>
      <c r="N22" s="77" t="str">
        <f ca="1">TEXT(Calcu_ADJ!G18,Calcu_ADJ!$J$3)</f>
        <v/>
      </c>
      <c r="O22" s="77" t="str">
        <f ca="1">TEXT(Calcu_ADJ!H18,Calcu_ADJ!$J$3)</f>
        <v/>
      </c>
    </row>
    <row r="23" spans="1:15" ht="13.5" customHeight="1">
      <c r="A23" s="42"/>
      <c r="B23" s="78">
        <f>Calcu!C19</f>
        <v>11</v>
      </c>
      <c r="C23" s="344" t="str">
        <f>IF(Calcu!B19=FALSE,"",Pressure_2_R1!B14)</f>
        <v/>
      </c>
      <c r="D23" s="77" t="str">
        <f>Calcu!E19</f>
        <v/>
      </c>
      <c r="E23" s="77" t="str">
        <f ca="1">TEXT(Calcu!F19,Calcu!$J$3)</f>
        <v/>
      </c>
      <c r="F23" s="77" t="str">
        <f ca="1">TEXT(Calcu!G19,Calcu!$J$3)</f>
        <v/>
      </c>
      <c r="G23" s="77" t="str">
        <f ca="1">TEXT(Calcu!H19,Calcu!$J$3)</f>
        <v/>
      </c>
      <c r="H23" s="41"/>
      <c r="I23" s="42"/>
      <c r="J23" s="78">
        <f>Calcu_ADJ!C19</f>
        <v>11</v>
      </c>
      <c r="K23" s="344" t="str">
        <f>IF(Calcu_ADJ!B19=FALSE,"",Pressure_2_R1!B14)</f>
        <v/>
      </c>
      <c r="L23" s="77" t="str">
        <f>Calcu_ADJ!E19</f>
        <v/>
      </c>
      <c r="M23" s="77" t="str">
        <f ca="1">TEXT(Calcu_ADJ!F19,Calcu_ADJ!$J$3)</f>
        <v/>
      </c>
      <c r="N23" s="77" t="str">
        <f ca="1">TEXT(Calcu_ADJ!G19,Calcu_ADJ!$J$3)</f>
        <v/>
      </c>
      <c r="O23" s="77" t="str">
        <f ca="1">TEXT(Calcu_ADJ!H19,Calcu_ADJ!$J$3)</f>
        <v/>
      </c>
    </row>
    <row r="24" spans="1:15" ht="13.5" customHeight="1">
      <c r="A24" s="42"/>
      <c r="B24" s="78">
        <f>Calcu!C20</f>
        <v>12</v>
      </c>
      <c r="C24" s="344" t="str">
        <f>IF(Calcu!B20=FALSE,"",Pressure_2_R1!B15)</f>
        <v/>
      </c>
      <c r="D24" s="77" t="str">
        <f>Calcu!E20</f>
        <v/>
      </c>
      <c r="E24" s="77" t="str">
        <f ca="1">TEXT(Calcu!F20,Calcu!$J$3)</f>
        <v/>
      </c>
      <c r="F24" s="77" t="str">
        <f ca="1">TEXT(Calcu!G20,Calcu!$J$3)</f>
        <v/>
      </c>
      <c r="G24" s="77" t="str">
        <f ca="1">TEXT(Calcu!H20,Calcu!$J$3)</f>
        <v/>
      </c>
      <c r="H24" s="41"/>
      <c r="I24" s="42"/>
      <c r="J24" s="78">
        <f>Calcu_ADJ!C20</f>
        <v>12</v>
      </c>
      <c r="K24" s="344" t="str">
        <f>IF(Calcu_ADJ!B20=FALSE,"",Pressure_2_R1!B15)</f>
        <v/>
      </c>
      <c r="L24" s="77" t="str">
        <f>Calcu_ADJ!E20</f>
        <v/>
      </c>
      <c r="M24" s="77" t="str">
        <f ca="1">TEXT(Calcu_ADJ!F20,Calcu_ADJ!$J$3)</f>
        <v/>
      </c>
      <c r="N24" s="77" t="str">
        <f ca="1">TEXT(Calcu_ADJ!G20,Calcu_ADJ!$J$3)</f>
        <v/>
      </c>
      <c r="O24" s="77" t="str">
        <f ca="1">TEXT(Calcu_ADJ!H20,Calcu_ADJ!$J$3)</f>
        <v/>
      </c>
    </row>
    <row r="25" spans="1:15" ht="13.5" customHeight="1">
      <c r="A25" s="42"/>
      <c r="B25" s="78">
        <f>Calcu!C21</f>
        <v>13</v>
      </c>
      <c r="C25" s="344" t="str">
        <f>IF(Calcu!B21=FALSE,"",Pressure_2_R1!B16)</f>
        <v/>
      </c>
      <c r="D25" s="77" t="str">
        <f>Calcu!E21</f>
        <v/>
      </c>
      <c r="E25" s="77" t="str">
        <f ca="1">TEXT(Calcu!F21,Calcu!$J$3)</f>
        <v/>
      </c>
      <c r="F25" s="77" t="str">
        <f ca="1">TEXT(Calcu!G21,Calcu!$J$3)</f>
        <v/>
      </c>
      <c r="G25" s="77" t="str">
        <f ca="1">TEXT(Calcu!H21,Calcu!$J$3)</f>
        <v/>
      </c>
      <c r="H25" s="41"/>
      <c r="I25" s="42"/>
      <c r="J25" s="78">
        <f>Calcu_ADJ!C21</f>
        <v>13</v>
      </c>
      <c r="K25" s="344" t="str">
        <f>IF(Calcu_ADJ!B21=FALSE,"",Pressure_2_R1!B16)</f>
        <v/>
      </c>
      <c r="L25" s="77" t="str">
        <f>Calcu_ADJ!E21</f>
        <v/>
      </c>
      <c r="M25" s="77" t="str">
        <f ca="1">TEXT(Calcu_ADJ!F21,Calcu_ADJ!$J$3)</f>
        <v/>
      </c>
      <c r="N25" s="77" t="str">
        <f ca="1">TEXT(Calcu_ADJ!G21,Calcu_ADJ!$J$3)</f>
        <v/>
      </c>
      <c r="O25" s="77" t="str">
        <f ca="1">TEXT(Calcu_ADJ!H21,Calcu_ADJ!$J$3)</f>
        <v/>
      </c>
    </row>
    <row r="26" spans="1:15" ht="13.5" customHeight="1">
      <c r="A26" s="42"/>
      <c r="B26" s="78">
        <f>Calcu!C22</f>
        <v>14</v>
      </c>
      <c r="C26" s="344" t="str">
        <f>IF(Calcu!B22=FALSE,"",Pressure_2_R1!B17)</f>
        <v/>
      </c>
      <c r="D26" s="77" t="str">
        <f>Calcu!E22</f>
        <v/>
      </c>
      <c r="E26" s="77" t="str">
        <f ca="1">TEXT(Calcu!F22,Calcu!$J$3)</f>
        <v/>
      </c>
      <c r="F26" s="77" t="str">
        <f ca="1">TEXT(Calcu!G22,Calcu!$J$3)</f>
        <v/>
      </c>
      <c r="G26" s="77" t="str">
        <f ca="1">TEXT(Calcu!H22,Calcu!$J$3)</f>
        <v/>
      </c>
      <c r="H26" s="41"/>
      <c r="I26" s="42"/>
      <c r="J26" s="78">
        <f>Calcu_ADJ!C22</f>
        <v>14</v>
      </c>
      <c r="K26" s="344" t="str">
        <f>IF(Calcu_ADJ!B22=FALSE,"",Pressure_2_R1!B17)</f>
        <v/>
      </c>
      <c r="L26" s="77" t="str">
        <f>Calcu_ADJ!E22</f>
        <v/>
      </c>
      <c r="M26" s="77" t="str">
        <f ca="1">TEXT(Calcu_ADJ!F22,Calcu_ADJ!$J$3)</f>
        <v/>
      </c>
      <c r="N26" s="77" t="str">
        <f ca="1">TEXT(Calcu_ADJ!G22,Calcu_ADJ!$J$3)</f>
        <v/>
      </c>
      <c r="O26" s="77" t="str">
        <f ca="1">TEXT(Calcu_ADJ!H22,Calcu_ADJ!$J$3)</f>
        <v/>
      </c>
    </row>
    <row r="27" spans="1:15" ht="13.5" customHeight="1">
      <c r="A27" s="42"/>
      <c r="B27" s="78">
        <f>Calcu!C23</f>
        <v>15</v>
      </c>
      <c r="C27" s="344" t="str">
        <f>IF(Calcu!B23=FALSE,"",Pressure_2_R1!B18)</f>
        <v/>
      </c>
      <c r="D27" s="77" t="str">
        <f>Calcu!E23</f>
        <v/>
      </c>
      <c r="E27" s="77" t="str">
        <f ca="1">TEXT(Calcu!F23,Calcu!$J$3)</f>
        <v/>
      </c>
      <c r="F27" s="77" t="str">
        <f ca="1">TEXT(Calcu!G23,Calcu!$J$3)</f>
        <v/>
      </c>
      <c r="G27" s="77" t="str">
        <f ca="1">TEXT(Calcu!H23,Calcu!$J$3)</f>
        <v/>
      </c>
      <c r="H27" s="41"/>
      <c r="I27" s="42"/>
      <c r="J27" s="78">
        <f>Calcu_ADJ!C23</f>
        <v>15</v>
      </c>
      <c r="K27" s="344" t="str">
        <f>IF(Calcu_ADJ!B23=FALSE,"",Pressure_2_R1!B18)</f>
        <v/>
      </c>
      <c r="L27" s="77" t="str">
        <f>Calcu_ADJ!E23</f>
        <v/>
      </c>
      <c r="M27" s="77" t="str">
        <f ca="1">TEXT(Calcu_ADJ!F23,Calcu_ADJ!$J$3)</f>
        <v/>
      </c>
      <c r="N27" s="77" t="str">
        <f ca="1">TEXT(Calcu_ADJ!G23,Calcu_ADJ!$J$3)</f>
        <v/>
      </c>
      <c r="O27" s="77" t="str">
        <f ca="1">TEXT(Calcu_ADJ!H23,Calcu_ADJ!$J$3)</f>
        <v/>
      </c>
    </row>
    <row r="28" spans="1:15" ht="13.5" customHeight="1">
      <c r="A28" s="42"/>
      <c r="B28" s="78">
        <f>Calcu!C24</f>
        <v>16</v>
      </c>
      <c r="C28" s="344" t="str">
        <f>IF(Calcu!B24=FALSE,"",Pressure_2_R1!B19)</f>
        <v/>
      </c>
      <c r="D28" s="77" t="str">
        <f>Calcu!E24</f>
        <v/>
      </c>
      <c r="E28" s="77" t="str">
        <f ca="1">TEXT(Calcu!F24,Calcu!$J$3)</f>
        <v/>
      </c>
      <c r="F28" s="77" t="str">
        <f ca="1">TEXT(Calcu!G24,Calcu!$J$3)</f>
        <v/>
      </c>
      <c r="G28" s="77" t="str">
        <f ca="1">TEXT(Calcu!H24,Calcu!$J$3)</f>
        <v/>
      </c>
      <c r="H28" s="41"/>
      <c r="I28" s="42"/>
      <c r="J28" s="78">
        <f>Calcu_ADJ!C24</f>
        <v>16</v>
      </c>
      <c r="K28" s="344" t="str">
        <f>IF(Calcu_ADJ!B24=FALSE,"",Pressure_2_R1!B19)</f>
        <v/>
      </c>
      <c r="L28" s="77" t="str">
        <f>Calcu_ADJ!E24</f>
        <v/>
      </c>
      <c r="M28" s="77" t="str">
        <f ca="1">TEXT(Calcu_ADJ!F24,Calcu_ADJ!$J$3)</f>
        <v/>
      </c>
      <c r="N28" s="77" t="str">
        <f ca="1">TEXT(Calcu_ADJ!G24,Calcu_ADJ!$J$3)</f>
        <v/>
      </c>
      <c r="O28" s="77" t="str">
        <f ca="1">TEXT(Calcu_ADJ!H24,Calcu_ADJ!$J$3)</f>
        <v/>
      </c>
    </row>
    <row r="29" spans="1:15" ht="13.5" customHeight="1">
      <c r="A29" s="42"/>
      <c r="B29" s="78">
        <f>Calcu!C25</f>
        <v>17</v>
      </c>
      <c r="C29" s="344" t="str">
        <f>IF(Calcu!B25=FALSE,"",Pressure_2_R1!B20)</f>
        <v/>
      </c>
      <c r="D29" s="77" t="str">
        <f>Calcu!E25</f>
        <v/>
      </c>
      <c r="E29" s="77" t="str">
        <f ca="1">TEXT(Calcu!F25,Calcu!$J$3)</f>
        <v/>
      </c>
      <c r="F29" s="77" t="str">
        <f ca="1">TEXT(Calcu!G25,Calcu!$J$3)</f>
        <v/>
      </c>
      <c r="G29" s="77" t="str">
        <f ca="1">TEXT(Calcu!H25,Calcu!$J$3)</f>
        <v/>
      </c>
      <c r="H29" s="41"/>
      <c r="I29" s="42"/>
      <c r="J29" s="78">
        <f>Calcu_ADJ!C25</f>
        <v>17</v>
      </c>
      <c r="K29" s="344" t="str">
        <f>IF(Calcu_ADJ!B25=FALSE,"",Pressure_2_R1!B20)</f>
        <v/>
      </c>
      <c r="L29" s="77" t="str">
        <f>Calcu_ADJ!E25</f>
        <v/>
      </c>
      <c r="M29" s="77" t="str">
        <f ca="1">TEXT(Calcu_ADJ!F25,Calcu_ADJ!$J$3)</f>
        <v/>
      </c>
      <c r="N29" s="77" t="str">
        <f ca="1">TEXT(Calcu_ADJ!G25,Calcu_ADJ!$J$3)</f>
        <v/>
      </c>
      <c r="O29" s="77" t="str">
        <f ca="1">TEXT(Calcu_ADJ!H25,Calcu_ADJ!$J$3)</f>
        <v/>
      </c>
    </row>
    <row r="30" spans="1:15" ht="13.5" customHeight="1">
      <c r="A30" s="42"/>
      <c r="B30" s="78">
        <f>Calcu!C26</f>
        <v>18</v>
      </c>
      <c r="C30" s="344" t="str">
        <f>IF(Calcu!B26=FALSE,"",Pressure_2_R1!B21)</f>
        <v/>
      </c>
      <c r="D30" s="77" t="str">
        <f>Calcu!E26</f>
        <v/>
      </c>
      <c r="E30" s="77" t="str">
        <f ca="1">TEXT(Calcu!F26,Calcu!$J$3)</f>
        <v/>
      </c>
      <c r="F30" s="77" t="str">
        <f ca="1">TEXT(Calcu!G26,Calcu!$J$3)</f>
        <v/>
      </c>
      <c r="G30" s="77" t="str">
        <f ca="1">TEXT(Calcu!H26,Calcu!$J$3)</f>
        <v/>
      </c>
      <c r="H30" s="41"/>
      <c r="I30" s="42"/>
      <c r="J30" s="78">
        <f>Calcu_ADJ!C26</f>
        <v>18</v>
      </c>
      <c r="K30" s="344" t="str">
        <f>IF(Calcu_ADJ!B26=FALSE,"",Pressure_2_R1!B21)</f>
        <v/>
      </c>
      <c r="L30" s="77" t="str">
        <f>Calcu_ADJ!E26</f>
        <v/>
      </c>
      <c r="M30" s="77" t="str">
        <f ca="1">TEXT(Calcu_ADJ!F26,Calcu_ADJ!$J$3)</f>
        <v/>
      </c>
      <c r="N30" s="77" t="str">
        <f ca="1">TEXT(Calcu_ADJ!G26,Calcu_ADJ!$J$3)</f>
        <v/>
      </c>
      <c r="O30" s="77" t="str">
        <f ca="1">TEXT(Calcu_ADJ!H26,Calcu_ADJ!$J$3)</f>
        <v/>
      </c>
    </row>
    <row r="31" spans="1:15" ht="13.5" customHeight="1">
      <c r="A31" s="42"/>
      <c r="B31" s="78">
        <f>Calcu!C27</f>
        <v>19</v>
      </c>
      <c r="C31" s="344" t="str">
        <f>IF(Calcu!B27=FALSE,"",Pressure_2_R1!B22)</f>
        <v/>
      </c>
      <c r="D31" s="77" t="str">
        <f>Calcu!E27</f>
        <v/>
      </c>
      <c r="E31" s="77" t="str">
        <f ca="1">TEXT(Calcu!F27,Calcu!$J$3)</f>
        <v/>
      </c>
      <c r="F31" s="77" t="str">
        <f ca="1">TEXT(Calcu!G27,Calcu!$J$3)</f>
        <v/>
      </c>
      <c r="G31" s="77" t="str">
        <f ca="1">TEXT(Calcu!H27,Calcu!$J$3)</f>
        <v/>
      </c>
      <c r="H31" s="41"/>
      <c r="I31" s="42"/>
      <c r="J31" s="78">
        <f>Calcu_ADJ!C27</f>
        <v>19</v>
      </c>
      <c r="K31" s="344" t="str">
        <f>IF(Calcu_ADJ!B27=FALSE,"",Pressure_2_R1!B22)</f>
        <v/>
      </c>
      <c r="L31" s="77" t="str">
        <f>Calcu_ADJ!E27</f>
        <v/>
      </c>
      <c r="M31" s="77" t="str">
        <f ca="1">TEXT(Calcu_ADJ!F27,Calcu_ADJ!$J$3)</f>
        <v/>
      </c>
      <c r="N31" s="77" t="str">
        <f ca="1">TEXT(Calcu_ADJ!G27,Calcu_ADJ!$J$3)</f>
        <v/>
      </c>
      <c r="O31" s="77" t="str">
        <f ca="1">TEXT(Calcu_ADJ!H27,Calcu_ADJ!$J$3)</f>
        <v/>
      </c>
    </row>
    <row r="32" spans="1:15" ht="13.5" customHeight="1">
      <c r="A32" s="42"/>
      <c r="B32" s="78">
        <f>Calcu!C28</f>
        <v>20</v>
      </c>
      <c r="C32" s="344" t="str">
        <f>IF(Calcu!B28=FALSE,"",Pressure_2_R1!B23)</f>
        <v/>
      </c>
      <c r="D32" s="77" t="str">
        <f>Calcu!E28</f>
        <v/>
      </c>
      <c r="E32" s="77" t="str">
        <f ca="1">TEXT(Calcu!F28,Calcu!$J$3)</f>
        <v/>
      </c>
      <c r="F32" s="77" t="str">
        <f ca="1">TEXT(Calcu!G28,Calcu!$J$3)</f>
        <v/>
      </c>
      <c r="G32" s="77" t="str">
        <f ca="1">TEXT(Calcu!H28,Calcu!$J$3)</f>
        <v/>
      </c>
      <c r="H32" s="41"/>
      <c r="I32" s="42"/>
      <c r="J32" s="78">
        <f>Calcu_ADJ!C28</f>
        <v>20</v>
      </c>
      <c r="K32" s="344" t="str">
        <f>IF(Calcu_ADJ!B28=FALSE,"",Pressure_2_R1!B23)</f>
        <v/>
      </c>
      <c r="L32" s="77" t="str">
        <f>Calcu_ADJ!E28</f>
        <v/>
      </c>
      <c r="M32" s="77" t="str">
        <f ca="1">TEXT(Calcu_ADJ!F28,Calcu_ADJ!$J$3)</f>
        <v/>
      </c>
      <c r="N32" s="77" t="str">
        <f ca="1">TEXT(Calcu_ADJ!G28,Calcu_ADJ!$J$3)</f>
        <v/>
      </c>
      <c r="O32" s="77" t="str">
        <f ca="1">TEXT(Calcu_ADJ!H28,Calcu_ADJ!$J$3)</f>
        <v/>
      </c>
    </row>
    <row r="33" spans="1:15" ht="13.5" customHeight="1">
      <c r="A33" s="42"/>
      <c r="B33" s="78">
        <f>Calcu!C29</f>
        <v>21</v>
      </c>
      <c r="C33" s="344" t="str">
        <f>IF(Calcu!B29=FALSE,"",Pressure_2_R1!B24)</f>
        <v/>
      </c>
      <c r="D33" s="77" t="str">
        <f>Calcu!E29</f>
        <v/>
      </c>
      <c r="E33" s="77" t="str">
        <f ca="1">TEXT(Calcu!F29,Calcu!$J$3)</f>
        <v/>
      </c>
      <c r="F33" s="77" t="str">
        <f ca="1">TEXT(Calcu!G29,Calcu!$J$3)</f>
        <v/>
      </c>
      <c r="G33" s="77" t="str">
        <f ca="1">TEXT(Calcu!H29,Calcu!$J$3)</f>
        <v/>
      </c>
      <c r="H33" s="41"/>
      <c r="I33" s="42"/>
      <c r="J33" s="78">
        <f>Calcu_ADJ!C29</f>
        <v>21</v>
      </c>
      <c r="K33" s="344" t="str">
        <f>IF(Calcu_ADJ!B29=FALSE,"",Pressure_2_R1!B24)</f>
        <v/>
      </c>
      <c r="L33" s="77" t="str">
        <f>Calcu_ADJ!E29</f>
        <v/>
      </c>
      <c r="M33" s="77" t="str">
        <f ca="1">TEXT(Calcu_ADJ!F29,Calcu_ADJ!$J$3)</f>
        <v/>
      </c>
      <c r="N33" s="77" t="str">
        <f ca="1">TEXT(Calcu_ADJ!G29,Calcu_ADJ!$J$3)</f>
        <v/>
      </c>
      <c r="O33" s="77" t="str">
        <f ca="1">TEXT(Calcu_ADJ!H29,Calcu_ADJ!$J$3)</f>
        <v/>
      </c>
    </row>
    <row r="34" spans="1:15" ht="13.5" customHeight="1">
      <c r="A34" s="42"/>
      <c r="B34" s="78">
        <f>Calcu!C30</f>
        <v>22</v>
      </c>
      <c r="C34" s="344" t="str">
        <f>IF(Calcu!B30=FALSE,"",Pressure_2_R1!B25)</f>
        <v/>
      </c>
      <c r="D34" s="77" t="str">
        <f>Calcu!E30</f>
        <v/>
      </c>
      <c r="E34" s="77" t="str">
        <f ca="1">TEXT(Calcu!F30,Calcu!$J$3)</f>
        <v/>
      </c>
      <c r="F34" s="77" t="str">
        <f ca="1">TEXT(Calcu!G30,Calcu!$J$3)</f>
        <v/>
      </c>
      <c r="G34" s="77" t="str">
        <f ca="1">TEXT(Calcu!H30,Calcu!$J$3)</f>
        <v/>
      </c>
      <c r="H34" s="41"/>
      <c r="I34" s="42"/>
      <c r="J34" s="78">
        <f>Calcu_ADJ!C30</f>
        <v>22</v>
      </c>
      <c r="K34" s="344" t="str">
        <f>IF(Calcu_ADJ!B30=FALSE,"",Pressure_2_R1!B25)</f>
        <v/>
      </c>
      <c r="L34" s="77" t="str">
        <f>Calcu_ADJ!E30</f>
        <v/>
      </c>
      <c r="M34" s="77" t="str">
        <f ca="1">TEXT(Calcu_ADJ!F30,Calcu_ADJ!$J$3)</f>
        <v/>
      </c>
      <c r="N34" s="77" t="str">
        <f ca="1">TEXT(Calcu_ADJ!G30,Calcu_ADJ!$J$3)</f>
        <v/>
      </c>
      <c r="O34" s="77" t="str">
        <f ca="1">TEXT(Calcu_ADJ!H30,Calcu_ADJ!$J$3)</f>
        <v/>
      </c>
    </row>
    <row r="35" spans="1:15" ht="13.5" customHeight="1">
      <c r="A35" s="42"/>
      <c r="B35" s="78">
        <f>Calcu!C31</f>
        <v>23</v>
      </c>
      <c r="C35" s="344" t="str">
        <f>IF(Calcu!B31=FALSE,"",Pressure_2_R1!B26)</f>
        <v/>
      </c>
      <c r="D35" s="77" t="str">
        <f>Calcu!E31</f>
        <v/>
      </c>
      <c r="E35" s="77" t="str">
        <f ca="1">TEXT(Calcu!F31,Calcu!$J$3)</f>
        <v/>
      </c>
      <c r="F35" s="77" t="str">
        <f ca="1">TEXT(Calcu!G31,Calcu!$J$3)</f>
        <v/>
      </c>
      <c r="G35" s="77" t="str">
        <f ca="1">TEXT(Calcu!H31,Calcu!$J$3)</f>
        <v/>
      </c>
      <c r="H35" s="41"/>
      <c r="I35" s="42"/>
      <c r="J35" s="78">
        <f>Calcu_ADJ!C31</f>
        <v>23</v>
      </c>
      <c r="K35" s="344" t="str">
        <f>IF(Calcu_ADJ!B31=FALSE,"",Pressure_2_R1!B26)</f>
        <v/>
      </c>
      <c r="L35" s="77" t="str">
        <f>Calcu_ADJ!E31</f>
        <v/>
      </c>
      <c r="M35" s="77" t="str">
        <f ca="1">TEXT(Calcu_ADJ!F31,Calcu_ADJ!$J$3)</f>
        <v/>
      </c>
      <c r="N35" s="77" t="str">
        <f ca="1">TEXT(Calcu_ADJ!G31,Calcu_ADJ!$J$3)</f>
        <v/>
      </c>
      <c r="O35" s="77" t="str">
        <f ca="1">TEXT(Calcu_ADJ!H31,Calcu_ADJ!$J$3)</f>
        <v/>
      </c>
    </row>
    <row r="36" spans="1:15" ht="13.5" customHeight="1">
      <c r="A36" s="42"/>
      <c r="B36" s="78">
        <f>Calcu!C32</f>
        <v>24</v>
      </c>
      <c r="C36" s="344" t="str">
        <f>IF(Calcu!B32=FALSE,"",Pressure_2_R1!B27)</f>
        <v/>
      </c>
      <c r="D36" s="77" t="str">
        <f>Calcu!E32</f>
        <v/>
      </c>
      <c r="E36" s="77" t="str">
        <f ca="1">TEXT(Calcu!F32,Calcu!$J$3)</f>
        <v/>
      </c>
      <c r="F36" s="77" t="str">
        <f ca="1">TEXT(Calcu!G32,Calcu!$J$3)</f>
        <v/>
      </c>
      <c r="G36" s="77" t="str">
        <f ca="1">TEXT(Calcu!H32,Calcu!$J$3)</f>
        <v/>
      </c>
      <c r="H36" s="41"/>
      <c r="I36" s="42"/>
      <c r="J36" s="78">
        <f>Calcu_ADJ!C32</f>
        <v>24</v>
      </c>
      <c r="K36" s="344" t="str">
        <f>IF(Calcu_ADJ!B32=FALSE,"",Pressure_2_R1!B27)</f>
        <v/>
      </c>
      <c r="L36" s="77" t="str">
        <f>Calcu_ADJ!E32</f>
        <v/>
      </c>
      <c r="M36" s="77" t="str">
        <f ca="1">TEXT(Calcu_ADJ!F32,Calcu_ADJ!$J$3)</f>
        <v/>
      </c>
      <c r="N36" s="77" t="str">
        <f ca="1">TEXT(Calcu_ADJ!G32,Calcu_ADJ!$J$3)</f>
        <v/>
      </c>
      <c r="O36" s="77" t="str">
        <f ca="1">TEXT(Calcu_ADJ!H32,Calcu_ADJ!$J$3)</f>
        <v/>
      </c>
    </row>
    <row r="37" spans="1:15" ht="13.5" customHeight="1">
      <c r="A37" s="42"/>
      <c r="B37" s="78">
        <f>Calcu!C33</f>
        <v>25</v>
      </c>
      <c r="C37" s="344" t="str">
        <f>IF(Calcu!B33=FALSE,"",Pressure_2_R1!B28)</f>
        <v/>
      </c>
      <c r="D37" s="77" t="str">
        <f>Calcu!E33</f>
        <v/>
      </c>
      <c r="E37" s="77" t="str">
        <f ca="1">TEXT(Calcu!F33,Calcu!$J$3)</f>
        <v/>
      </c>
      <c r="F37" s="77" t="str">
        <f ca="1">TEXT(Calcu!G33,Calcu!$J$3)</f>
        <v/>
      </c>
      <c r="G37" s="77" t="str">
        <f ca="1">TEXT(Calcu!H33,Calcu!$J$3)</f>
        <v/>
      </c>
      <c r="H37" s="41"/>
      <c r="I37" s="42"/>
      <c r="J37" s="78">
        <f>Calcu_ADJ!C33</f>
        <v>25</v>
      </c>
      <c r="K37" s="344" t="str">
        <f>IF(Calcu_ADJ!B33=FALSE,"",Pressure_2_R1!B28)</f>
        <v/>
      </c>
      <c r="L37" s="77" t="str">
        <f>Calcu_ADJ!E33</f>
        <v/>
      </c>
      <c r="M37" s="77" t="str">
        <f ca="1">TEXT(Calcu_ADJ!F33,Calcu_ADJ!$J$3)</f>
        <v/>
      </c>
      <c r="N37" s="77" t="str">
        <f ca="1">TEXT(Calcu_ADJ!G33,Calcu_ADJ!$J$3)</f>
        <v/>
      </c>
      <c r="O37" s="77" t="str">
        <f ca="1">TEXT(Calcu_ADJ!H33,Calcu_ADJ!$J$3)</f>
        <v/>
      </c>
    </row>
    <row r="38" spans="1:15" ht="13.5" customHeight="1">
      <c r="A38" s="42"/>
      <c r="B38" s="78">
        <f>Calcu!C34</f>
        <v>26</v>
      </c>
      <c r="C38" s="344" t="str">
        <f>IF(Calcu!B34=FALSE,"",Pressure_2_R1!B29)</f>
        <v/>
      </c>
      <c r="D38" s="77" t="str">
        <f>Calcu!E34</f>
        <v/>
      </c>
      <c r="E38" s="77" t="str">
        <f ca="1">TEXT(Calcu!F34,Calcu!$J$3)</f>
        <v/>
      </c>
      <c r="F38" s="77" t="str">
        <f ca="1">TEXT(Calcu!G34,Calcu!$J$3)</f>
        <v/>
      </c>
      <c r="G38" s="77" t="str">
        <f ca="1">TEXT(Calcu!H34,Calcu!$J$3)</f>
        <v/>
      </c>
      <c r="H38" s="41"/>
      <c r="I38" s="42"/>
      <c r="J38" s="78">
        <f>Calcu_ADJ!C34</f>
        <v>26</v>
      </c>
      <c r="K38" s="344" t="str">
        <f>IF(Calcu_ADJ!B34=FALSE,"",Pressure_2_R1!B29)</f>
        <v/>
      </c>
      <c r="L38" s="77" t="str">
        <f>Calcu_ADJ!E34</f>
        <v/>
      </c>
      <c r="M38" s="77" t="str">
        <f ca="1">TEXT(Calcu_ADJ!F34,Calcu_ADJ!$J$3)</f>
        <v/>
      </c>
      <c r="N38" s="77" t="str">
        <f ca="1">TEXT(Calcu_ADJ!G34,Calcu_ADJ!$J$3)</f>
        <v/>
      </c>
      <c r="O38" s="77" t="str">
        <f ca="1">TEXT(Calcu_ADJ!H34,Calcu_ADJ!$J$3)</f>
        <v/>
      </c>
    </row>
    <row r="39" spans="1:15" ht="13.5" customHeight="1">
      <c r="A39" s="42"/>
      <c r="B39" s="78">
        <f>Calcu!C35</f>
        <v>27</v>
      </c>
      <c r="C39" s="344" t="str">
        <f>IF(Calcu!B35=FALSE,"",Pressure_2_R1!B30)</f>
        <v/>
      </c>
      <c r="D39" s="77" t="str">
        <f>Calcu!E35</f>
        <v/>
      </c>
      <c r="E39" s="77" t="str">
        <f ca="1">TEXT(Calcu!F35,Calcu!$J$3)</f>
        <v/>
      </c>
      <c r="F39" s="77" t="str">
        <f ca="1">TEXT(Calcu!G35,Calcu!$J$3)</f>
        <v/>
      </c>
      <c r="G39" s="77" t="str">
        <f ca="1">TEXT(Calcu!H35,Calcu!$J$3)</f>
        <v/>
      </c>
      <c r="H39" s="41"/>
      <c r="I39" s="42"/>
      <c r="J39" s="78">
        <f>Calcu_ADJ!C35</f>
        <v>27</v>
      </c>
      <c r="K39" s="344" t="str">
        <f>IF(Calcu_ADJ!B35=FALSE,"",Pressure_2_R1!B30)</f>
        <v/>
      </c>
      <c r="L39" s="77" t="str">
        <f>Calcu_ADJ!E35</f>
        <v/>
      </c>
      <c r="M39" s="77" t="str">
        <f ca="1">TEXT(Calcu_ADJ!F35,Calcu_ADJ!$J$3)</f>
        <v/>
      </c>
      <c r="N39" s="77" t="str">
        <f ca="1">TEXT(Calcu_ADJ!G35,Calcu_ADJ!$J$3)</f>
        <v/>
      </c>
      <c r="O39" s="77" t="str">
        <f ca="1">TEXT(Calcu_ADJ!H35,Calcu_ADJ!$J$3)</f>
        <v/>
      </c>
    </row>
    <row r="40" spans="1:15" ht="13.5" customHeight="1">
      <c r="A40" s="42"/>
      <c r="B40" s="78">
        <f>Calcu!C36</f>
        <v>28</v>
      </c>
      <c r="C40" s="344" t="str">
        <f>IF(Calcu!B36=FALSE,"",Pressure_2_R1!B31)</f>
        <v/>
      </c>
      <c r="D40" s="77" t="str">
        <f>Calcu!E36</f>
        <v/>
      </c>
      <c r="E40" s="77" t="str">
        <f ca="1">TEXT(Calcu!F36,Calcu!$J$3)</f>
        <v/>
      </c>
      <c r="F40" s="77" t="str">
        <f ca="1">TEXT(Calcu!G36,Calcu!$J$3)</f>
        <v/>
      </c>
      <c r="G40" s="77" t="str">
        <f ca="1">TEXT(Calcu!H36,Calcu!$J$3)</f>
        <v/>
      </c>
      <c r="H40" s="41"/>
      <c r="I40" s="42"/>
      <c r="J40" s="78">
        <f>Calcu_ADJ!C36</f>
        <v>28</v>
      </c>
      <c r="K40" s="344" t="str">
        <f>IF(Calcu_ADJ!B36=FALSE,"",Pressure_2_R1!B31)</f>
        <v/>
      </c>
      <c r="L40" s="77" t="str">
        <f>Calcu_ADJ!E36</f>
        <v/>
      </c>
      <c r="M40" s="77" t="str">
        <f ca="1">TEXT(Calcu_ADJ!F36,Calcu_ADJ!$J$3)</f>
        <v/>
      </c>
      <c r="N40" s="77" t="str">
        <f ca="1">TEXT(Calcu_ADJ!G36,Calcu_ADJ!$J$3)</f>
        <v/>
      </c>
      <c r="O40" s="77" t="str">
        <f ca="1">TEXT(Calcu_ADJ!H36,Calcu_ADJ!$J$3)</f>
        <v/>
      </c>
    </row>
    <row r="41" spans="1:15" ht="13.5" customHeight="1">
      <c r="A41" s="42"/>
      <c r="B41" s="78">
        <f>Calcu!C37</f>
        <v>29</v>
      </c>
      <c r="C41" s="344" t="str">
        <f>IF(Calcu!B37=FALSE,"",Pressure_2_R1!B32)</f>
        <v/>
      </c>
      <c r="D41" s="77" t="str">
        <f>Calcu!E37</f>
        <v/>
      </c>
      <c r="E41" s="77" t="str">
        <f ca="1">TEXT(Calcu!F37,Calcu!$J$3)</f>
        <v/>
      </c>
      <c r="F41" s="77" t="str">
        <f ca="1">TEXT(Calcu!G37,Calcu!$J$3)</f>
        <v/>
      </c>
      <c r="G41" s="77" t="str">
        <f ca="1">TEXT(Calcu!H37,Calcu!$J$3)</f>
        <v/>
      </c>
      <c r="H41" s="41"/>
      <c r="I41" s="42"/>
      <c r="J41" s="78">
        <f>Calcu_ADJ!C37</f>
        <v>29</v>
      </c>
      <c r="K41" s="344" t="str">
        <f>IF(Calcu_ADJ!B37=FALSE,"",Pressure_2_R1!B32)</f>
        <v/>
      </c>
      <c r="L41" s="77" t="str">
        <f>Calcu_ADJ!E37</f>
        <v/>
      </c>
      <c r="M41" s="77" t="str">
        <f ca="1">TEXT(Calcu_ADJ!F37,Calcu_ADJ!$J$3)</f>
        <v/>
      </c>
      <c r="N41" s="77" t="str">
        <f ca="1">TEXT(Calcu_ADJ!G37,Calcu_ADJ!$J$3)</f>
        <v/>
      </c>
      <c r="O41" s="77" t="str">
        <f ca="1">TEXT(Calcu_ADJ!H37,Calcu_ADJ!$J$3)</f>
        <v/>
      </c>
    </row>
    <row r="42" spans="1:15" ht="13.5" customHeight="1">
      <c r="A42" s="42"/>
      <c r="B42" s="78">
        <f>Calcu!C38</f>
        <v>30</v>
      </c>
      <c r="C42" s="344" t="str">
        <f>IF(Calcu!B38=FALSE,"",Pressure_2_R1!B33)</f>
        <v/>
      </c>
      <c r="D42" s="77" t="str">
        <f>Calcu!E38</f>
        <v/>
      </c>
      <c r="E42" s="77" t="str">
        <f ca="1">TEXT(Calcu!F38,Calcu!$J$3)</f>
        <v/>
      </c>
      <c r="F42" s="77" t="str">
        <f ca="1">TEXT(Calcu!G38,Calcu!$J$3)</f>
        <v/>
      </c>
      <c r="G42" s="77" t="str">
        <f ca="1">TEXT(Calcu!H38,Calcu!$J$3)</f>
        <v/>
      </c>
      <c r="H42" s="41"/>
      <c r="I42" s="42"/>
      <c r="J42" s="78">
        <f>Calcu_ADJ!C38</f>
        <v>30</v>
      </c>
      <c r="K42" s="344" t="str">
        <f>IF(Calcu_ADJ!B38=FALSE,"",Pressure_2_R1!B33)</f>
        <v/>
      </c>
      <c r="L42" s="77" t="str">
        <f>Calcu_ADJ!E38</f>
        <v/>
      </c>
      <c r="M42" s="77" t="str">
        <f ca="1">TEXT(Calcu_ADJ!F38,Calcu_ADJ!$J$3)</f>
        <v/>
      </c>
      <c r="N42" s="77" t="str">
        <f ca="1">TEXT(Calcu_ADJ!G38,Calcu_ADJ!$J$3)</f>
        <v/>
      </c>
      <c r="O42" s="77" t="str">
        <f ca="1">TEXT(Calcu_ADJ!H38,Calcu_ADJ!$J$3)</f>
        <v/>
      </c>
    </row>
    <row r="44" spans="1:15" ht="13.5" customHeight="1">
      <c r="A44" s="39"/>
      <c r="B44" s="40"/>
      <c r="C44" s="40"/>
      <c r="D44" s="75"/>
      <c r="E44" s="40"/>
    </row>
  </sheetData>
  <sortState ref="N5:O14">
    <sortCondition descending="1" ref="N5"/>
  </sortState>
  <mergeCells count="10">
    <mergeCell ref="E4:F4"/>
    <mergeCell ref="E3:F3"/>
    <mergeCell ref="C10:C11"/>
    <mergeCell ref="J10:J12"/>
    <mergeCell ref="K10:K11"/>
    <mergeCell ref="L10:L11"/>
    <mergeCell ref="M10:O10"/>
    <mergeCell ref="B10:B12"/>
    <mergeCell ref="D10:D11"/>
    <mergeCell ref="E10:G10"/>
  </mergeCells>
  <phoneticPr fontId="5" type="noConversion"/>
  <pageMargins left="0.39370078740157483" right="0.39370078740157483" top="0.39370078740157483" bottom="0.39370078740157483" header="0.19685039370078741" footer="0.19685039370078741"/>
  <pageSetup paperSize="9" orientation="portrait" r:id="rId1"/>
  <headerFooter alignWithMargins="0">
    <oddFooter>&amp;L&amp;"Tahoma,보통"&amp;9F-02P-02-001 (Rev.01)&amp;C&amp;9&amp;P of &amp;N&amp;R&amp;"돋움,굵게"&amp;9(주)에이치시티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608"/>
  <sheetViews>
    <sheetView showGridLines="0" zoomScaleNormal="100" zoomScaleSheetLayoutView="100" workbookViewId="0"/>
  </sheetViews>
  <sheetFormatPr defaultColWidth="1.77734375" defaultRowHeight="18" customHeight="1"/>
  <cols>
    <col min="1" max="1" width="1.77734375" style="91" customWidth="1"/>
    <col min="2" max="8" width="1.77734375" style="91"/>
    <col min="9" max="10" width="1.77734375" style="91" customWidth="1"/>
    <col min="11" max="29" width="1.77734375" style="91"/>
    <col min="30" max="30" width="1.77734375" style="91" customWidth="1"/>
    <col min="31" max="16384" width="1.77734375" style="91"/>
  </cols>
  <sheetData>
    <row r="1" spans="1:61" ht="31.5">
      <c r="A1" s="133" t="s">
        <v>386</v>
      </c>
    </row>
    <row r="2" spans="1:61" s="95" customFormat="1" ht="18.75" customHeight="1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  <c r="AL2" s="94"/>
      <c r="AM2" s="94"/>
      <c r="AN2" s="94"/>
      <c r="AO2" s="94"/>
      <c r="AP2" s="94"/>
      <c r="AQ2" s="94"/>
      <c r="AR2" s="94"/>
      <c r="AS2" s="94"/>
      <c r="AT2" s="94"/>
    </row>
    <row r="3" spans="1:61" s="95" customFormat="1" ht="18.75" customHeight="1">
      <c r="A3" s="217" t="s">
        <v>136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94"/>
      <c r="AN3" s="94"/>
      <c r="AO3" s="94"/>
      <c r="AP3" s="94"/>
      <c r="AQ3" s="94"/>
      <c r="AR3" s="94"/>
      <c r="AS3" s="94"/>
      <c r="AT3" s="94"/>
    </row>
    <row r="4" spans="1:61" ht="18.75" customHeight="1">
      <c r="A4" s="131" t="s">
        <v>387</v>
      </c>
    </row>
    <row r="5" spans="1:61" ht="18.75" customHeight="1">
      <c r="B5" s="702" t="s">
        <v>388</v>
      </c>
      <c r="C5" s="702"/>
      <c r="D5" s="702"/>
      <c r="E5" s="702"/>
      <c r="F5" s="702"/>
      <c r="G5" s="702"/>
      <c r="H5" s="696" t="s">
        <v>71</v>
      </c>
      <c r="I5" s="696"/>
      <c r="J5" s="696"/>
      <c r="K5" s="696"/>
      <c r="L5" s="696"/>
      <c r="M5" s="696"/>
      <c r="N5" s="702" t="s">
        <v>389</v>
      </c>
      <c r="O5" s="702"/>
      <c r="P5" s="702"/>
      <c r="Q5" s="702"/>
      <c r="R5" s="702"/>
      <c r="S5" s="702"/>
      <c r="T5" s="703" t="s">
        <v>646</v>
      </c>
      <c r="U5" s="704"/>
      <c r="V5" s="704"/>
      <c r="W5" s="704"/>
      <c r="X5" s="704"/>
      <c r="Y5" s="704"/>
      <c r="Z5" s="704"/>
      <c r="AA5" s="704"/>
      <c r="AB5" s="704"/>
      <c r="AC5" s="704"/>
      <c r="AD5" s="704"/>
      <c r="AE5" s="705"/>
      <c r="AF5" s="695" t="s">
        <v>391</v>
      </c>
      <c r="AG5" s="695"/>
      <c r="AH5" s="695"/>
      <c r="AI5" s="695"/>
      <c r="AJ5" s="695"/>
      <c r="AK5" s="695"/>
      <c r="AL5" s="696" t="s">
        <v>47</v>
      </c>
      <c r="AM5" s="696"/>
      <c r="AN5" s="696"/>
      <c r="AO5" s="696"/>
      <c r="AP5" s="696"/>
      <c r="AQ5" s="696"/>
      <c r="AR5" s="696" t="s">
        <v>358</v>
      </c>
      <c r="AS5" s="696"/>
      <c r="AT5" s="696"/>
      <c r="AU5" s="696"/>
      <c r="AV5" s="696"/>
      <c r="AW5" s="696"/>
    </row>
    <row r="6" spans="1:61" ht="18.75" customHeight="1">
      <c r="B6" s="697" t="e">
        <f ca="1">OFFSET(Calcu!D8,AL6,0)</f>
        <v>#N/A</v>
      </c>
      <c r="C6" s="697"/>
      <c r="D6" s="697"/>
      <c r="E6" s="697"/>
      <c r="F6" s="697"/>
      <c r="G6" s="697"/>
      <c r="H6" s="682">
        <f>Calcu!D8</f>
        <v>0</v>
      </c>
      <c r="I6" s="682"/>
      <c r="J6" s="682"/>
      <c r="K6" s="682"/>
      <c r="L6" s="682"/>
      <c r="M6" s="682"/>
      <c r="N6" s="698" t="e">
        <f ca="1">OFFSET(Pressure_2_R1!F135,AL6,0)</f>
        <v>#N/A</v>
      </c>
      <c r="O6" s="699"/>
      <c r="P6" s="699"/>
      <c r="Q6" s="699"/>
      <c r="R6" s="699" t="e">
        <f ca="1">OFFSET(Pressure_2_R1!G135,AL6,0)</f>
        <v>#N/A</v>
      </c>
      <c r="S6" s="700"/>
      <c r="T6" s="673" t="e">
        <f ca="1">OFFSET(표준압력!W3,AL6,0)</f>
        <v>#N/A</v>
      </c>
      <c r="U6" s="673"/>
      <c r="V6" s="673"/>
      <c r="W6" s="673"/>
      <c r="X6" s="673"/>
      <c r="Y6" s="673"/>
      <c r="Z6" s="673" t="e">
        <f ca="1">OFFSET(표준압력!X3,AL6,0)</f>
        <v>#N/A</v>
      </c>
      <c r="AA6" s="673"/>
      <c r="AB6" s="673"/>
      <c r="AC6" s="673"/>
      <c r="AD6" s="673"/>
      <c r="AE6" s="673"/>
      <c r="AF6" s="682">
        <v>2</v>
      </c>
      <c r="AG6" s="682"/>
      <c r="AH6" s="682"/>
      <c r="AI6" s="682"/>
      <c r="AJ6" s="682"/>
      <c r="AK6" s="682"/>
      <c r="AL6" s="682" t="e">
        <f>MATCH(TRUE,Calcu!I9:I38,0)</f>
        <v>#N/A</v>
      </c>
      <c r="AM6" s="682"/>
      <c r="AN6" s="682"/>
      <c r="AO6" s="682"/>
      <c r="AP6" s="682"/>
      <c r="AQ6" s="682"/>
      <c r="AR6" s="682">
        <f>COUNT(I14:O43)/2</f>
        <v>0</v>
      </c>
      <c r="AS6" s="682"/>
      <c r="AT6" s="682"/>
      <c r="AU6" s="682"/>
      <c r="AV6" s="682"/>
      <c r="AW6" s="682"/>
    </row>
    <row r="7" spans="1:61" ht="18.75" customHeight="1">
      <c r="B7" s="696" t="s">
        <v>390</v>
      </c>
      <c r="C7" s="696"/>
      <c r="D7" s="696"/>
      <c r="E7" s="696"/>
      <c r="F7" s="696"/>
      <c r="G7" s="696"/>
      <c r="H7" s="696" t="s">
        <v>70</v>
      </c>
      <c r="I7" s="696"/>
      <c r="J7" s="696"/>
      <c r="K7" s="696"/>
      <c r="L7" s="696"/>
      <c r="M7" s="696"/>
      <c r="N7" s="703" t="s">
        <v>752</v>
      </c>
      <c r="O7" s="704"/>
      <c r="P7" s="704"/>
      <c r="Q7" s="704"/>
      <c r="R7" s="704"/>
      <c r="S7" s="704"/>
      <c r="T7" s="704"/>
      <c r="U7" s="704"/>
      <c r="V7" s="704"/>
      <c r="W7" s="704"/>
      <c r="X7" s="704"/>
      <c r="Y7" s="704"/>
      <c r="Z7" s="704"/>
      <c r="AA7" s="704"/>
      <c r="AB7" s="704"/>
      <c r="AC7" s="704"/>
      <c r="AD7" s="704"/>
      <c r="AE7" s="704"/>
      <c r="AF7" s="704"/>
      <c r="AG7" s="704"/>
      <c r="AH7" s="704"/>
      <c r="AI7" s="704"/>
      <c r="AJ7" s="704"/>
      <c r="AK7" s="705"/>
      <c r="AL7" s="703" t="s">
        <v>753</v>
      </c>
      <c r="AM7" s="704"/>
      <c r="AN7" s="704"/>
      <c r="AO7" s="704"/>
      <c r="AP7" s="704"/>
      <c r="AQ7" s="704"/>
      <c r="AR7" s="704"/>
      <c r="AS7" s="704"/>
      <c r="AT7" s="704"/>
      <c r="AU7" s="704"/>
      <c r="AV7" s="704"/>
      <c r="AW7" s="705"/>
      <c r="AX7" s="101"/>
      <c r="AY7" s="101"/>
      <c r="AZ7" s="101"/>
      <c r="BA7" s="101"/>
      <c r="BB7" s="101"/>
      <c r="BC7" s="101"/>
      <c r="BD7" s="101"/>
      <c r="BE7" s="101"/>
      <c r="BF7" s="101"/>
      <c r="BG7" s="101"/>
      <c r="BH7" s="101"/>
      <c r="BI7" s="101"/>
    </row>
    <row r="8" spans="1:61" ht="18.75" customHeight="1">
      <c r="B8" s="701" t="e">
        <f ca="1">MAX(ABS(Calcu!V$24-Calcu!V$9),ABS(Calcu!W$24-Calcu!W$9),ABS(Calcu!X$24-Calcu!X$9))*AJ59</f>
        <v>#VALUE!</v>
      </c>
      <c r="C8" s="682"/>
      <c r="D8" s="682"/>
      <c r="E8" s="682"/>
      <c r="F8" s="682"/>
      <c r="G8" s="682"/>
      <c r="H8" s="682" t="e">
        <f ca="1">((M156-M155)+(R156-R155)+(W156-W155))/3*AJ59</f>
        <v>#N/A</v>
      </c>
      <c r="I8" s="682"/>
      <c r="J8" s="682"/>
      <c r="K8" s="682"/>
      <c r="L8" s="682"/>
      <c r="M8" s="682"/>
      <c r="N8" s="706" t="str">
        <f ca="1">압력교정기!AF20</f>
        <v/>
      </c>
      <c r="O8" s="707"/>
      <c r="P8" s="707"/>
      <c r="Q8" s="707"/>
      <c r="R8" s="707"/>
      <c r="S8" s="707"/>
      <c r="T8" s="707" t="str">
        <f ca="1">압력교정기!AG20</f>
        <v/>
      </c>
      <c r="U8" s="707"/>
      <c r="V8" s="707"/>
      <c r="W8" s="707"/>
      <c r="X8" s="707"/>
      <c r="Y8" s="708"/>
      <c r="Z8" s="706" t="str">
        <f ca="1">압력교정기!AO20</f>
        <v/>
      </c>
      <c r="AA8" s="707"/>
      <c r="AB8" s="707"/>
      <c r="AC8" s="707"/>
      <c r="AD8" s="707"/>
      <c r="AE8" s="707"/>
      <c r="AF8" s="707" t="str">
        <f ca="1">압력교정기!AP20</f>
        <v/>
      </c>
      <c r="AG8" s="707"/>
      <c r="AH8" s="707"/>
      <c r="AI8" s="707"/>
      <c r="AJ8" s="707"/>
      <c r="AK8" s="708"/>
      <c r="AL8" s="663" t="e">
        <f ca="1">OFFSET(표준압력!W3,AL6,0)</f>
        <v>#N/A</v>
      </c>
      <c r="AM8" s="663"/>
      <c r="AN8" s="663"/>
      <c r="AO8" s="663"/>
      <c r="AP8" s="663"/>
      <c r="AQ8" s="663"/>
      <c r="AR8" s="663" t="e">
        <f ca="1">OFFSET(표준압력!W3,AL6,0)</f>
        <v>#N/A</v>
      </c>
      <c r="AS8" s="663"/>
      <c r="AT8" s="663"/>
      <c r="AU8" s="663"/>
      <c r="AV8" s="663"/>
      <c r="AW8" s="663"/>
      <c r="AX8" s="101"/>
      <c r="AY8" s="101"/>
      <c r="AZ8" s="101"/>
      <c r="BA8" s="101"/>
      <c r="BB8" s="101"/>
      <c r="BC8" s="101"/>
      <c r="BD8" s="101"/>
      <c r="BE8" s="101"/>
      <c r="BF8" s="101"/>
      <c r="BG8" s="101"/>
      <c r="BH8" s="101"/>
      <c r="BI8" s="101"/>
    </row>
    <row r="9" spans="1:61" ht="18" customHeight="1">
      <c r="A9" s="387"/>
      <c r="B9" s="251"/>
      <c r="C9" s="251"/>
      <c r="D9" s="251"/>
      <c r="E9" s="251"/>
      <c r="F9" s="251"/>
      <c r="G9" s="251"/>
      <c r="H9" s="251"/>
      <c r="I9" s="251"/>
      <c r="J9" s="251"/>
      <c r="K9" s="251"/>
      <c r="L9" s="251"/>
      <c r="M9" s="251"/>
      <c r="N9" s="251"/>
      <c r="O9" s="251"/>
      <c r="P9" s="251"/>
      <c r="Q9" s="251"/>
      <c r="R9" s="251"/>
      <c r="S9" s="251"/>
      <c r="T9" s="251"/>
      <c r="U9" s="251"/>
      <c r="V9" s="251"/>
      <c r="W9" s="251"/>
      <c r="X9" s="251"/>
      <c r="Y9" s="251"/>
      <c r="Z9" s="251"/>
      <c r="AA9" s="251"/>
      <c r="AB9" s="251"/>
      <c r="AC9" s="251"/>
      <c r="AD9" s="251"/>
      <c r="AE9" s="251"/>
      <c r="AF9" s="251"/>
      <c r="AG9" s="251"/>
      <c r="AH9" s="251"/>
      <c r="AI9" s="251"/>
      <c r="AJ9" s="251"/>
      <c r="AK9" s="251"/>
      <c r="AL9" s="251"/>
      <c r="AM9" s="251"/>
      <c r="AN9" s="251"/>
      <c r="AO9" s="251"/>
      <c r="AP9" s="251"/>
      <c r="AQ9" s="251"/>
      <c r="AR9" s="251"/>
      <c r="AS9" s="251"/>
      <c r="AT9" s="251"/>
    </row>
    <row r="10" spans="1:61" ht="18" customHeight="1">
      <c r="A10" s="131" t="s">
        <v>392</v>
      </c>
      <c r="B10" s="251"/>
      <c r="C10" s="251"/>
      <c r="D10" s="251"/>
      <c r="E10" s="251"/>
      <c r="F10" s="251"/>
      <c r="G10" s="251"/>
      <c r="H10" s="251"/>
      <c r="I10" s="251"/>
      <c r="J10" s="251"/>
      <c r="K10" s="251"/>
      <c r="L10" s="251"/>
      <c r="M10" s="251"/>
      <c r="N10" s="251"/>
      <c r="O10" s="251"/>
      <c r="P10" s="251"/>
      <c r="Q10" s="251"/>
      <c r="R10" s="251"/>
      <c r="S10" s="251"/>
      <c r="T10" s="251"/>
      <c r="U10" s="251"/>
      <c r="V10" s="251"/>
      <c r="W10" s="251"/>
      <c r="X10" s="251"/>
      <c r="Y10" s="251"/>
      <c r="Z10" s="251"/>
      <c r="AA10" s="251"/>
      <c r="AB10" s="251"/>
      <c r="AC10" s="251"/>
      <c r="AD10" s="251"/>
      <c r="AE10" s="251"/>
      <c r="AF10" s="251"/>
      <c r="AG10" s="251"/>
      <c r="AH10" s="251"/>
      <c r="AI10" s="251"/>
      <c r="AJ10" s="251"/>
      <c r="AK10" s="251"/>
      <c r="AL10" s="251"/>
      <c r="AM10" s="251"/>
      <c r="AN10" s="251"/>
      <c r="AO10" s="251"/>
      <c r="AP10" s="251"/>
      <c r="AQ10" s="251"/>
      <c r="AR10" s="251"/>
      <c r="AS10" s="251"/>
      <c r="AT10" s="251"/>
    </row>
    <row r="11" spans="1:61" ht="18" customHeight="1">
      <c r="A11" s="387"/>
      <c r="B11" s="683" t="s">
        <v>137</v>
      </c>
      <c r="C11" s="684"/>
      <c r="D11" s="684"/>
      <c r="E11" s="684"/>
      <c r="F11" s="684"/>
      <c r="G11" s="684"/>
      <c r="H11" s="685"/>
      <c r="I11" s="683" t="s">
        <v>393</v>
      </c>
      <c r="J11" s="684"/>
      <c r="K11" s="684"/>
      <c r="L11" s="684"/>
      <c r="M11" s="684"/>
      <c r="N11" s="684"/>
      <c r="O11" s="685"/>
      <c r="P11" s="692" t="s">
        <v>394</v>
      </c>
      <c r="Q11" s="693"/>
      <c r="R11" s="693"/>
      <c r="S11" s="693"/>
      <c r="T11" s="693"/>
      <c r="U11" s="693"/>
      <c r="V11" s="693"/>
      <c r="W11" s="693"/>
      <c r="X11" s="693"/>
      <c r="Y11" s="693"/>
      <c r="Z11" s="693"/>
      <c r="AA11" s="693"/>
      <c r="AB11" s="693"/>
      <c r="AC11" s="693"/>
      <c r="AD11" s="693"/>
      <c r="AE11" s="693"/>
      <c r="AF11" s="693"/>
      <c r="AG11" s="693"/>
      <c r="AH11" s="693"/>
      <c r="AI11" s="693"/>
      <c r="AJ11" s="693"/>
      <c r="AK11" s="693"/>
      <c r="AL11" s="693"/>
      <c r="AM11" s="693"/>
      <c r="AN11" s="693"/>
      <c r="AO11" s="693"/>
      <c r="AP11" s="693"/>
      <c r="AQ11" s="694"/>
      <c r="AR11" s="92"/>
      <c r="AS11" s="92"/>
      <c r="AT11" s="251"/>
    </row>
    <row r="12" spans="1:61" ht="18" customHeight="1">
      <c r="A12" s="387"/>
      <c r="B12" s="686"/>
      <c r="C12" s="687"/>
      <c r="D12" s="687"/>
      <c r="E12" s="687"/>
      <c r="F12" s="687"/>
      <c r="G12" s="687"/>
      <c r="H12" s="688"/>
      <c r="I12" s="689"/>
      <c r="J12" s="690"/>
      <c r="K12" s="690"/>
      <c r="L12" s="690"/>
      <c r="M12" s="690"/>
      <c r="N12" s="690"/>
      <c r="O12" s="691"/>
      <c r="P12" s="665" t="s">
        <v>395</v>
      </c>
      <c r="Q12" s="666"/>
      <c r="R12" s="666"/>
      <c r="S12" s="666"/>
      <c r="T12" s="666"/>
      <c r="U12" s="666"/>
      <c r="V12" s="667"/>
      <c r="W12" s="665" t="s">
        <v>396</v>
      </c>
      <c r="X12" s="666"/>
      <c r="Y12" s="666"/>
      <c r="Z12" s="666"/>
      <c r="AA12" s="666"/>
      <c r="AB12" s="666"/>
      <c r="AC12" s="667"/>
      <c r="AD12" s="665" t="s">
        <v>397</v>
      </c>
      <c r="AE12" s="666"/>
      <c r="AF12" s="666"/>
      <c r="AG12" s="666"/>
      <c r="AH12" s="666"/>
      <c r="AI12" s="666"/>
      <c r="AJ12" s="667"/>
      <c r="AK12" s="665" t="s">
        <v>399</v>
      </c>
      <c r="AL12" s="666"/>
      <c r="AM12" s="666"/>
      <c r="AN12" s="666"/>
      <c r="AO12" s="666"/>
      <c r="AP12" s="666"/>
      <c r="AQ12" s="667"/>
      <c r="AR12" s="92"/>
      <c r="AS12" s="92"/>
      <c r="AT12" s="251"/>
    </row>
    <row r="13" spans="1:61" ht="18" customHeight="1">
      <c r="A13" s="387"/>
      <c r="B13" s="689"/>
      <c r="C13" s="690"/>
      <c r="D13" s="690"/>
      <c r="E13" s="690"/>
      <c r="F13" s="690"/>
      <c r="G13" s="690"/>
      <c r="H13" s="691"/>
      <c r="I13" s="668">
        <f>Calcu!E8</f>
        <v>0</v>
      </c>
      <c r="J13" s="669"/>
      <c r="K13" s="669"/>
      <c r="L13" s="669"/>
      <c r="M13" s="669"/>
      <c r="N13" s="669"/>
      <c r="O13" s="670"/>
      <c r="P13" s="668">
        <f>Calcu!K8</f>
        <v>0</v>
      </c>
      <c r="Q13" s="671"/>
      <c r="R13" s="671"/>
      <c r="S13" s="671"/>
      <c r="T13" s="671"/>
      <c r="U13" s="671"/>
      <c r="V13" s="672"/>
      <c r="W13" s="668">
        <f>Calcu!L8</f>
        <v>0</v>
      </c>
      <c r="X13" s="671"/>
      <c r="Y13" s="671"/>
      <c r="Z13" s="671"/>
      <c r="AA13" s="671"/>
      <c r="AB13" s="671"/>
      <c r="AC13" s="672"/>
      <c r="AD13" s="668">
        <f>Calcu!M8</f>
        <v>0</v>
      </c>
      <c r="AE13" s="671"/>
      <c r="AF13" s="671"/>
      <c r="AG13" s="671"/>
      <c r="AH13" s="671"/>
      <c r="AI13" s="671"/>
      <c r="AJ13" s="672"/>
      <c r="AK13" s="668">
        <f>Calcu!Y8</f>
        <v>0</v>
      </c>
      <c r="AL13" s="671"/>
      <c r="AM13" s="671"/>
      <c r="AN13" s="671"/>
      <c r="AO13" s="671"/>
      <c r="AP13" s="671"/>
      <c r="AQ13" s="672"/>
      <c r="AR13" s="92"/>
      <c r="AS13" s="92"/>
      <c r="AT13" s="251"/>
    </row>
    <row r="14" spans="1:61" ht="18" customHeight="1">
      <c r="A14" s="387"/>
      <c r="B14" s="674">
        <f>Calcu!C9</f>
        <v>1</v>
      </c>
      <c r="C14" s="675"/>
      <c r="D14" s="675"/>
      <c r="E14" s="675"/>
      <c r="F14" s="675"/>
      <c r="G14" s="675"/>
      <c r="H14" s="676"/>
      <c r="I14" s="677" t="str">
        <f>Calcu!E9</f>
        <v/>
      </c>
      <c r="J14" s="678"/>
      <c r="K14" s="678"/>
      <c r="L14" s="678"/>
      <c r="M14" s="678"/>
      <c r="N14" s="678"/>
      <c r="O14" s="679"/>
      <c r="P14" s="677" t="str">
        <f>Calcu!K9</f>
        <v/>
      </c>
      <c r="Q14" s="680"/>
      <c r="R14" s="680"/>
      <c r="S14" s="680"/>
      <c r="T14" s="680"/>
      <c r="U14" s="680"/>
      <c r="V14" s="681"/>
      <c r="W14" s="677" t="str">
        <f>Calcu!L9</f>
        <v/>
      </c>
      <c r="X14" s="680"/>
      <c r="Y14" s="680"/>
      <c r="Z14" s="680"/>
      <c r="AA14" s="680"/>
      <c r="AB14" s="680"/>
      <c r="AC14" s="681"/>
      <c r="AD14" s="677" t="str">
        <f>Calcu!M9</f>
        <v/>
      </c>
      <c r="AE14" s="680"/>
      <c r="AF14" s="680"/>
      <c r="AG14" s="680"/>
      <c r="AH14" s="680"/>
      <c r="AI14" s="680"/>
      <c r="AJ14" s="681"/>
      <c r="AK14" s="677" t="str">
        <f>IF(I14="","",AVERAGE(P14:AJ14))</f>
        <v/>
      </c>
      <c r="AL14" s="680"/>
      <c r="AM14" s="680"/>
      <c r="AN14" s="680"/>
      <c r="AO14" s="680"/>
      <c r="AP14" s="680"/>
      <c r="AQ14" s="681"/>
      <c r="AR14" s="92"/>
      <c r="AS14" s="92"/>
      <c r="AT14" s="251"/>
    </row>
    <row r="15" spans="1:61" ht="18" customHeight="1">
      <c r="A15" s="387"/>
      <c r="B15" s="674">
        <f>Calcu!C10</f>
        <v>2</v>
      </c>
      <c r="C15" s="675"/>
      <c r="D15" s="675"/>
      <c r="E15" s="675"/>
      <c r="F15" s="675"/>
      <c r="G15" s="675"/>
      <c r="H15" s="676"/>
      <c r="I15" s="677" t="str">
        <f>Calcu!E10</f>
        <v/>
      </c>
      <c r="J15" s="678"/>
      <c r="K15" s="678"/>
      <c r="L15" s="678"/>
      <c r="M15" s="678"/>
      <c r="N15" s="678"/>
      <c r="O15" s="679"/>
      <c r="P15" s="677" t="str">
        <f>Calcu!K10</f>
        <v/>
      </c>
      <c r="Q15" s="680"/>
      <c r="R15" s="680"/>
      <c r="S15" s="680"/>
      <c r="T15" s="680"/>
      <c r="U15" s="680"/>
      <c r="V15" s="681"/>
      <c r="W15" s="677" t="str">
        <f>Calcu!L10</f>
        <v/>
      </c>
      <c r="X15" s="680"/>
      <c r="Y15" s="680"/>
      <c r="Z15" s="680"/>
      <c r="AA15" s="680"/>
      <c r="AB15" s="680"/>
      <c r="AC15" s="681"/>
      <c r="AD15" s="677" t="str">
        <f>Calcu!M10</f>
        <v/>
      </c>
      <c r="AE15" s="680"/>
      <c r="AF15" s="680"/>
      <c r="AG15" s="680"/>
      <c r="AH15" s="680"/>
      <c r="AI15" s="680"/>
      <c r="AJ15" s="681"/>
      <c r="AK15" s="677" t="str">
        <f t="shared" ref="AK15:AK43" si="0">IF(I15="","",AVERAGE(P15:AJ15))</f>
        <v/>
      </c>
      <c r="AL15" s="680"/>
      <c r="AM15" s="680"/>
      <c r="AN15" s="680"/>
      <c r="AO15" s="680"/>
      <c r="AP15" s="680"/>
      <c r="AQ15" s="681"/>
      <c r="AR15" s="92"/>
      <c r="AS15" s="92"/>
      <c r="AT15" s="251"/>
    </row>
    <row r="16" spans="1:61" ht="18" customHeight="1">
      <c r="A16" s="387"/>
      <c r="B16" s="674">
        <f>Calcu!C11</f>
        <v>3</v>
      </c>
      <c r="C16" s="675"/>
      <c r="D16" s="675"/>
      <c r="E16" s="675"/>
      <c r="F16" s="675"/>
      <c r="G16" s="675"/>
      <c r="H16" s="676"/>
      <c r="I16" s="677" t="str">
        <f>Calcu!E11</f>
        <v/>
      </c>
      <c r="J16" s="678"/>
      <c r="K16" s="678"/>
      <c r="L16" s="678"/>
      <c r="M16" s="678"/>
      <c r="N16" s="678"/>
      <c r="O16" s="679"/>
      <c r="P16" s="677" t="str">
        <f>Calcu!K11</f>
        <v/>
      </c>
      <c r="Q16" s="680"/>
      <c r="R16" s="680"/>
      <c r="S16" s="680"/>
      <c r="T16" s="680"/>
      <c r="U16" s="680"/>
      <c r="V16" s="681"/>
      <c r="W16" s="677" t="str">
        <f>Calcu!L11</f>
        <v/>
      </c>
      <c r="X16" s="680"/>
      <c r="Y16" s="680"/>
      <c r="Z16" s="680"/>
      <c r="AA16" s="680"/>
      <c r="AB16" s="680"/>
      <c r="AC16" s="681"/>
      <c r="AD16" s="677" t="str">
        <f>Calcu!M11</f>
        <v/>
      </c>
      <c r="AE16" s="680"/>
      <c r="AF16" s="680"/>
      <c r="AG16" s="680"/>
      <c r="AH16" s="680"/>
      <c r="AI16" s="680"/>
      <c r="AJ16" s="681"/>
      <c r="AK16" s="677" t="str">
        <f t="shared" si="0"/>
        <v/>
      </c>
      <c r="AL16" s="680"/>
      <c r="AM16" s="680"/>
      <c r="AN16" s="680"/>
      <c r="AO16" s="680"/>
      <c r="AP16" s="680"/>
      <c r="AQ16" s="681"/>
      <c r="AR16" s="92"/>
      <c r="AS16" s="92"/>
      <c r="AT16" s="251"/>
    </row>
    <row r="17" spans="1:46" ht="18" customHeight="1">
      <c r="A17" s="387"/>
      <c r="B17" s="674">
        <f>Calcu!C12</f>
        <v>4</v>
      </c>
      <c r="C17" s="675"/>
      <c r="D17" s="675"/>
      <c r="E17" s="675"/>
      <c r="F17" s="675"/>
      <c r="G17" s="675"/>
      <c r="H17" s="676"/>
      <c r="I17" s="677" t="str">
        <f>Calcu!E12</f>
        <v/>
      </c>
      <c r="J17" s="678"/>
      <c r="K17" s="678"/>
      <c r="L17" s="678"/>
      <c r="M17" s="678"/>
      <c r="N17" s="678"/>
      <c r="O17" s="679"/>
      <c r="P17" s="677" t="str">
        <f>Calcu!K12</f>
        <v/>
      </c>
      <c r="Q17" s="680"/>
      <c r="R17" s="680"/>
      <c r="S17" s="680"/>
      <c r="T17" s="680"/>
      <c r="U17" s="680"/>
      <c r="V17" s="681"/>
      <c r="W17" s="677" t="str">
        <f>Calcu!L12</f>
        <v/>
      </c>
      <c r="X17" s="680"/>
      <c r="Y17" s="680"/>
      <c r="Z17" s="680"/>
      <c r="AA17" s="680"/>
      <c r="AB17" s="680"/>
      <c r="AC17" s="681"/>
      <c r="AD17" s="677" t="str">
        <f>Calcu!M12</f>
        <v/>
      </c>
      <c r="AE17" s="680"/>
      <c r="AF17" s="680"/>
      <c r="AG17" s="680"/>
      <c r="AH17" s="680"/>
      <c r="AI17" s="680"/>
      <c r="AJ17" s="681"/>
      <c r="AK17" s="677" t="str">
        <f t="shared" si="0"/>
        <v/>
      </c>
      <c r="AL17" s="680"/>
      <c r="AM17" s="680"/>
      <c r="AN17" s="680"/>
      <c r="AO17" s="680"/>
      <c r="AP17" s="680"/>
      <c r="AQ17" s="681"/>
      <c r="AR17" s="92"/>
      <c r="AS17" s="92"/>
      <c r="AT17" s="251"/>
    </row>
    <row r="18" spans="1:46" ht="18" customHeight="1">
      <c r="A18" s="387"/>
      <c r="B18" s="674">
        <f>Calcu!C13</f>
        <v>5</v>
      </c>
      <c r="C18" s="675"/>
      <c r="D18" s="675"/>
      <c r="E18" s="675"/>
      <c r="F18" s="675"/>
      <c r="G18" s="675"/>
      <c r="H18" s="676"/>
      <c r="I18" s="677" t="str">
        <f>Calcu!E13</f>
        <v/>
      </c>
      <c r="J18" s="678"/>
      <c r="K18" s="678"/>
      <c r="L18" s="678"/>
      <c r="M18" s="678"/>
      <c r="N18" s="678"/>
      <c r="O18" s="679"/>
      <c r="P18" s="677" t="str">
        <f>Calcu!K13</f>
        <v/>
      </c>
      <c r="Q18" s="680"/>
      <c r="R18" s="680"/>
      <c r="S18" s="680"/>
      <c r="T18" s="680"/>
      <c r="U18" s="680"/>
      <c r="V18" s="681"/>
      <c r="W18" s="677" t="str">
        <f>Calcu!L13</f>
        <v/>
      </c>
      <c r="X18" s="680"/>
      <c r="Y18" s="680"/>
      <c r="Z18" s="680"/>
      <c r="AA18" s="680"/>
      <c r="AB18" s="680"/>
      <c r="AC18" s="681"/>
      <c r="AD18" s="677" t="str">
        <f>Calcu!M13</f>
        <v/>
      </c>
      <c r="AE18" s="680"/>
      <c r="AF18" s="680"/>
      <c r="AG18" s="680"/>
      <c r="AH18" s="680"/>
      <c r="AI18" s="680"/>
      <c r="AJ18" s="681"/>
      <c r="AK18" s="677" t="str">
        <f t="shared" si="0"/>
        <v/>
      </c>
      <c r="AL18" s="680"/>
      <c r="AM18" s="680"/>
      <c r="AN18" s="680"/>
      <c r="AO18" s="680"/>
      <c r="AP18" s="680"/>
      <c r="AQ18" s="681"/>
      <c r="AR18" s="92"/>
      <c r="AS18" s="92"/>
      <c r="AT18" s="251"/>
    </row>
    <row r="19" spans="1:46" ht="18" customHeight="1">
      <c r="A19" s="387"/>
      <c r="B19" s="674">
        <f>Calcu!C14</f>
        <v>6</v>
      </c>
      <c r="C19" s="675"/>
      <c r="D19" s="675"/>
      <c r="E19" s="675"/>
      <c r="F19" s="675"/>
      <c r="G19" s="675"/>
      <c r="H19" s="676"/>
      <c r="I19" s="677" t="str">
        <f>Calcu!E14</f>
        <v/>
      </c>
      <c r="J19" s="678"/>
      <c r="K19" s="678"/>
      <c r="L19" s="678"/>
      <c r="M19" s="678"/>
      <c r="N19" s="678"/>
      <c r="O19" s="679"/>
      <c r="P19" s="677" t="str">
        <f>Calcu!K14</f>
        <v/>
      </c>
      <c r="Q19" s="680"/>
      <c r="R19" s="680"/>
      <c r="S19" s="680"/>
      <c r="T19" s="680"/>
      <c r="U19" s="680"/>
      <c r="V19" s="681"/>
      <c r="W19" s="677" t="str">
        <f>Calcu!L14</f>
        <v/>
      </c>
      <c r="X19" s="680"/>
      <c r="Y19" s="680"/>
      <c r="Z19" s="680"/>
      <c r="AA19" s="680"/>
      <c r="AB19" s="680"/>
      <c r="AC19" s="681"/>
      <c r="AD19" s="677" t="str">
        <f>Calcu!M14</f>
        <v/>
      </c>
      <c r="AE19" s="680"/>
      <c r="AF19" s="680"/>
      <c r="AG19" s="680"/>
      <c r="AH19" s="680"/>
      <c r="AI19" s="680"/>
      <c r="AJ19" s="681"/>
      <c r="AK19" s="677" t="str">
        <f t="shared" si="0"/>
        <v/>
      </c>
      <c r="AL19" s="680"/>
      <c r="AM19" s="680"/>
      <c r="AN19" s="680"/>
      <c r="AO19" s="680"/>
      <c r="AP19" s="680"/>
      <c r="AQ19" s="681"/>
      <c r="AR19" s="92"/>
      <c r="AS19" s="92"/>
      <c r="AT19" s="251"/>
    </row>
    <row r="20" spans="1:46" ht="18" customHeight="1">
      <c r="A20" s="387"/>
      <c r="B20" s="674">
        <f>Calcu!C15</f>
        <v>7</v>
      </c>
      <c r="C20" s="675"/>
      <c r="D20" s="675"/>
      <c r="E20" s="675"/>
      <c r="F20" s="675"/>
      <c r="G20" s="675"/>
      <c r="H20" s="676"/>
      <c r="I20" s="677" t="str">
        <f>Calcu!E15</f>
        <v/>
      </c>
      <c r="J20" s="678"/>
      <c r="K20" s="678"/>
      <c r="L20" s="678"/>
      <c r="M20" s="678"/>
      <c r="N20" s="678"/>
      <c r="O20" s="679"/>
      <c r="P20" s="677" t="str">
        <f>Calcu!K15</f>
        <v/>
      </c>
      <c r="Q20" s="680"/>
      <c r="R20" s="680"/>
      <c r="S20" s="680"/>
      <c r="T20" s="680"/>
      <c r="U20" s="680"/>
      <c r="V20" s="681"/>
      <c r="W20" s="677" t="str">
        <f>Calcu!L15</f>
        <v/>
      </c>
      <c r="X20" s="680"/>
      <c r="Y20" s="680"/>
      <c r="Z20" s="680"/>
      <c r="AA20" s="680"/>
      <c r="AB20" s="680"/>
      <c r="AC20" s="681"/>
      <c r="AD20" s="677" t="str">
        <f>Calcu!M15</f>
        <v/>
      </c>
      <c r="AE20" s="680"/>
      <c r="AF20" s="680"/>
      <c r="AG20" s="680"/>
      <c r="AH20" s="680"/>
      <c r="AI20" s="680"/>
      <c r="AJ20" s="681"/>
      <c r="AK20" s="677" t="str">
        <f t="shared" si="0"/>
        <v/>
      </c>
      <c r="AL20" s="680"/>
      <c r="AM20" s="680"/>
      <c r="AN20" s="680"/>
      <c r="AO20" s="680"/>
      <c r="AP20" s="680"/>
      <c r="AQ20" s="681"/>
      <c r="AR20" s="92"/>
      <c r="AS20" s="92"/>
      <c r="AT20" s="251"/>
    </row>
    <row r="21" spans="1:46" ht="18" customHeight="1">
      <c r="A21" s="387"/>
      <c r="B21" s="674">
        <f>Calcu!C16</f>
        <v>8</v>
      </c>
      <c r="C21" s="675"/>
      <c r="D21" s="675"/>
      <c r="E21" s="675"/>
      <c r="F21" s="675"/>
      <c r="G21" s="675"/>
      <c r="H21" s="676"/>
      <c r="I21" s="677" t="str">
        <f>Calcu!E16</f>
        <v/>
      </c>
      <c r="J21" s="678"/>
      <c r="K21" s="678"/>
      <c r="L21" s="678"/>
      <c r="M21" s="678"/>
      <c r="N21" s="678"/>
      <c r="O21" s="679"/>
      <c r="P21" s="677" t="str">
        <f>Calcu!K16</f>
        <v/>
      </c>
      <c r="Q21" s="680"/>
      <c r="R21" s="680"/>
      <c r="S21" s="680"/>
      <c r="T21" s="680"/>
      <c r="U21" s="680"/>
      <c r="V21" s="681"/>
      <c r="W21" s="677" t="str">
        <f>Calcu!L16</f>
        <v/>
      </c>
      <c r="X21" s="680"/>
      <c r="Y21" s="680"/>
      <c r="Z21" s="680"/>
      <c r="AA21" s="680"/>
      <c r="AB21" s="680"/>
      <c r="AC21" s="681"/>
      <c r="AD21" s="677" t="str">
        <f>Calcu!M16</f>
        <v/>
      </c>
      <c r="AE21" s="680"/>
      <c r="AF21" s="680"/>
      <c r="AG21" s="680"/>
      <c r="AH21" s="680"/>
      <c r="AI21" s="680"/>
      <c r="AJ21" s="681"/>
      <c r="AK21" s="677" t="str">
        <f t="shared" si="0"/>
        <v/>
      </c>
      <c r="AL21" s="680"/>
      <c r="AM21" s="680"/>
      <c r="AN21" s="680"/>
      <c r="AO21" s="680"/>
      <c r="AP21" s="680"/>
      <c r="AQ21" s="681"/>
      <c r="AR21" s="92"/>
      <c r="AS21" s="92"/>
      <c r="AT21" s="251"/>
    </row>
    <row r="22" spans="1:46" ht="18" customHeight="1">
      <c r="A22" s="387"/>
      <c r="B22" s="674">
        <f>Calcu!C17</f>
        <v>9</v>
      </c>
      <c r="C22" s="675"/>
      <c r="D22" s="675"/>
      <c r="E22" s="675"/>
      <c r="F22" s="675"/>
      <c r="G22" s="675"/>
      <c r="H22" s="676"/>
      <c r="I22" s="677" t="str">
        <f>Calcu!E17</f>
        <v/>
      </c>
      <c r="J22" s="678"/>
      <c r="K22" s="678"/>
      <c r="L22" s="678"/>
      <c r="M22" s="678"/>
      <c r="N22" s="678"/>
      <c r="O22" s="679"/>
      <c r="P22" s="677" t="str">
        <f>Calcu!K17</f>
        <v/>
      </c>
      <c r="Q22" s="680"/>
      <c r="R22" s="680"/>
      <c r="S22" s="680"/>
      <c r="T22" s="680"/>
      <c r="U22" s="680"/>
      <c r="V22" s="681"/>
      <c r="W22" s="677" t="str">
        <f>Calcu!L17</f>
        <v/>
      </c>
      <c r="X22" s="680"/>
      <c r="Y22" s="680"/>
      <c r="Z22" s="680"/>
      <c r="AA22" s="680"/>
      <c r="AB22" s="680"/>
      <c r="AC22" s="681"/>
      <c r="AD22" s="677" t="str">
        <f>Calcu!M17</f>
        <v/>
      </c>
      <c r="AE22" s="680"/>
      <c r="AF22" s="680"/>
      <c r="AG22" s="680"/>
      <c r="AH22" s="680"/>
      <c r="AI22" s="680"/>
      <c r="AJ22" s="681"/>
      <c r="AK22" s="677" t="str">
        <f t="shared" si="0"/>
        <v/>
      </c>
      <c r="AL22" s="680"/>
      <c r="AM22" s="680"/>
      <c r="AN22" s="680"/>
      <c r="AO22" s="680"/>
      <c r="AP22" s="680"/>
      <c r="AQ22" s="681"/>
      <c r="AR22" s="92"/>
      <c r="AS22" s="92"/>
      <c r="AT22" s="251"/>
    </row>
    <row r="23" spans="1:46" ht="18" customHeight="1">
      <c r="A23" s="387"/>
      <c r="B23" s="674">
        <f>Calcu!C18</f>
        <v>10</v>
      </c>
      <c r="C23" s="675"/>
      <c r="D23" s="675"/>
      <c r="E23" s="675"/>
      <c r="F23" s="675"/>
      <c r="G23" s="675"/>
      <c r="H23" s="676"/>
      <c r="I23" s="677" t="str">
        <f>Calcu!E18</f>
        <v/>
      </c>
      <c r="J23" s="678"/>
      <c r="K23" s="678"/>
      <c r="L23" s="678"/>
      <c r="M23" s="678"/>
      <c r="N23" s="678"/>
      <c r="O23" s="679"/>
      <c r="P23" s="677" t="str">
        <f>Calcu!K18</f>
        <v/>
      </c>
      <c r="Q23" s="680"/>
      <c r="R23" s="680"/>
      <c r="S23" s="680"/>
      <c r="T23" s="680"/>
      <c r="U23" s="680"/>
      <c r="V23" s="681"/>
      <c r="W23" s="677" t="str">
        <f>Calcu!L18</f>
        <v/>
      </c>
      <c r="X23" s="680"/>
      <c r="Y23" s="680"/>
      <c r="Z23" s="680"/>
      <c r="AA23" s="680"/>
      <c r="AB23" s="680"/>
      <c r="AC23" s="681"/>
      <c r="AD23" s="677" t="str">
        <f>Calcu!M18</f>
        <v/>
      </c>
      <c r="AE23" s="680"/>
      <c r="AF23" s="680"/>
      <c r="AG23" s="680"/>
      <c r="AH23" s="680"/>
      <c r="AI23" s="680"/>
      <c r="AJ23" s="681"/>
      <c r="AK23" s="677" t="str">
        <f t="shared" si="0"/>
        <v/>
      </c>
      <c r="AL23" s="680"/>
      <c r="AM23" s="680"/>
      <c r="AN23" s="680"/>
      <c r="AO23" s="680"/>
      <c r="AP23" s="680"/>
      <c r="AQ23" s="681"/>
      <c r="AR23" s="92"/>
      <c r="AS23" s="92"/>
      <c r="AT23" s="251"/>
    </row>
    <row r="24" spans="1:46" ht="18" customHeight="1">
      <c r="A24" s="387"/>
      <c r="B24" s="674">
        <f>Calcu!C19</f>
        <v>11</v>
      </c>
      <c r="C24" s="675"/>
      <c r="D24" s="675"/>
      <c r="E24" s="675"/>
      <c r="F24" s="675"/>
      <c r="G24" s="675"/>
      <c r="H24" s="676"/>
      <c r="I24" s="677" t="str">
        <f>Calcu!E19</f>
        <v/>
      </c>
      <c r="J24" s="678"/>
      <c r="K24" s="678"/>
      <c r="L24" s="678"/>
      <c r="M24" s="678"/>
      <c r="N24" s="678"/>
      <c r="O24" s="679"/>
      <c r="P24" s="677" t="str">
        <f>Calcu!K19</f>
        <v/>
      </c>
      <c r="Q24" s="680"/>
      <c r="R24" s="680"/>
      <c r="S24" s="680"/>
      <c r="T24" s="680"/>
      <c r="U24" s="680"/>
      <c r="V24" s="681"/>
      <c r="W24" s="677" t="str">
        <f>Calcu!L19</f>
        <v/>
      </c>
      <c r="X24" s="680"/>
      <c r="Y24" s="680"/>
      <c r="Z24" s="680"/>
      <c r="AA24" s="680"/>
      <c r="AB24" s="680"/>
      <c r="AC24" s="681"/>
      <c r="AD24" s="677" t="str">
        <f>Calcu!M19</f>
        <v/>
      </c>
      <c r="AE24" s="680"/>
      <c r="AF24" s="680"/>
      <c r="AG24" s="680"/>
      <c r="AH24" s="680"/>
      <c r="AI24" s="680"/>
      <c r="AJ24" s="681"/>
      <c r="AK24" s="677" t="str">
        <f t="shared" si="0"/>
        <v/>
      </c>
      <c r="AL24" s="680"/>
      <c r="AM24" s="680"/>
      <c r="AN24" s="680"/>
      <c r="AO24" s="680"/>
      <c r="AP24" s="680"/>
      <c r="AQ24" s="681"/>
      <c r="AR24" s="92"/>
      <c r="AS24" s="92"/>
      <c r="AT24" s="251"/>
    </row>
    <row r="25" spans="1:46" ht="18" customHeight="1">
      <c r="A25" s="387"/>
      <c r="B25" s="674">
        <f>Calcu!C20</f>
        <v>12</v>
      </c>
      <c r="C25" s="675"/>
      <c r="D25" s="675"/>
      <c r="E25" s="675"/>
      <c r="F25" s="675"/>
      <c r="G25" s="675"/>
      <c r="H25" s="676"/>
      <c r="I25" s="677" t="str">
        <f>Calcu!E20</f>
        <v/>
      </c>
      <c r="J25" s="678"/>
      <c r="K25" s="678"/>
      <c r="L25" s="678"/>
      <c r="M25" s="678"/>
      <c r="N25" s="678"/>
      <c r="O25" s="679"/>
      <c r="P25" s="677" t="str">
        <f>Calcu!K20</f>
        <v/>
      </c>
      <c r="Q25" s="680"/>
      <c r="R25" s="680"/>
      <c r="S25" s="680"/>
      <c r="T25" s="680"/>
      <c r="U25" s="680"/>
      <c r="V25" s="681"/>
      <c r="W25" s="677" t="str">
        <f>Calcu!L20</f>
        <v/>
      </c>
      <c r="X25" s="680"/>
      <c r="Y25" s="680"/>
      <c r="Z25" s="680"/>
      <c r="AA25" s="680"/>
      <c r="AB25" s="680"/>
      <c r="AC25" s="681"/>
      <c r="AD25" s="677" t="str">
        <f>Calcu!M20</f>
        <v/>
      </c>
      <c r="AE25" s="680"/>
      <c r="AF25" s="680"/>
      <c r="AG25" s="680"/>
      <c r="AH25" s="680"/>
      <c r="AI25" s="680"/>
      <c r="AJ25" s="681"/>
      <c r="AK25" s="677" t="str">
        <f t="shared" si="0"/>
        <v/>
      </c>
      <c r="AL25" s="680"/>
      <c r="AM25" s="680"/>
      <c r="AN25" s="680"/>
      <c r="AO25" s="680"/>
      <c r="AP25" s="680"/>
      <c r="AQ25" s="681"/>
      <c r="AR25" s="92"/>
      <c r="AS25" s="92"/>
      <c r="AT25" s="251"/>
    </row>
    <row r="26" spans="1:46" ht="18" customHeight="1">
      <c r="A26" s="387"/>
      <c r="B26" s="674">
        <f>Calcu!C21</f>
        <v>13</v>
      </c>
      <c r="C26" s="675"/>
      <c r="D26" s="675"/>
      <c r="E26" s="675"/>
      <c r="F26" s="675"/>
      <c r="G26" s="675"/>
      <c r="H26" s="676"/>
      <c r="I26" s="677" t="str">
        <f>Calcu!E21</f>
        <v/>
      </c>
      <c r="J26" s="678"/>
      <c r="K26" s="678"/>
      <c r="L26" s="678"/>
      <c r="M26" s="678"/>
      <c r="N26" s="678"/>
      <c r="O26" s="679"/>
      <c r="P26" s="677" t="str">
        <f>Calcu!K21</f>
        <v/>
      </c>
      <c r="Q26" s="680"/>
      <c r="R26" s="680"/>
      <c r="S26" s="680"/>
      <c r="T26" s="680"/>
      <c r="U26" s="680"/>
      <c r="V26" s="681"/>
      <c r="W26" s="677" t="str">
        <f>Calcu!L21</f>
        <v/>
      </c>
      <c r="X26" s="680"/>
      <c r="Y26" s="680"/>
      <c r="Z26" s="680"/>
      <c r="AA26" s="680"/>
      <c r="AB26" s="680"/>
      <c r="AC26" s="681"/>
      <c r="AD26" s="677" t="str">
        <f>Calcu!M21</f>
        <v/>
      </c>
      <c r="AE26" s="680"/>
      <c r="AF26" s="680"/>
      <c r="AG26" s="680"/>
      <c r="AH26" s="680"/>
      <c r="AI26" s="680"/>
      <c r="AJ26" s="681"/>
      <c r="AK26" s="677" t="str">
        <f t="shared" si="0"/>
        <v/>
      </c>
      <c r="AL26" s="680"/>
      <c r="AM26" s="680"/>
      <c r="AN26" s="680"/>
      <c r="AO26" s="680"/>
      <c r="AP26" s="680"/>
      <c r="AQ26" s="681"/>
      <c r="AR26" s="92"/>
      <c r="AS26" s="92"/>
      <c r="AT26" s="251"/>
    </row>
    <row r="27" spans="1:46" ht="18" customHeight="1">
      <c r="A27" s="387"/>
      <c r="B27" s="674">
        <f>Calcu!C22</f>
        <v>14</v>
      </c>
      <c r="C27" s="675"/>
      <c r="D27" s="675"/>
      <c r="E27" s="675"/>
      <c r="F27" s="675"/>
      <c r="G27" s="675"/>
      <c r="H27" s="676"/>
      <c r="I27" s="677" t="str">
        <f>Calcu!E22</f>
        <v/>
      </c>
      <c r="J27" s="678"/>
      <c r="K27" s="678"/>
      <c r="L27" s="678"/>
      <c r="M27" s="678"/>
      <c r="N27" s="678"/>
      <c r="O27" s="679"/>
      <c r="P27" s="677" t="str">
        <f>Calcu!K22</f>
        <v/>
      </c>
      <c r="Q27" s="680"/>
      <c r="R27" s="680"/>
      <c r="S27" s="680"/>
      <c r="T27" s="680"/>
      <c r="U27" s="680"/>
      <c r="V27" s="681"/>
      <c r="W27" s="677" t="str">
        <f>Calcu!L22</f>
        <v/>
      </c>
      <c r="X27" s="680"/>
      <c r="Y27" s="680"/>
      <c r="Z27" s="680"/>
      <c r="AA27" s="680"/>
      <c r="AB27" s="680"/>
      <c r="AC27" s="681"/>
      <c r="AD27" s="677" t="str">
        <f>Calcu!M22</f>
        <v/>
      </c>
      <c r="AE27" s="680"/>
      <c r="AF27" s="680"/>
      <c r="AG27" s="680"/>
      <c r="AH27" s="680"/>
      <c r="AI27" s="680"/>
      <c r="AJ27" s="681"/>
      <c r="AK27" s="677" t="str">
        <f t="shared" si="0"/>
        <v/>
      </c>
      <c r="AL27" s="680"/>
      <c r="AM27" s="680"/>
      <c r="AN27" s="680"/>
      <c r="AO27" s="680"/>
      <c r="AP27" s="680"/>
      <c r="AQ27" s="681"/>
      <c r="AR27" s="92"/>
      <c r="AS27" s="92"/>
      <c r="AT27" s="251"/>
    </row>
    <row r="28" spans="1:46" ht="18" customHeight="1">
      <c r="A28" s="387"/>
      <c r="B28" s="674">
        <f>Calcu!C23</f>
        <v>15</v>
      </c>
      <c r="C28" s="675"/>
      <c r="D28" s="675"/>
      <c r="E28" s="675"/>
      <c r="F28" s="675"/>
      <c r="G28" s="675"/>
      <c r="H28" s="676"/>
      <c r="I28" s="677" t="str">
        <f>Calcu!E23</f>
        <v/>
      </c>
      <c r="J28" s="678"/>
      <c r="K28" s="678"/>
      <c r="L28" s="678"/>
      <c r="M28" s="678"/>
      <c r="N28" s="678"/>
      <c r="O28" s="679"/>
      <c r="P28" s="677" t="str">
        <f>Calcu!K23</f>
        <v/>
      </c>
      <c r="Q28" s="680"/>
      <c r="R28" s="680"/>
      <c r="S28" s="680"/>
      <c r="T28" s="680"/>
      <c r="U28" s="680"/>
      <c r="V28" s="681"/>
      <c r="W28" s="677" t="str">
        <f>Calcu!L23</f>
        <v/>
      </c>
      <c r="X28" s="680"/>
      <c r="Y28" s="680"/>
      <c r="Z28" s="680"/>
      <c r="AA28" s="680"/>
      <c r="AB28" s="680"/>
      <c r="AC28" s="681"/>
      <c r="AD28" s="677" t="str">
        <f>Calcu!M23</f>
        <v/>
      </c>
      <c r="AE28" s="680"/>
      <c r="AF28" s="680"/>
      <c r="AG28" s="680"/>
      <c r="AH28" s="680"/>
      <c r="AI28" s="680"/>
      <c r="AJ28" s="681"/>
      <c r="AK28" s="677" t="str">
        <f t="shared" si="0"/>
        <v/>
      </c>
      <c r="AL28" s="680"/>
      <c r="AM28" s="680"/>
      <c r="AN28" s="680"/>
      <c r="AO28" s="680"/>
      <c r="AP28" s="680"/>
      <c r="AQ28" s="681"/>
      <c r="AR28" s="92"/>
      <c r="AS28" s="92"/>
      <c r="AT28" s="251"/>
    </row>
    <row r="29" spans="1:46" ht="18" customHeight="1">
      <c r="A29" s="387"/>
      <c r="B29" s="674">
        <f>Calcu!C24</f>
        <v>16</v>
      </c>
      <c r="C29" s="675"/>
      <c r="D29" s="675"/>
      <c r="E29" s="675"/>
      <c r="F29" s="675"/>
      <c r="G29" s="675"/>
      <c r="H29" s="676"/>
      <c r="I29" s="677" t="str">
        <f>Calcu!E24</f>
        <v/>
      </c>
      <c r="J29" s="678"/>
      <c r="K29" s="678"/>
      <c r="L29" s="678"/>
      <c r="M29" s="678"/>
      <c r="N29" s="678"/>
      <c r="O29" s="679"/>
      <c r="P29" s="677" t="str">
        <f>Calcu!K24</f>
        <v/>
      </c>
      <c r="Q29" s="680"/>
      <c r="R29" s="680"/>
      <c r="S29" s="680"/>
      <c r="T29" s="680"/>
      <c r="U29" s="680"/>
      <c r="V29" s="681"/>
      <c r="W29" s="677" t="str">
        <f>Calcu!L24</f>
        <v/>
      </c>
      <c r="X29" s="680"/>
      <c r="Y29" s="680"/>
      <c r="Z29" s="680"/>
      <c r="AA29" s="680"/>
      <c r="AB29" s="680"/>
      <c r="AC29" s="681"/>
      <c r="AD29" s="677" t="str">
        <f>Calcu!M24</f>
        <v/>
      </c>
      <c r="AE29" s="680"/>
      <c r="AF29" s="680"/>
      <c r="AG29" s="680"/>
      <c r="AH29" s="680"/>
      <c r="AI29" s="680"/>
      <c r="AJ29" s="681"/>
      <c r="AK29" s="677" t="str">
        <f t="shared" si="0"/>
        <v/>
      </c>
      <c r="AL29" s="680"/>
      <c r="AM29" s="680"/>
      <c r="AN29" s="680"/>
      <c r="AO29" s="680"/>
      <c r="AP29" s="680"/>
      <c r="AQ29" s="681"/>
      <c r="AR29" s="92"/>
      <c r="AS29" s="92"/>
      <c r="AT29" s="251"/>
    </row>
    <row r="30" spans="1:46" ht="18" customHeight="1">
      <c r="A30" s="387"/>
      <c r="B30" s="674">
        <f>Calcu!C25</f>
        <v>17</v>
      </c>
      <c r="C30" s="675"/>
      <c r="D30" s="675"/>
      <c r="E30" s="675"/>
      <c r="F30" s="675"/>
      <c r="G30" s="675"/>
      <c r="H30" s="676"/>
      <c r="I30" s="677" t="str">
        <f>Calcu!E25</f>
        <v/>
      </c>
      <c r="J30" s="678"/>
      <c r="K30" s="678"/>
      <c r="L30" s="678"/>
      <c r="M30" s="678"/>
      <c r="N30" s="678"/>
      <c r="O30" s="679"/>
      <c r="P30" s="677" t="str">
        <f>Calcu!K25</f>
        <v/>
      </c>
      <c r="Q30" s="680"/>
      <c r="R30" s="680"/>
      <c r="S30" s="680"/>
      <c r="T30" s="680"/>
      <c r="U30" s="680"/>
      <c r="V30" s="681"/>
      <c r="W30" s="677" t="str">
        <f>Calcu!L25</f>
        <v/>
      </c>
      <c r="X30" s="680"/>
      <c r="Y30" s="680"/>
      <c r="Z30" s="680"/>
      <c r="AA30" s="680"/>
      <c r="AB30" s="680"/>
      <c r="AC30" s="681"/>
      <c r="AD30" s="677" t="str">
        <f>Calcu!M25</f>
        <v/>
      </c>
      <c r="AE30" s="680"/>
      <c r="AF30" s="680"/>
      <c r="AG30" s="680"/>
      <c r="AH30" s="680"/>
      <c r="AI30" s="680"/>
      <c r="AJ30" s="681"/>
      <c r="AK30" s="677" t="str">
        <f t="shared" si="0"/>
        <v/>
      </c>
      <c r="AL30" s="680"/>
      <c r="AM30" s="680"/>
      <c r="AN30" s="680"/>
      <c r="AO30" s="680"/>
      <c r="AP30" s="680"/>
      <c r="AQ30" s="681"/>
      <c r="AR30" s="92"/>
      <c r="AS30" s="92"/>
      <c r="AT30" s="251"/>
    </row>
    <row r="31" spans="1:46" ht="18" customHeight="1">
      <c r="A31" s="387"/>
      <c r="B31" s="674">
        <f>Calcu!C26</f>
        <v>18</v>
      </c>
      <c r="C31" s="675"/>
      <c r="D31" s="675"/>
      <c r="E31" s="675"/>
      <c r="F31" s="675"/>
      <c r="G31" s="675"/>
      <c r="H31" s="676"/>
      <c r="I31" s="677" t="str">
        <f>Calcu!E26</f>
        <v/>
      </c>
      <c r="J31" s="678"/>
      <c r="K31" s="678"/>
      <c r="L31" s="678"/>
      <c r="M31" s="678"/>
      <c r="N31" s="678"/>
      <c r="O31" s="679"/>
      <c r="P31" s="677" t="str">
        <f>Calcu!K26</f>
        <v/>
      </c>
      <c r="Q31" s="680"/>
      <c r="R31" s="680"/>
      <c r="S31" s="680"/>
      <c r="T31" s="680"/>
      <c r="U31" s="680"/>
      <c r="V31" s="681"/>
      <c r="W31" s="677" t="str">
        <f>Calcu!L26</f>
        <v/>
      </c>
      <c r="X31" s="680"/>
      <c r="Y31" s="680"/>
      <c r="Z31" s="680"/>
      <c r="AA31" s="680"/>
      <c r="AB31" s="680"/>
      <c r="AC31" s="681"/>
      <c r="AD31" s="677" t="str">
        <f>Calcu!M26</f>
        <v/>
      </c>
      <c r="AE31" s="680"/>
      <c r="AF31" s="680"/>
      <c r="AG31" s="680"/>
      <c r="AH31" s="680"/>
      <c r="AI31" s="680"/>
      <c r="AJ31" s="681"/>
      <c r="AK31" s="677" t="str">
        <f t="shared" si="0"/>
        <v/>
      </c>
      <c r="AL31" s="680"/>
      <c r="AM31" s="680"/>
      <c r="AN31" s="680"/>
      <c r="AO31" s="680"/>
      <c r="AP31" s="680"/>
      <c r="AQ31" s="681"/>
      <c r="AR31" s="92"/>
      <c r="AS31" s="92"/>
      <c r="AT31" s="251"/>
    </row>
    <row r="32" spans="1:46" ht="18" customHeight="1">
      <c r="A32" s="387"/>
      <c r="B32" s="674">
        <f>Calcu!C27</f>
        <v>19</v>
      </c>
      <c r="C32" s="675"/>
      <c r="D32" s="675"/>
      <c r="E32" s="675"/>
      <c r="F32" s="675"/>
      <c r="G32" s="675"/>
      <c r="H32" s="676"/>
      <c r="I32" s="677" t="str">
        <f>Calcu!E27</f>
        <v/>
      </c>
      <c r="J32" s="678"/>
      <c r="K32" s="678"/>
      <c r="L32" s="678"/>
      <c r="M32" s="678"/>
      <c r="N32" s="678"/>
      <c r="O32" s="679"/>
      <c r="P32" s="677" t="str">
        <f>Calcu!K27</f>
        <v/>
      </c>
      <c r="Q32" s="680"/>
      <c r="R32" s="680"/>
      <c r="S32" s="680"/>
      <c r="T32" s="680"/>
      <c r="U32" s="680"/>
      <c r="V32" s="681"/>
      <c r="W32" s="677" t="str">
        <f>Calcu!L27</f>
        <v/>
      </c>
      <c r="X32" s="680"/>
      <c r="Y32" s="680"/>
      <c r="Z32" s="680"/>
      <c r="AA32" s="680"/>
      <c r="AB32" s="680"/>
      <c r="AC32" s="681"/>
      <c r="AD32" s="677" t="str">
        <f>Calcu!M27</f>
        <v/>
      </c>
      <c r="AE32" s="680"/>
      <c r="AF32" s="680"/>
      <c r="AG32" s="680"/>
      <c r="AH32" s="680"/>
      <c r="AI32" s="680"/>
      <c r="AJ32" s="681"/>
      <c r="AK32" s="677" t="str">
        <f t="shared" si="0"/>
        <v/>
      </c>
      <c r="AL32" s="680"/>
      <c r="AM32" s="680"/>
      <c r="AN32" s="680"/>
      <c r="AO32" s="680"/>
      <c r="AP32" s="680"/>
      <c r="AQ32" s="681"/>
      <c r="AR32" s="92"/>
      <c r="AS32" s="92"/>
      <c r="AT32" s="251"/>
    </row>
    <row r="33" spans="1:46" ht="18" customHeight="1">
      <c r="A33" s="387"/>
      <c r="B33" s="674">
        <f>Calcu!C28</f>
        <v>20</v>
      </c>
      <c r="C33" s="675"/>
      <c r="D33" s="675"/>
      <c r="E33" s="675"/>
      <c r="F33" s="675"/>
      <c r="G33" s="675"/>
      <c r="H33" s="676"/>
      <c r="I33" s="677" t="str">
        <f>Calcu!E28</f>
        <v/>
      </c>
      <c r="J33" s="678"/>
      <c r="K33" s="678"/>
      <c r="L33" s="678"/>
      <c r="M33" s="678"/>
      <c r="N33" s="678"/>
      <c r="O33" s="679"/>
      <c r="P33" s="677" t="str">
        <f>Calcu!K28</f>
        <v/>
      </c>
      <c r="Q33" s="680"/>
      <c r="R33" s="680"/>
      <c r="S33" s="680"/>
      <c r="T33" s="680"/>
      <c r="U33" s="680"/>
      <c r="V33" s="681"/>
      <c r="W33" s="677" t="str">
        <f>Calcu!L28</f>
        <v/>
      </c>
      <c r="X33" s="680"/>
      <c r="Y33" s="680"/>
      <c r="Z33" s="680"/>
      <c r="AA33" s="680"/>
      <c r="AB33" s="680"/>
      <c r="AC33" s="681"/>
      <c r="AD33" s="677" t="str">
        <f>Calcu!M28</f>
        <v/>
      </c>
      <c r="AE33" s="680"/>
      <c r="AF33" s="680"/>
      <c r="AG33" s="680"/>
      <c r="AH33" s="680"/>
      <c r="AI33" s="680"/>
      <c r="AJ33" s="681"/>
      <c r="AK33" s="677" t="str">
        <f t="shared" si="0"/>
        <v/>
      </c>
      <c r="AL33" s="680"/>
      <c r="AM33" s="680"/>
      <c r="AN33" s="680"/>
      <c r="AO33" s="680"/>
      <c r="AP33" s="680"/>
      <c r="AQ33" s="681"/>
      <c r="AR33" s="92"/>
      <c r="AS33" s="92"/>
      <c r="AT33" s="251"/>
    </row>
    <row r="34" spans="1:46" ht="18" customHeight="1">
      <c r="A34" s="387"/>
      <c r="B34" s="674">
        <f>Calcu!C29</f>
        <v>21</v>
      </c>
      <c r="C34" s="675"/>
      <c r="D34" s="675"/>
      <c r="E34" s="675"/>
      <c r="F34" s="675"/>
      <c r="G34" s="675"/>
      <c r="H34" s="676"/>
      <c r="I34" s="677" t="str">
        <f>Calcu!E29</f>
        <v/>
      </c>
      <c r="J34" s="678"/>
      <c r="K34" s="678"/>
      <c r="L34" s="678"/>
      <c r="M34" s="678"/>
      <c r="N34" s="678"/>
      <c r="O34" s="679"/>
      <c r="P34" s="677" t="str">
        <f>Calcu!K29</f>
        <v/>
      </c>
      <c r="Q34" s="680"/>
      <c r="R34" s="680"/>
      <c r="S34" s="680"/>
      <c r="T34" s="680"/>
      <c r="U34" s="680"/>
      <c r="V34" s="681"/>
      <c r="W34" s="677" t="str">
        <f>Calcu!L29</f>
        <v/>
      </c>
      <c r="X34" s="680"/>
      <c r="Y34" s="680"/>
      <c r="Z34" s="680"/>
      <c r="AA34" s="680"/>
      <c r="AB34" s="680"/>
      <c r="AC34" s="681"/>
      <c r="AD34" s="677" t="str">
        <f>Calcu!M29</f>
        <v/>
      </c>
      <c r="AE34" s="680"/>
      <c r="AF34" s="680"/>
      <c r="AG34" s="680"/>
      <c r="AH34" s="680"/>
      <c r="AI34" s="680"/>
      <c r="AJ34" s="681"/>
      <c r="AK34" s="677" t="str">
        <f t="shared" si="0"/>
        <v/>
      </c>
      <c r="AL34" s="680"/>
      <c r="AM34" s="680"/>
      <c r="AN34" s="680"/>
      <c r="AO34" s="680"/>
      <c r="AP34" s="680"/>
      <c r="AQ34" s="681"/>
      <c r="AR34" s="92"/>
      <c r="AS34" s="92"/>
      <c r="AT34" s="251"/>
    </row>
    <row r="35" spans="1:46" ht="18" customHeight="1">
      <c r="A35" s="387"/>
      <c r="B35" s="674">
        <f>Calcu!C30</f>
        <v>22</v>
      </c>
      <c r="C35" s="675"/>
      <c r="D35" s="675"/>
      <c r="E35" s="675"/>
      <c r="F35" s="675"/>
      <c r="G35" s="675"/>
      <c r="H35" s="676"/>
      <c r="I35" s="677" t="str">
        <f>Calcu!E30</f>
        <v/>
      </c>
      <c r="J35" s="678"/>
      <c r="K35" s="678"/>
      <c r="L35" s="678"/>
      <c r="M35" s="678"/>
      <c r="N35" s="678"/>
      <c r="O35" s="679"/>
      <c r="P35" s="677" t="str">
        <f>Calcu!K30</f>
        <v/>
      </c>
      <c r="Q35" s="680"/>
      <c r="R35" s="680"/>
      <c r="S35" s="680"/>
      <c r="T35" s="680"/>
      <c r="U35" s="680"/>
      <c r="V35" s="681"/>
      <c r="W35" s="677" t="str">
        <f>Calcu!L30</f>
        <v/>
      </c>
      <c r="X35" s="680"/>
      <c r="Y35" s="680"/>
      <c r="Z35" s="680"/>
      <c r="AA35" s="680"/>
      <c r="AB35" s="680"/>
      <c r="AC35" s="681"/>
      <c r="AD35" s="677" t="str">
        <f>Calcu!M30</f>
        <v/>
      </c>
      <c r="AE35" s="680"/>
      <c r="AF35" s="680"/>
      <c r="AG35" s="680"/>
      <c r="AH35" s="680"/>
      <c r="AI35" s="680"/>
      <c r="AJ35" s="681"/>
      <c r="AK35" s="677" t="str">
        <f t="shared" si="0"/>
        <v/>
      </c>
      <c r="AL35" s="680"/>
      <c r="AM35" s="680"/>
      <c r="AN35" s="680"/>
      <c r="AO35" s="680"/>
      <c r="AP35" s="680"/>
      <c r="AQ35" s="681"/>
      <c r="AR35" s="92"/>
      <c r="AS35" s="92"/>
      <c r="AT35" s="251"/>
    </row>
    <row r="36" spans="1:46" ht="18" customHeight="1">
      <c r="A36" s="387"/>
      <c r="B36" s="674">
        <f>Calcu!C31</f>
        <v>23</v>
      </c>
      <c r="C36" s="675"/>
      <c r="D36" s="675"/>
      <c r="E36" s="675"/>
      <c r="F36" s="675"/>
      <c r="G36" s="675"/>
      <c r="H36" s="676"/>
      <c r="I36" s="677" t="str">
        <f>Calcu!E31</f>
        <v/>
      </c>
      <c r="J36" s="678"/>
      <c r="K36" s="678"/>
      <c r="L36" s="678"/>
      <c r="M36" s="678"/>
      <c r="N36" s="678"/>
      <c r="O36" s="679"/>
      <c r="P36" s="677" t="str">
        <f>Calcu!K31</f>
        <v/>
      </c>
      <c r="Q36" s="680"/>
      <c r="R36" s="680"/>
      <c r="S36" s="680"/>
      <c r="T36" s="680"/>
      <c r="U36" s="680"/>
      <c r="V36" s="681"/>
      <c r="W36" s="677" t="str">
        <f>Calcu!L31</f>
        <v/>
      </c>
      <c r="X36" s="680"/>
      <c r="Y36" s="680"/>
      <c r="Z36" s="680"/>
      <c r="AA36" s="680"/>
      <c r="AB36" s="680"/>
      <c r="AC36" s="681"/>
      <c r="AD36" s="677" t="str">
        <f>Calcu!M31</f>
        <v/>
      </c>
      <c r="AE36" s="680"/>
      <c r="AF36" s="680"/>
      <c r="AG36" s="680"/>
      <c r="AH36" s="680"/>
      <c r="AI36" s="680"/>
      <c r="AJ36" s="681"/>
      <c r="AK36" s="677" t="str">
        <f t="shared" si="0"/>
        <v/>
      </c>
      <c r="AL36" s="680"/>
      <c r="AM36" s="680"/>
      <c r="AN36" s="680"/>
      <c r="AO36" s="680"/>
      <c r="AP36" s="680"/>
      <c r="AQ36" s="681"/>
      <c r="AR36" s="92"/>
      <c r="AS36" s="92"/>
      <c r="AT36" s="251"/>
    </row>
    <row r="37" spans="1:46" ht="18" customHeight="1">
      <c r="A37" s="387"/>
      <c r="B37" s="674">
        <f>Calcu!C32</f>
        <v>24</v>
      </c>
      <c r="C37" s="675"/>
      <c r="D37" s="675"/>
      <c r="E37" s="675"/>
      <c r="F37" s="675"/>
      <c r="G37" s="675"/>
      <c r="H37" s="676"/>
      <c r="I37" s="677" t="str">
        <f>Calcu!E32</f>
        <v/>
      </c>
      <c r="J37" s="678"/>
      <c r="K37" s="678"/>
      <c r="L37" s="678"/>
      <c r="M37" s="678"/>
      <c r="N37" s="678"/>
      <c r="O37" s="679"/>
      <c r="P37" s="677" t="str">
        <f>Calcu!K32</f>
        <v/>
      </c>
      <c r="Q37" s="680"/>
      <c r="R37" s="680"/>
      <c r="S37" s="680"/>
      <c r="T37" s="680"/>
      <c r="U37" s="680"/>
      <c r="V37" s="681"/>
      <c r="W37" s="677" t="str">
        <f>Calcu!L32</f>
        <v/>
      </c>
      <c r="X37" s="680"/>
      <c r="Y37" s="680"/>
      <c r="Z37" s="680"/>
      <c r="AA37" s="680"/>
      <c r="AB37" s="680"/>
      <c r="AC37" s="681"/>
      <c r="AD37" s="677" t="str">
        <f>Calcu!M32</f>
        <v/>
      </c>
      <c r="AE37" s="680"/>
      <c r="AF37" s="680"/>
      <c r="AG37" s="680"/>
      <c r="AH37" s="680"/>
      <c r="AI37" s="680"/>
      <c r="AJ37" s="681"/>
      <c r="AK37" s="677" t="str">
        <f t="shared" si="0"/>
        <v/>
      </c>
      <c r="AL37" s="680"/>
      <c r="AM37" s="680"/>
      <c r="AN37" s="680"/>
      <c r="AO37" s="680"/>
      <c r="AP37" s="680"/>
      <c r="AQ37" s="681"/>
      <c r="AR37" s="92"/>
      <c r="AS37" s="92"/>
      <c r="AT37" s="251"/>
    </row>
    <row r="38" spans="1:46" ht="18" customHeight="1">
      <c r="A38" s="387"/>
      <c r="B38" s="674">
        <f>Calcu!C33</f>
        <v>25</v>
      </c>
      <c r="C38" s="675"/>
      <c r="D38" s="675"/>
      <c r="E38" s="675"/>
      <c r="F38" s="675"/>
      <c r="G38" s="675"/>
      <c r="H38" s="676"/>
      <c r="I38" s="677" t="str">
        <f>Calcu!E33</f>
        <v/>
      </c>
      <c r="J38" s="678"/>
      <c r="K38" s="678"/>
      <c r="L38" s="678"/>
      <c r="M38" s="678"/>
      <c r="N38" s="678"/>
      <c r="O38" s="679"/>
      <c r="P38" s="677" t="str">
        <f>Calcu!K33</f>
        <v/>
      </c>
      <c r="Q38" s="680"/>
      <c r="R38" s="680"/>
      <c r="S38" s="680"/>
      <c r="T38" s="680"/>
      <c r="U38" s="680"/>
      <c r="V38" s="681"/>
      <c r="W38" s="677" t="str">
        <f>Calcu!L33</f>
        <v/>
      </c>
      <c r="X38" s="680"/>
      <c r="Y38" s="680"/>
      <c r="Z38" s="680"/>
      <c r="AA38" s="680"/>
      <c r="AB38" s="680"/>
      <c r="AC38" s="681"/>
      <c r="AD38" s="677" t="str">
        <f>Calcu!M33</f>
        <v/>
      </c>
      <c r="AE38" s="680"/>
      <c r="AF38" s="680"/>
      <c r="AG38" s="680"/>
      <c r="AH38" s="680"/>
      <c r="AI38" s="680"/>
      <c r="AJ38" s="681"/>
      <c r="AK38" s="677" t="str">
        <f t="shared" si="0"/>
        <v/>
      </c>
      <c r="AL38" s="680"/>
      <c r="AM38" s="680"/>
      <c r="AN38" s="680"/>
      <c r="AO38" s="680"/>
      <c r="AP38" s="680"/>
      <c r="AQ38" s="681"/>
      <c r="AR38" s="92"/>
      <c r="AS38" s="92"/>
      <c r="AT38" s="251"/>
    </row>
    <row r="39" spans="1:46" ht="18" customHeight="1">
      <c r="A39" s="387"/>
      <c r="B39" s="674">
        <f>Calcu!C34</f>
        <v>26</v>
      </c>
      <c r="C39" s="675"/>
      <c r="D39" s="675"/>
      <c r="E39" s="675"/>
      <c r="F39" s="675"/>
      <c r="G39" s="675"/>
      <c r="H39" s="676"/>
      <c r="I39" s="677" t="str">
        <f>Calcu!E34</f>
        <v/>
      </c>
      <c r="J39" s="678"/>
      <c r="K39" s="678"/>
      <c r="L39" s="678"/>
      <c r="M39" s="678"/>
      <c r="N39" s="678"/>
      <c r="O39" s="679"/>
      <c r="P39" s="677" t="str">
        <f>Calcu!K34</f>
        <v/>
      </c>
      <c r="Q39" s="680"/>
      <c r="R39" s="680"/>
      <c r="S39" s="680"/>
      <c r="T39" s="680"/>
      <c r="U39" s="680"/>
      <c r="V39" s="681"/>
      <c r="W39" s="677" t="str">
        <f>Calcu!L34</f>
        <v/>
      </c>
      <c r="X39" s="680"/>
      <c r="Y39" s="680"/>
      <c r="Z39" s="680"/>
      <c r="AA39" s="680"/>
      <c r="AB39" s="680"/>
      <c r="AC39" s="681"/>
      <c r="AD39" s="677" t="str">
        <f>Calcu!M34</f>
        <v/>
      </c>
      <c r="AE39" s="680"/>
      <c r="AF39" s="680"/>
      <c r="AG39" s="680"/>
      <c r="AH39" s="680"/>
      <c r="AI39" s="680"/>
      <c r="AJ39" s="681"/>
      <c r="AK39" s="677" t="str">
        <f t="shared" si="0"/>
        <v/>
      </c>
      <c r="AL39" s="680"/>
      <c r="AM39" s="680"/>
      <c r="AN39" s="680"/>
      <c r="AO39" s="680"/>
      <c r="AP39" s="680"/>
      <c r="AQ39" s="681"/>
      <c r="AR39" s="92"/>
      <c r="AS39" s="92"/>
      <c r="AT39" s="251"/>
    </row>
    <row r="40" spans="1:46" ht="18" customHeight="1">
      <c r="A40" s="387"/>
      <c r="B40" s="674">
        <f>Calcu!C35</f>
        <v>27</v>
      </c>
      <c r="C40" s="675"/>
      <c r="D40" s="675"/>
      <c r="E40" s="675"/>
      <c r="F40" s="675"/>
      <c r="G40" s="675"/>
      <c r="H40" s="676"/>
      <c r="I40" s="677" t="str">
        <f>Calcu!E35</f>
        <v/>
      </c>
      <c r="J40" s="678"/>
      <c r="K40" s="678"/>
      <c r="L40" s="678"/>
      <c r="M40" s="678"/>
      <c r="N40" s="678"/>
      <c r="O40" s="679"/>
      <c r="P40" s="677" t="str">
        <f>Calcu!K35</f>
        <v/>
      </c>
      <c r="Q40" s="680"/>
      <c r="R40" s="680"/>
      <c r="S40" s="680"/>
      <c r="T40" s="680"/>
      <c r="U40" s="680"/>
      <c r="V40" s="681"/>
      <c r="W40" s="677" t="str">
        <f>Calcu!L35</f>
        <v/>
      </c>
      <c r="X40" s="680"/>
      <c r="Y40" s="680"/>
      <c r="Z40" s="680"/>
      <c r="AA40" s="680"/>
      <c r="AB40" s="680"/>
      <c r="AC40" s="681"/>
      <c r="AD40" s="677" t="str">
        <f>Calcu!M35</f>
        <v/>
      </c>
      <c r="AE40" s="680"/>
      <c r="AF40" s="680"/>
      <c r="AG40" s="680"/>
      <c r="AH40" s="680"/>
      <c r="AI40" s="680"/>
      <c r="AJ40" s="681"/>
      <c r="AK40" s="677" t="str">
        <f t="shared" si="0"/>
        <v/>
      </c>
      <c r="AL40" s="680"/>
      <c r="AM40" s="680"/>
      <c r="AN40" s="680"/>
      <c r="AO40" s="680"/>
      <c r="AP40" s="680"/>
      <c r="AQ40" s="681"/>
      <c r="AR40" s="92"/>
      <c r="AS40" s="92"/>
      <c r="AT40" s="251"/>
    </row>
    <row r="41" spans="1:46" ht="18" customHeight="1">
      <c r="A41" s="387"/>
      <c r="B41" s="674">
        <f>Calcu!C36</f>
        <v>28</v>
      </c>
      <c r="C41" s="675"/>
      <c r="D41" s="675"/>
      <c r="E41" s="675"/>
      <c r="F41" s="675"/>
      <c r="G41" s="675"/>
      <c r="H41" s="676"/>
      <c r="I41" s="677" t="str">
        <f>Calcu!E36</f>
        <v/>
      </c>
      <c r="J41" s="678"/>
      <c r="K41" s="678"/>
      <c r="L41" s="678"/>
      <c r="M41" s="678"/>
      <c r="N41" s="678"/>
      <c r="O41" s="679"/>
      <c r="P41" s="677" t="str">
        <f>Calcu!K36</f>
        <v/>
      </c>
      <c r="Q41" s="680"/>
      <c r="R41" s="680"/>
      <c r="S41" s="680"/>
      <c r="T41" s="680"/>
      <c r="U41" s="680"/>
      <c r="V41" s="681"/>
      <c r="W41" s="677" t="str">
        <f>Calcu!L36</f>
        <v/>
      </c>
      <c r="X41" s="680"/>
      <c r="Y41" s="680"/>
      <c r="Z41" s="680"/>
      <c r="AA41" s="680"/>
      <c r="AB41" s="680"/>
      <c r="AC41" s="681"/>
      <c r="AD41" s="677" t="str">
        <f>Calcu!M36</f>
        <v/>
      </c>
      <c r="AE41" s="680"/>
      <c r="AF41" s="680"/>
      <c r="AG41" s="680"/>
      <c r="AH41" s="680"/>
      <c r="AI41" s="680"/>
      <c r="AJ41" s="681"/>
      <c r="AK41" s="677" t="str">
        <f t="shared" si="0"/>
        <v/>
      </c>
      <c r="AL41" s="680"/>
      <c r="AM41" s="680"/>
      <c r="AN41" s="680"/>
      <c r="AO41" s="680"/>
      <c r="AP41" s="680"/>
      <c r="AQ41" s="681"/>
      <c r="AR41" s="92"/>
      <c r="AS41" s="92"/>
      <c r="AT41" s="251"/>
    </row>
    <row r="42" spans="1:46" ht="18" customHeight="1">
      <c r="A42" s="387"/>
      <c r="B42" s="674">
        <f>Calcu!C37</f>
        <v>29</v>
      </c>
      <c r="C42" s="675"/>
      <c r="D42" s="675"/>
      <c r="E42" s="675"/>
      <c r="F42" s="675"/>
      <c r="G42" s="675"/>
      <c r="H42" s="676"/>
      <c r="I42" s="677" t="str">
        <f>Calcu!E37</f>
        <v/>
      </c>
      <c r="J42" s="678"/>
      <c r="K42" s="678"/>
      <c r="L42" s="678"/>
      <c r="M42" s="678"/>
      <c r="N42" s="678"/>
      <c r="O42" s="679"/>
      <c r="P42" s="677" t="str">
        <f>Calcu!K37</f>
        <v/>
      </c>
      <c r="Q42" s="680"/>
      <c r="R42" s="680"/>
      <c r="S42" s="680"/>
      <c r="T42" s="680"/>
      <c r="U42" s="680"/>
      <c r="V42" s="681"/>
      <c r="W42" s="677" t="str">
        <f>Calcu!L37</f>
        <v/>
      </c>
      <c r="X42" s="680"/>
      <c r="Y42" s="680"/>
      <c r="Z42" s="680"/>
      <c r="AA42" s="680"/>
      <c r="AB42" s="680"/>
      <c r="AC42" s="681"/>
      <c r="AD42" s="677" t="str">
        <f>Calcu!M37</f>
        <v/>
      </c>
      <c r="AE42" s="680"/>
      <c r="AF42" s="680"/>
      <c r="AG42" s="680"/>
      <c r="AH42" s="680"/>
      <c r="AI42" s="680"/>
      <c r="AJ42" s="681"/>
      <c r="AK42" s="677" t="str">
        <f t="shared" si="0"/>
        <v/>
      </c>
      <c r="AL42" s="680"/>
      <c r="AM42" s="680"/>
      <c r="AN42" s="680"/>
      <c r="AO42" s="680"/>
      <c r="AP42" s="680"/>
      <c r="AQ42" s="681"/>
      <c r="AR42" s="92"/>
      <c r="AS42" s="92"/>
      <c r="AT42" s="251"/>
    </row>
    <row r="43" spans="1:46" ht="18" customHeight="1">
      <c r="A43" s="387"/>
      <c r="B43" s="674">
        <f>Calcu!C38</f>
        <v>30</v>
      </c>
      <c r="C43" s="675"/>
      <c r="D43" s="675"/>
      <c r="E43" s="675"/>
      <c r="F43" s="675"/>
      <c r="G43" s="675"/>
      <c r="H43" s="676"/>
      <c r="I43" s="677" t="str">
        <f>Calcu!E38</f>
        <v/>
      </c>
      <c r="J43" s="678"/>
      <c r="K43" s="678"/>
      <c r="L43" s="678"/>
      <c r="M43" s="678"/>
      <c r="N43" s="678"/>
      <c r="O43" s="679"/>
      <c r="P43" s="677" t="str">
        <f>Calcu!K38</f>
        <v/>
      </c>
      <c r="Q43" s="680"/>
      <c r="R43" s="680"/>
      <c r="S43" s="680"/>
      <c r="T43" s="680"/>
      <c r="U43" s="680"/>
      <c r="V43" s="681"/>
      <c r="W43" s="677" t="str">
        <f>Calcu!L38</f>
        <v/>
      </c>
      <c r="X43" s="680"/>
      <c r="Y43" s="680"/>
      <c r="Z43" s="680"/>
      <c r="AA43" s="680"/>
      <c r="AB43" s="680"/>
      <c r="AC43" s="681"/>
      <c r="AD43" s="677" t="str">
        <f>Calcu!M38</f>
        <v/>
      </c>
      <c r="AE43" s="680"/>
      <c r="AF43" s="680"/>
      <c r="AG43" s="680"/>
      <c r="AH43" s="680"/>
      <c r="AI43" s="680"/>
      <c r="AJ43" s="681"/>
      <c r="AK43" s="677" t="str">
        <f t="shared" si="0"/>
        <v/>
      </c>
      <c r="AL43" s="680"/>
      <c r="AM43" s="680"/>
      <c r="AN43" s="680"/>
      <c r="AO43" s="680"/>
      <c r="AP43" s="680"/>
      <c r="AQ43" s="681"/>
      <c r="AR43" s="92"/>
      <c r="AS43" s="92"/>
      <c r="AT43" s="251"/>
    </row>
    <row r="44" spans="1:46" s="251" customFormat="1" ht="18" customHeight="1">
      <c r="A44" s="387"/>
      <c r="B44" s="403"/>
      <c r="C44" s="403"/>
      <c r="D44" s="403"/>
      <c r="E44" s="403"/>
      <c r="F44" s="403"/>
      <c r="G44" s="403"/>
      <c r="H44" s="403"/>
      <c r="I44" s="403"/>
      <c r="J44" s="403"/>
      <c r="K44" s="403"/>
      <c r="L44" s="403"/>
      <c r="M44" s="403"/>
      <c r="N44" s="403"/>
      <c r="O44" s="403"/>
      <c r="P44" s="403"/>
      <c r="Q44" s="403"/>
      <c r="R44" s="403"/>
      <c r="S44" s="403"/>
      <c r="T44" s="403"/>
      <c r="U44" s="403"/>
      <c r="V44" s="403"/>
      <c r="W44" s="403"/>
      <c r="X44" s="403"/>
      <c r="Y44" s="403"/>
      <c r="Z44" s="403"/>
      <c r="AA44" s="403"/>
      <c r="AB44" s="403"/>
      <c r="AC44" s="403"/>
      <c r="AD44" s="403"/>
      <c r="AE44" s="403"/>
      <c r="AF44" s="403"/>
      <c r="AG44" s="403"/>
      <c r="AH44" s="403"/>
      <c r="AI44" s="403"/>
      <c r="AJ44" s="403"/>
      <c r="AK44" s="403"/>
      <c r="AL44" s="403"/>
      <c r="AM44" s="403"/>
      <c r="AN44" s="403"/>
      <c r="AO44" s="403"/>
      <c r="AP44" s="403"/>
      <c r="AQ44" s="403"/>
      <c r="AR44" s="92"/>
      <c r="AS44" s="92"/>
    </row>
    <row r="45" spans="1:46" ht="18" customHeight="1">
      <c r="A45" s="131" t="s">
        <v>400</v>
      </c>
      <c r="B45" s="251"/>
      <c r="C45" s="251"/>
      <c r="D45" s="251"/>
      <c r="E45" s="251"/>
      <c r="F45" s="251"/>
      <c r="G45" s="251"/>
      <c r="H45" s="251"/>
      <c r="I45" s="251"/>
      <c r="J45" s="251"/>
      <c r="K45" s="251"/>
      <c r="L45" s="251"/>
      <c r="M45" s="251"/>
      <c r="N45" s="251"/>
      <c r="O45" s="251"/>
      <c r="P45" s="251"/>
      <c r="Q45" s="251"/>
      <c r="R45" s="251"/>
      <c r="S45" s="251"/>
      <c r="T45" s="251"/>
      <c r="U45" s="251"/>
      <c r="V45" s="251"/>
      <c r="W45" s="251"/>
      <c r="X45" s="251"/>
      <c r="Y45" s="251"/>
      <c r="Z45" s="251"/>
      <c r="AA45" s="251"/>
      <c r="AB45" s="251"/>
      <c r="AC45" s="251"/>
      <c r="AD45" s="251"/>
      <c r="AE45" s="251"/>
      <c r="AF45" s="251"/>
      <c r="AG45" s="251"/>
      <c r="AH45" s="251"/>
      <c r="AI45" s="251"/>
      <c r="AJ45" s="251"/>
      <c r="AK45" s="251"/>
      <c r="AL45" s="251"/>
      <c r="AM45" s="251"/>
      <c r="AN45" s="251"/>
      <c r="AO45" s="251"/>
      <c r="AP45" s="251"/>
      <c r="AQ45" s="251"/>
      <c r="AR45" s="251"/>
      <c r="AS45" s="251"/>
      <c r="AT45" s="251"/>
    </row>
    <row r="46" spans="1:46" ht="18" customHeight="1">
      <c r="A46" s="387"/>
      <c r="B46" s="683" t="s">
        <v>401</v>
      </c>
      <c r="C46" s="717"/>
      <c r="D46" s="717"/>
      <c r="E46" s="683" t="s">
        <v>393</v>
      </c>
      <c r="F46" s="684"/>
      <c r="G46" s="684"/>
      <c r="H46" s="684"/>
      <c r="I46" s="684"/>
      <c r="J46" s="684"/>
      <c r="K46" s="685"/>
      <c r="L46" s="722" t="s">
        <v>402</v>
      </c>
      <c r="M46" s="722"/>
      <c r="N46" s="722"/>
      <c r="O46" s="722"/>
      <c r="P46" s="722"/>
      <c r="Q46" s="722"/>
      <c r="R46" s="722"/>
      <c r="S46" s="722"/>
      <c r="T46" s="722"/>
      <c r="U46" s="722"/>
      <c r="V46" s="722"/>
      <c r="W46" s="722"/>
      <c r="X46" s="722"/>
      <c r="Y46" s="722"/>
      <c r="Z46" s="722"/>
      <c r="AA46" s="722"/>
      <c r="AB46" s="722"/>
      <c r="AC46" s="722"/>
      <c r="AD46" s="722"/>
      <c r="AE46" s="722"/>
      <c r="AF46" s="722"/>
      <c r="AG46" s="722"/>
      <c r="AH46" s="722"/>
      <c r="AI46" s="722"/>
      <c r="AJ46" s="722"/>
      <c r="AK46" s="722"/>
      <c r="AL46" s="722"/>
      <c r="AM46" s="722"/>
      <c r="AN46" s="722"/>
      <c r="AO46" s="722"/>
      <c r="AP46" s="722"/>
      <c r="AQ46" s="722"/>
      <c r="AR46" s="92"/>
      <c r="AS46" s="92"/>
      <c r="AT46" s="251"/>
    </row>
    <row r="47" spans="1:46" ht="18" customHeight="1">
      <c r="A47" s="387"/>
      <c r="B47" s="718"/>
      <c r="C47" s="719"/>
      <c r="D47" s="719"/>
      <c r="E47" s="689"/>
      <c r="F47" s="690"/>
      <c r="G47" s="690"/>
      <c r="H47" s="690"/>
      <c r="I47" s="690"/>
      <c r="J47" s="690"/>
      <c r="K47" s="691"/>
      <c r="L47" s="720" t="s">
        <v>403</v>
      </c>
      <c r="M47" s="690"/>
      <c r="N47" s="690"/>
      <c r="O47" s="690"/>
      <c r="P47" s="690"/>
      <c r="Q47" s="690"/>
      <c r="R47" s="691"/>
      <c r="S47" s="720" t="s">
        <v>66</v>
      </c>
      <c r="T47" s="690"/>
      <c r="U47" s="690"/>
      <c r="V47" s="690"/>
      <c r="W47" s="690"/>
      <c r="X47" s="690"/>
      <c r="Y47" s="691"/>
      <c r="Z47" s="720" t="s">
        <v>404</v>
      </c>
      <c r="AA47" s="690"/>
      <c r="AB47" s="690"/>
      <c r="AC47" s="690"/>
      <c r="AD47" s="690"/>
      <c r="AE47" s="690"/>
      <c r="AF47" s="691"/>
      <c r="AG47" s="723" t="s">
        <v>405</v>
      </c>
      <c r="AH47" s="724"/>
      <c r="AI47" s="724"/>
      <c r="AJ47" s="724"/>
      <c r="AK47" s="724"/>
      <c r="AL47" s="724"/>
      <c r="AM47" s="724"/>
      <c r="AN47" s="724"/>
      <c r="AO47" s="724"/>
      <c r="AP47" s="724"/>
      <c r="AQ47" s="725"/>
      <c r="AR47" s="92"/>
      <c r="AS47" s="92"/>
      <c r="AT47" s="251"/>
    </row>
    <row r="48" spans="1:46" ht="18" customHeight="1">
      <c r="A48" s="387"/>
      <c r="B48" s="720"/>
      <c r="C48" s="721"/>
      <c r="D48" s="721"/>
      <c r="E48" s="668">
        <f>I13</f>
        <v>0</v>
      </c>
      <c r="F48" s="669"/>
      <c r="G48" s="669"/>
      <c r="H48" s="669"/>
      <c r="I48" s="669"/>
      <c r="J48" s="669"/>
      <c r="K48" s="670"/>
      <c r="L48" s="668">
        <f>P13</f>
        <v>0</v>
      </c>
      <c r="M48" s="671"/>
      <c r="N48" s="671"/>
      <c r="O48" s="671"/>
      <c r="P48" s="671"/>
      <c r="Q48" s="671"/>
      <c r="R48" s="672"/>
      <c r="S48" s="668">
        <f>W13</f>
        <v>0</v>
      </c>
      <c r="T48" s="671"/>
      <c r="U48" s="671"/>
      <c r="V48" s="671"/>
      <c r="W48" s="671"/>
      <c r="X48" s="671"/>
      <c r="Y48" s="672"/>
      <c r="Z48" s="668">
        <f>AD13</f>
        <v>0</v>
      </c>
      <c r="AA48" s="671"/>
      <c r="AB48" s="671"/>
      <c r="AC48" s="671"/>
      <c r="AD48" s="671"/>
      <c r="AE48" s="671"/>
      <c r="AF48" s="672"/>
      <c r="AG48" s="726"/>
      <c r="AH48" s="727"/>
      <c r="AI48" s="727"/>
      <c r="AJ48" s="727"/>
      <c r="AK48" s="727"/>
      <c r="AL48" s="727"/>
      <c r="AM48" s="727"/>
      <c r="AN48" s="727"/>
      <c r="AO48" s="727"/>
      <c r="AP48" s="727"/>
      <c r="AQ48" s="728"/>
      <c r="AR48" s="92"/>
      <c r="AS48" s="92"/>
      <c r="AT48" s="251"/>
    </row>
    <row r="49" spans="1:46" ht="18" customHeight="1">
      <c r="A49" s="387"/>
      <c r="B49" s="674">
        <f>Calcu!C9</f>
        <v>1</v>
      </c>
      <c r="C49" s="712"/>
      <c r="D49" s="712"/>
      <c r="E49" s="677" t="str">
        <f>I14</f>
        <v/>
      </c>
      <c r="F49" s="678"/>
      <c r="G49" s="678"/>
      <c r="H49" s="678"/>
      <c r="I49" s="678"/>
      <c r="J49" s="678"/>
      <c r="K49" s="679"/>
      <c r="L49" s="677" t="str">
        <f>Calcu!K9</f>
        <v/>
      </c>
      <c r="M49" s="680"/>
      <c r="N49" s="680"/>
      <c r="O49" s="680"/>
      <c r="P49" s="680"/>
      <c r="Q49" s="680"/>
      <c r="R49" s="681"/>
      <c r="S49" s="677" t="str">
        <f t="shared" ref="S49:S78" si="1">W14</f>
        <v/>
      </c>
      <c r="T49" s="680"/>
      <c r="U49" s="680"/>
      <c r="V49" s="680"/>
      <c r="W49" s="680"/>
      <c r="X49" s="680"/>
      <c r="Y49" s="681"/>
      <c r="Z49" s="677" t="str">
        <f t="shared" ref="Z49:Z78" si="2">AD14</f>
        <v/>
      </c>
      <c r="AA49" s="680"/>
      <c r="AB49" s="680"/>
      <c r="AC49" s="680"/>
      <c r="AD49" s="680"/>
      <c r="AE49" s="680"/>
      <c r="AF49" s="681"/>
      <c r="AG49" s="709"/>
      <c r="AH49" s="710"/>
      <c r="AI49" s="710"/>
      <c r="AJ49" s="710"/>
      <c r="AK49" s="710"/>
      <c r="AL49" s="710"/>
      <c r="AM49" s="710"/>
      <c r="AN49" s="710"/>
      <c r="AO49" s="710"/>
      <c r="AP49" s="710"/>
      <c r="AQ49" s="711"/>
      <c r="AR49" s="92"/>
      <c r="AS49" s="92"/>
      <c r="AT49" s="251"/>
    </row>
    <row r="50" spans="1:46" ht="18" customHeight="1">
      <c r="A50" s="387"/>
      <c r="B50" s="674">
        <f>Calcu!C10</f>
        <v>2</v>
      </c>
      <c r="C50" s="712"/>
      <c r="D50" s="712"/>
      <c r="E50" s="677" t="str">
        <f t="shared" ref="E50:E78" si="3">I15</f>
        <v/>
      </c>
      <c r="F50" s="678"/>
      <c r="G50" s="678"/>
      <c r="H50" s="678"/>
      <c r="I50" s="678"/>
      <c r="J50" s="678"/>
      <c r="K50" s="679"/>
      <c r="L50" s="677" t="str">
        <f t="shared" ref="L50:L78" si="4">P15</f>
        <v/>
      </c>
      <c r="M50" s="680"/>
      <c r="N50" s="680"/>
      <c r="O50" s="680"/>
      <c r="P50" s="680"/>
      <c r="Q50" s="680"/>
      <c r="R50" s="681"/>
      <c r="S50" s="677" t="str">
        <f t="shared" si="1"/>
        <v/>
      </c>
      <c r="T50" s="680"/>
      <c r="U50" s="680"/>
      <c r="V50" s="680"/>
      <c r="W50" s="680"/>
      <c r="X50" s="680"/>
      <c r="Y50" s="681"/>
      <c r="Z50" s="677" t="str">
        <f t="shared" si="2"/>
        <v/>
      </c>
      <c r="AA50" s="680"/>
      <c r="AB50" s="680"/>
      <c r="AC50" s="680"/>
      <c r="AD50" s="680"/>
      <c r="AE50" s="680"/>
      <c r="AF50" s="681"/>
      <c r="AG50" s="713" t="s">
        <v>406</v>
      </c>
      <c r="AH50" s="714"/>
      <c r="AI50" s="714"/>
      <c r="AJ50" s="714"/>
      <c r="AK50" s="714"/>
      <c r="AL50" s="715">
        <f>SUM(Calcu!O9:Q38)</f>
        <v>0</v>
      </c>
      <c r="AM50" s="715"/>
      <c r="AN50" s="715"/>
      <c r="AO50" s="715"/>
      <c r="AP50" s="715"/>
      <c r="AQ50" s="716"/>
      <c r="AR50" s="92"/>
      <c r="AS50" s="92"/>
      <c r="AT50" s="251"/>
    </row>
    <row r="51" spans="1:46" ht="18" customHeight="1">
      <c r="A51" s="387"/>
      <c r="B51" s="674">
        <f>Calcu!C11</f>
        <v>3</v>
      </c>
      <c r="C51" s="712"/>
      <c r="D51" s="712"/>
      <c r="E51" s="677" t="str">
        <f t="shared" si="3"/>
        <v/>
      </c>
      <c r="F51" s="678"/>
      <c r="G51" s="678"/>
      <c r="H51" s="678"/>
      <c r="I51" s="678"/>
      <c r="J51" s="678"/>
      <c r="K51" s="679"/>
      <c r="L51" s="677" t="str">
        <f t="shared" si="4"/>
        <v/>
      </c>
      <c r="M51" s="680"/>
      <c r="N51" s="680"/>
      <c r="O51" s="680"/>
      <c r="P51" s="680"/>
      <c r="Q51" s="680"/>
      <c r="R51" s="681"/>
      <c r="S51" s="677" t="str">
        <f t="shared" si="1"/>
        <v/>
      </c>
      <c r="T51" s="680"/>
      <c r="U51" s="680"/>
      <c r="V51" s="680"/>
      <c r="W51" s="680"/>
      <c r="X51" s="680"/>
      <c r="Y51" s="681"/>
      <c r="Z51" s="677" t="str">
        <f t="shared" si="2"/>
        <v/>
      </c>
      <c r="AA51" s="680"/>
      <c r="AB51" s="680"/>
      <c r="AC51" s="680"/>
      <c r="AD51" s="680"/>
      <c r="AE51" s="680"/>
      <c r="AF51" s="681"/>
      <c r="AG51" s="713" t="s">
        <v>407</v>
      </c>
      <c r="AH51" s="714"/>
      <c r="AI51" s="714"/>
      <c r="AJ51" s="714"/>
      <c r="AK51" s="714"/>
      <c r="AL51" s="715">
        <f>SUM(Calcu!N9:N38)</f>
        <v>0</v>
      </c>
      <c r="AM51" s="715"/>
      <c r="AN51" s="715"/>
      <c r="AO51" s="715"/>
      <c r="AP51" s="715"/>
      <c r="AQ51" s="716"/>
      <c r="AR51" s="92"/>
      <c r="AS51" s="92"/>
      <c r="AT51" s="251"/>
    </row>
    <row r="52" spans="1:46" ht="18" customHeight="1">
      <c r="A52" s="387"/>
      <c r="B52" s="674">
        <f>Calcu!C12</f>
        <v>4</v>
      </c>
      <c r="C52" s="712"/>
      <c r="D52" s="712"/>
      <c r="E52" s="677" t="str">
        <f t="shared" si="3"/>
        <v/>
      </c>
      <c r="F52" s="678"/>
      <c r="G52" s="678"/>
      <c r="H52" s="678"/>
      <c r="I52" s="678"/>
      <c r="J52" s="678"/>
      <c r="K52" s="679"/>
      <c r="L52" s="677" t="str">
        <f t="shared" si="4"/>
        <v/>
      </c>
      <c r="M52" s="680"/>
      <c r="N52" s="680"/>
      <c r="O52" s="680"/>
      <c r="P52" s="680"/>
      <c r="Q52" s="680"/>
      <c r="R52" s="681"/>
      <c r="S52" s="677" t="str">
        <f t="shared" si="1"/>
        <v/>
      </c>
      <c r="T52" s="680"/>
      <c r="U52" s="680"/>
      <c r="V52" s="680"/>
      <c r="W52" s="680"/>
      <c r="X52" s="680"/>
      <c r="Y52" s="681"/>
      <c r="Z52" s="677" t="str">
        <f t="shared" si="2"/>
        <v/>
      </c>
      <c r="AA52" s="680"/>
      <c r="AB52" s="680"/>
      <c r="AC52" s="680"/>
      <c r="AD52" s="680"/>
      <c r="AE52" s="680"/>
      <c r="AF52" s="681"/>
      <c r="AG52" s="732" t="s">
        <v>408</v>
      </c>
      <c r="AH52" s="733"/>
      <c r="AI52" s="733"/>
      <c r="AJ52" s="733"/>
      <c r="AK52" s="733"/>
      <c r="AL52" s="733"/>
      <c r="AM52" s="733"/>
      <c r="AN52" s="733"/>
      <c r="AO52" s="733"/>
      <c r="AP52" s="733"/>
      <c r="AQ52" s="734"/>
      <c r="AR52" s="92"/>
      <c r="AS52" s="92"/>
      <c r="AT52" s="251"/>
    </row>
    <row r="53" spans="1:46" ht="18" customHeight="1">
      <c r="A53" s="387"/>
      <c r="B53" s="674">
        <f>Calcu!C13</f>
        <v>5</v>
      </c>
      <c r="C53" s="712"/>
      <c r="D53" s="712"/>
      <c r="E53" s="677" t="str">
        <f t="shared" si="3"/>
        <v/>
      </c>
      <c r="F53" s="678"/>
      <c r="G53" s="678"/>
      <c r="H53" s="678"/>
      <c r="I53" s="678"/>
      <c r="J53" s="678"/>
      <c r="K53" s="679"/>
      <c r="L53" s="677" t="str">
        <f t="shared" si="4"/>
        <v/>
      </c>
      <c r="M53" s="680"/>
      <c r="N53" s="680"/>
      <c r="O53" s="680"/>
      <c r="P53" s="680"/>
      <c r="Q53" s="680"/>
      <c r="R53" s="681"/>
      <c r="S53" s="677" t="str">
        <f t="shared" si="1"/>
        <v/>
      </c>
      <c r="T53" s="680"/>
      <c r="U53" s="680"/>
      <c r="V53" s="680"/>
      <c r="W53" s="680"/>
      <c r="X53" s="680"/>
      <c r="Y53" s="681"/>
      <c r="Z53" s="677" t="str">
        <f t="shared" si="2"/>
        <v/>
      </c>
      <c r="AA53" s="680"/>
      <c r="AB53" s="680"/>
      <c r="AC53" s="680"/>
      <c r="AD53" s="680"/>
      <c r="AE53" s="680"/>
      <c r="AF53" s="681"/>
      <c r="AG53" s="729"/>
      <c r="AH53" s="730"/>
      <c r="AI53" s="730"/>
      <c r="AJ53" s="730"/>
      <c r="AK53" s="730"/>
      <c r="AL53" s="730"/>
      <c r="AM53" s="730"/>
      <c r="AN53" s="730"/>
      <c r="AO53" s="730"/>
      <c r="AP53" s="730"/>
      <c r="AQ53" s="731"/>
      <c r="AR53" s="92"/>
      <c r="AS53" s="92"/>
      <c r="AT53" s="251"/>
    </row>
    <row r="54" spans="1:46" ht="18" customHeight="1">
      <c r="A54" s="387"/>
      <c r="B54" s="674">
        <f>Calcu!C14</f>
        <v>6</v>
      </c>
      <c r="C54" s="712"/>
      <c r="D54" s="712"/>
      <c r="E54" s="677" t="str">
        <f t="shared" si="3"/>
        <v/>
      </c>
      <c r="F54" s="678"/>
      <c r="G54" s="678"/>
      <c r="H54" s="678"/>
      <c r="I54" s="678"/>
      <c r="J54" s="678"/>
      <c r="K54" s="679"/>
      <c r="L54" s="677" t="str">
        <f t="shared" si="4"/>
        <v/>
      </c>
      <c r="M54" s="680"/>
      <c r="N54" s="680"/>
      <c r="O54" s="680"/>
      <c r="P54" s="680"/>
      <c r="Q54" s="680"/>
      <c r="R54" s="681"/>
      <c r="S54" s="677" t="str">
        <f t="shared" si="1"/>
        <v/>
      </c>
      <c r="T54" s="680"/>
      <c r="U54" s="680"/>
      <c r="V54" s="680"/>
      <c r="W54" s="680"/>
      <c r="X54" s="680"/>
      <c r="Y54" s="681"/>
      <c r="Z54" s="677" t="str">
        <f t="shared" si="2"/>
        <v/>
      </c>
      <c r="AA54" s="680"/>
      <c r="AB54" s="680"/>
      <c r="AC54" s="680"/>
      <c r="AD54" s="680"/>
      <c r="AE54" s="680"/>
      <c r="AF54" s="681"/>
      <c r="AG54" s="729"/>
      <c r="AH54" s="730"/>
      <c r="AI54" s="730"/>
      <c r="AJ54" s="730"/>
      <c r="AK54" s="730"/>
      <c r="AL54" s="730"/>
      <c r="AM54" s="730"/>
      <c r="AN54" s="730"/>
      <c r="AO54" s="730"/>
      <c r="AP54" s="730"/>
      <c r="AQ54" s="731"/>
      <c r="AR54" s="92"/>
      <c r="AS54" s="92"/>
      <c r="AT54" s="251"/>
    </row>
    <row r="55" spans="1:46" ht="18" customHeight="1">
      <c r="A55" s="387"/>
      <c r="B55" s="674">
        <f>Calcu!C15</f>
        <v>7</v>
      </c>
      <c r="C55" s="712"/>
      <c r="D55" s="712"/>
      <c r="E55" s="677" t="str">
        <f t="shared" si="3"/>
        <v/>
      </c>
      <c r="F55" s="678"/>
      <c r="G55" s="678"/>
      <c r="H55" s="678"/>
      <c r="I55" s="678"/>
      <c r="J55" s="678"/>
      <c r="K55" s="679"/>
      <c r="L55" s="677" t="str">
        <f t="shared" si="4"/>
        <v/>
      </c>
      <c r="M55" s="680"/>
      <c r="N55" s="680"/>
      <c r="O55" s="680"/>
      <c r="P55" s="680"/>
      <c r="Q55" s="680"/>
      <c r="R55" s="681"/>
      <c r="S55" s="677" t="str">
        <f t="shared" si="1"/>
        <v/>
      </c>
      <c r="T55" s="680"/>
      <c r="U55" s="680"/>
      <c r="V55" s="680"/>
      <c r="W55" s="680"/>
      <c r="X55" s="680"/>
      <c r="Y55" s="681"/>
      <c r="Z55" s="677" t="str">
        <f t="shared" si="2"/>
        <v/>
      </c>
      <c r="AA55" s="680"/>
      <c r="AB55" s="680"/>
      <c r="AC55" s="680"/>
      <c r="AD55" s="680"/>
      <c r="AE55" s="680"/>
      <c r="AF55" s="681"/>
      <c r="AG55" s="739" t="s">
        <v>409</v>
      </c>
      <c r="AH55" s="740"/>
      <c r="AI55" s="740"/>
      <c r="AJ55" s="735" t="e">
        <f>Calcu!O7</f>
        <v>#DIV/0!</v>
      </c>
      <c r="AK55" s="735"/>
      <c r="AL55" s="735"/>
      <c r="AM55" s="735"/>
      <c r="AN55" s="735"/>
      <c r="AO55" s="735"/>
      <c r="AP55" s="735"/>
      <c r="AQ55" s="736"/>
      <c r="AR55" s="92"/>
      <c r="AS55" s="92"/>
      <c r="AT55" s="251"/>
    </row>
    <row r="56" spans="1:46" ht="18" customHeight="1">
      <c r="A56" s="387"/>
      <c r="B56" s="674">
        <f>Calcu!C16</f>
        <v>8</v>
      </c>
      <c r="C56" s="712"/>
      <c r="D56" s="712"/>
      <c r="E56" s="677" t="str">
        <f t="shared" si="3"/>
        <v/>
      </c>
      <c r="F56" s="678"/>
      <c r="G56" s="678"/>
      <c r="H56" s="678"/>
      <c r="I56" s="678"/>
      <c r="J56" s="678"/>
      <c r="K56" s="679"/>
      <c r="L56" s="677" t="str">
        <f t="shared" si="4"/>
        <v/>
      </c>
      <c r="M56" s="680"/>
      <c r="N56" s="680"/>
      <c r="O56" s="680"/>
      <c r="P56" s="680"/>
      <c r="Q56" s="680"/>
      <c r="R56" s="681"/>
      <c r="S56" s="677" t="str">
        <f t="shared" si="1"/>
        <v/>
      </c>
      <c r="T56" s="680"/>
      <c r="U56" s="680"/>
      <c r="V56" s="680"/>
      <c r="W56" s="680"/>
      <c r="X56" s="680"/>
      <c r="Y56" s="681"/>
      <c r="Z56" s="677" t="str">
        <f t="shared" si="2"/>
        <v/>
      </c>
      <c r="AA56" s="680"/>
      <c r="AB56" s="680"/>
      <c r="AC56" s="680"/>
      <c r="AD56" s="680"/>
      <c r="AE56" s="680"/>
      <c r="AF56" s="681"/>
      <c r="AG56" s="275"/>
      <c r="AH56" s="221"/>
      <c r="AI56" s="221"/>
      <c r="AJ56" s="737" t="str">
        <f>"("&amp;L48&amp;")/"&amp;E48</f>
        <v>(0)/0</v>
      </c>
      <c r="AK56" s="737"/>
      <c r="AL56" s="737"/>
      <c r="AM56" s="737"/>
      <c r="AN56" s="737"/>
      <c r="AO56" s="737"/>
      <c r="AP56" s="737"/>
      <c r="AQ56" s="738"/>
      <c r="AR56" s="92"/>
      <c r="AS56" s="92"/>
      <c r="AT56" s="251"/>
    </row>
    <row r="57" spans="1:46" ht="18" customHeight="1">
      <c r="A57" s="387"/>
      <c r="B57" s="674">
        <f>Calcu!C17</f>
        <v>9</v>
      </c>
      <c r="C57" s="712"/>
      <c r="D57" s="712"/>
      <c r="E57" s="677" t="str">
        <f t="shared" si="3"/>
        <v/>
      </c>
      <c r="F57" s="678"/>
      <c r="G57" s="678"/>
      <c r="H57" s="678"/>
      <c r="I57" s="678"/>
      <c r="J57" s="678"/>
      <c r="K57" s="679"/>
      <c r="L57" s="677" t="str">
        <f t="shared" si="4"/>
        <v/>
      </c>
      <c r="M57" s="680"/>
      <c r="N57" s="680"/>
      <c r="O57" s="680"/>
      <c r="P57" s="680"/>
      <c r="Q57" s="680"/>
      <c r="R57" s="681"/>
      <c r="S57" s="677" t="str">
        <f t="shared" si="1"/>
        <v/>
      </c>
      <c r="T57" s="680"/>
      <c r="U57" s="680"/>
      <c r="V57" s="680"/>
      <c r="W57" s="680"/>
      <c r="X57" s="680"/>
      <c r="Y57" s="681"/>
      <c r="Z57" s="677" t="str">
        <f t="shared" si="2"/>
        <v/>
      </c>
      <c r="AA57" s="680"/>
      <c r="AB57" s="680"/>
      <c r="AC57" s="680"/>
      <c r="AD57" s="680"/>
      <c r="AE57" s="680"/>
      <c r="AF57" s="681"/>
      <c r="AG57" s="729"/>
      <c r="AH57" s="730"/>
      <c r="AI57" s="730"/>
      <c r="AJ57" s="730"/>
      <c r="AK57" s="730"/>
      <c r="AL57" s="730"/>
      <c r="AM57" s="730"/>
      <c r="AN57" s="730"/>
      <c r="AO57" s="730"/>
      <c r="AP57" s="730"/>
      <c r="AQ57" s="731"/>
      <c r="AR57" s="92"/>
      <c r="AS57" s="92"/>
      <c r="AT57" s="251"/>
    </row>
    <row r="58" spans="1:46" ht="18" customHeight="1">
      <c r="A58" s="387"/>
      <c r="B58" s="674">
        <f>Calcu!C18</f>
        <v>10</v>
      </c>
      <c r="C58" s="712"/>
      <c r="D58" s="712"/>
      <c r="E58" s="677" t="str">
        <f t="shared" si="3"/>
        <v/>
      </c>
      <c r="F58" s="678"/>
      <c r="G58" s="678"/>
      <c r="H58" s="678"/>
      <c r="I58" s="678"/>
      <c r="J58" s="678"/>
      <c r="K58" s="679"/>
      <c r="L58" s="677" t="str">
        <f t="shared" si="4"/>
        <v/>
      </c>
      <c r="M58" s="680"/>
      <c r="N58" s="680"/>
      <c r="O58" s="680"/>
      <c r="P58" s="680"/>
      <c r="Q58" s="680"/>
      <c r="R58" s="681"/>
      <c r="S58" s="677" t="str">
        <f t="shared" si="1"/>
        <v/>
      </c>
      <c r="T58" s="680"/>
      <c r="U58" s="680"/>
      <c r="V58" s="680"/>
      <c r="W58" s="680"/>
      <c r="X58" s="680"/>
      <c r="Y58" s="681"/>
      <c r="Z58" s="677" t="str">
        <f t="shared" si="2"/>
        <v/>
      </c>
      <c r="AA58" s="680"/>
      <c r="AB58" s="680"/>
      <c r="AC58" s="680"/>
      <c r="AD58" s="680"/>
      <c r="AE58" s="680"/>
      <c r="AF58" s="681"/>
      <c r="AG58" s="732" t="s">
        <v>410</v>
      </c>
      <c r="AH58" s="733"/>
      <c r="AI58" s="733"/>
      <c r="AJ58" s="733"/>
      <c r="AK58" s="733"/>
      <c r="AL58" s="733"/>
      <c r="AM58" s="733"/>
      <c r="AN58" s="733"/>
      <c r="AO58" s="733"/>
      <c r="AP58" s="733"/>
      <c r="AQ58" s="734"/>
      <c r="AR58" s="92"/>
      <c r="AS58" s="92"/>
      <c r="AT58" s="251"/>
    </row>
    <row r="59" spans="1:46" ht="18" customHeight="1">
      <c r="A59" s="387"/>
      <c r="B59" s="674">
        <f>Calcu!C19</f>
        <v>11</v>
      </c>
      <c r="C59" s="712"/>
      <c r="D59" s="712"/>
      <c r="E59" s="677" t="str">
        <f t="shared" si="3"/>
        <v/>
      </c>
      <c r="F59" s="678"/>
      <c r="G59" s="678"/>
      <c r="H59" s="678"/>
      <c r="I59" s="678"/>
      <c r="J59" s="678"/>
      <c r="K59" s="679"/>
      <c r="L59" s="677" t="str">
        <f t="shared" si="4"/>
        <v/>
      </c>
      <c r="M59" s="680"/>
      <c r="N59" s="680"/>
      <c r="O59" s="680"/>
      <c r="P59" s="680"/>
      <c r="Q59" s="680"/>
      <c r="R59" s="681"/>
      <c r="S59" s="677" t="str">
        <f t="shared" si="1"/>
        <v/>
      </c>
      <c r="T59" s="680"/>
      <c r="U59" s="680"/>
      <c r="V59" s="680"/>
      <c r="W59" s="680"/>
      <c r="X59" s="680"/>
      <c r="Y59" s="681"/>
      <c r="Z59" s="677" t="str">
        <f t="shared" si="2"/>
        <v/>
      </c>
      <c r="AA59" s="680"/>
      <c r="AB59" s="680"/>
      <c r="AC59" s="680"/>
      <c r="AD59" s="680"/>
      <c r="AE59" s="680"/>
      <c r="AF59" s="681"/>
      <c r="AG59" s="739"/>
      <c r="AH59" s="740"/>
      <c r="AI59" s="740"/>
      <c r="AJ59" s="735" t="e">
        <f>Calcu!Q7</f>
        <v>#DIV/0!</v>
      </c>
      <c r="AK59" s="735"/>
      <c r="AL59" s="735"/>
      <c r="AM59" s="735"/>
      <c r="AN59" s="735"/>
      <c r="AO59" s="735"/>
      <c r="AP59" s="735"/>
      <c r="AQ59" s="736"/>
      <c r="AR59" s="92"/>
      <c r="AS59" s="92"/>
      <c r="AT59" s="251"/>
    </row>
    <row r="60" spans="1:46" ht="18" customHeight="1">
      <c r="A60" s="387"/>
      <c r="B60" s="674">
        <f>Calcu!C20</f>
        <v>12</v>
      </c>
      <c r="C60" s="712"/>
      <c r="D60" s="712"/>
      <c r="E60" s="677" t="str">
        <f t="shared" si="3"/>
        <v/>
      </c>
      <c r="F60" s="678"/>
      <c r="G60" s="678"/>
      <c r="H60" s="678"/>
      <c r="I60" s="678"/>
      <c r="J60" s="678"/>
      <c r="K60" s="679"/>
      <c r="L60" s="677" t="str">
        <f t="shared" si="4"/>
        <v/>
      </c>
      <c r="M60" s="680"/>
      <c r="N60" s="680"/>
      <c r="O60" s="680"/>
      <c r="P60" s="680"/>
      <c r="Q60" s="680"/>
      <c r="R60" s="681"/>
      <c r="S60" s="677" t="str">
        <f t="shared" si="1"/>
        <v/>
      </c>
      <c r="T60" s="680"/>
      <c r="U60" s="680"/>
      <c r="V60" s="680"/>
      <c r="W60" s="680"/>
      <c r="X60" s="680"/>
      <c r="Y60" s="681"/>
      <c r="Z60" s="677" t="str">
        <f t="shared" si="2"/>
        <v/>
      </c>
      <c r="AA60" s="680"/>
      <c r="AB60" s="680"/>
      <c r="AC60" s="680"/>
      <c r="AD60" s="680"/>
      <c r="AE60" s="680"/>
      <c r="AF60" s="681"/>
      <c r="AG60" s="275"/>
      <c r="AH60" s="221"/>
      <c r="AI60" s="221"/>
      <c r="AJ60" s="737" t="str">
        <f>E48&amp;"/("&amp;L48&amp;")"</f>
        <v>0/(0)</v>
      </c>
      <c r="AK60" s="737"/>
      <c r="AL60" s="737"/>
      <c r="AM60" s="737"/>
      <c r="AN60" s="737"/>
      <c r="AO60" s="737"/>
      <c r="AP60" s="737"/>
      <c r="AQ60" s="738"/>
      <c r="AR60" s="92"/>
      <c r="AS60" s="92"/>
      <c r="AT60" s="251"/>
    </row>
    <row r="61" spans="1:46" ht="18" customHeight="1">
      <c r="A61" s="387"/>
      <c r="B61" s="674">
        <f>Calcu!C21</f>
        <v>13</v>
      </c>
      <c r="C61" s="712"/>
      <c r="D61" s="712"/>
      <c r="E61" s="677" t="str">
        <f t="shared" si="3"/>
        <v/>
      </c>
      <c r="F61" s="678"/>
      <c r="G61" s="678"/>
      <c r="H61" s="678"/>
      <c r="I61" s="678"/>
      <c r="J61" s="678"/>
      <c r="K61" s="679"/>
      <c r="L61" s="677" t="str">
        <f t="shared" si="4"/>
        <v/>
      </c>
      <c r="M61" s="680"/>
      <c r="N61" s="680"/>
      <c r="O61" s="680"/>
      <c r="P61" s="680"/>
      <c r="Q61" s="680"/>
      <c r="R61" s="681"/>
      <c r="S61" s="677" t="str">
        <f t="shared" si="1"/>
        <v/>
      </c>
      <c r="T61" s="680"/>
      <c r="U61" s="680"/>
      <c r="V61" s="680"/>
      <c r="W61" s="680"/>
      <c r="X61" s="680"/>
      <c r="Y61" s="681"/>
      <c r="Z61" s="677" t="str">
        <f t="shared" si="2"/>
        <v/>
      </c>
      <c r="AA61" s="680"/>
      <c r="AB61" s="680"/>
      <c r="AC61" s="680"/>
      <c r="AD61" s="680"/>
      <c r="AE61" s="680"/>
      <c r="AF61" s="681"/>
      <c r="AG61" s="729"/>
      <c r="AH61" s="730"/>
      <c r="AI61" s="730"/>
      <c r="AJ61" s="730"/>
      <c r="AK61" s="730"/>
      <c r="AL61" s="730"/>
      <c r="AM61" s="730"/>
      <c r="AN61" s="730"/>
      <c r="AO61" s="730"/>
      <c r="AP61" s="730"/>
      <c r="AQ61" s="731"/>
      <c r="AR61" s="92"/>
      <c r="AS61" s="92"/>
      <c r="AT61" s="251"/>
    </row>
    <row r="62" spans="1:46" ht="18" customHeight="1">
      <c r="A62" s="387"/>
      <c r="B62" s="674">
        <f>Calcu!C22</f>
        <v>14</v>
      </c>
      <c r="C62" s="712"/>
      <c r="D62" s="712"/>
      <c r="E62" s="677" t="str">
        <f t="shared" si="3"/>
        <v/>
      </c>
      <c r="F62" s="678"/>
      <c r="G62" s="678"/>
      <c r="H62" s="678"/>
      <c r="I62" s="678"/>
      <c r="J62" s="678"/>
      <c r="K62" s="679"/>
      <c r="L62" s="677" t="str">
        <f t="shared" si="4"/>
        <v/>
      </c>
      <c r="M62" s="680"/>
      <c r="N62" s="680"/>
      <c r="O62" s="680"/>
      <c r="P62" s="680"/>
      <c r="Q62" s="680"/>
      <c r="R62" s="681"/>
      <c r="S62" s="677" t="str">
        <f t="shared" si="1"/>
        <v/>
      </c>
      <c r="T62" s="680"/>
      <c r="U62" s="680"/>
      <c r="V62" s="680"/>
      <c r="W62" s="680"/>
      <c r="X62" s="680"/>
      <c r="Y62" s="681"/>
      <c r="Z62" s="677" t="str">
        <f t="shared" si="2"/>
        <v/>
      </c>
      <c r="AA62" s="680"/>
      <c r="AB62" s="680"/>
      <c r="AC62" s="680"/>
      <c r="AD62" s="680"/>
      <c r="AE62" s="680"/>
      <c r="AF62" s="681"/>
      <c r="AG62" s="729"/>
      <c r="AH62" s="730"/>
      <c r="AI62" s="730"/>
      <c r="AJ62" s="730"/>
      <c r="AK62" s="730"/>
      <c r="AL62" s="730"/>
      <c r="AM62" s="730"/>
      <c r="AN62" s="730"/>
      <c r="AO62" s="730"/>
      <c r="AP62" s="730"/>
      <c r="AQ62" s="731"/>
      <c r="AR62" s="92"/>
      <c r="AS62" s="92"/>
      <c r="AT62" s="251"/>
    </row>
    <row r="63" spans="1:46" ht="18" customHeight="1">
      <c r="A63" s="387"/>
      <c r="B63" s="674">
        <f>Calcu!C23</f>
        <v>15</v>
      </c>
      <c r="C63" s="712"/>
      <c r="D63" s="712"/>
      <c r="E63" s="677" t="str">
        <f t="shared" si="3"/>
        <v/>
      </c>
      <c r="F63" s="678"/>
      <c r="G63" s="678"/>
      <c r="H63" s="678"/>
      <c r="I63" s="678"/>
      <c r="J63" s="678"/>
      <c r="K63" s="679"/>
      <c r="L63" s="677" t="str">
        <f t="shared" si="4"/>
        <v/>
      </c>
      <c r="M63" s="680"/>
      <c r="N63" s="680"/>
      <c r="O63" s="680"/>
      <c r="P63" s="680"/>
      <c r="Q63" s="680"/>
      <c r="R63" s="681"/>
      <c r="S63" s="677" t="str">
        <f t="shared" si="1"/>
        <v/>
      </c>
      <c r="T63" s="680"/>
      <c r="U63" s="680"/>
      <c r="V63" s="680"/>
      <c r="W63" s="680"/>
      <c r="X63" s="680"/>
      <c r="Y63" s="681"/>
      <c r="Z63" s="677" t="str">
        <f t="shared" si="2"/>
        <v/>
      </c>
      <c r="AA63" s="680"/>
      <c r="AB63" s="680"/>
      <c r="AC63" s="680"/>
      <c r="AD63" s="680"/>
      <c r="AE63" s="680"/>
      <c r="AF63" s="681"/>
      <c r="AG63" s="729"/>
      <c r="AH63" s="730"/>
      <c r="AI63" s="730"/>
      <c r="AJ63" s="730"/>
      <c r="AK63" s="730"/>
      <c r="AL63" s="730"/>
      <c r="AM63" s="730"/>
      <c r="AN63" s="730"/>
      <c r="AO63" s="730"/>
      <c r="AP63" s="730"/>
      <c r="AQ63" s="731"/>
      <c r="AR63" s="92"/>
      <c r="AS63" s="92"/>
      <c r="AT63" s="251"/>
    </row>
    <row r="64" spans="1:46" ht="18" customHeight="1">
      <c r="A64" s="387"/>
      <c r="B64" s="674">
        <f>Calcu!C24</f>
        <v>16</v>
      </c>
      <c r="C64" s="712"/>
      <c r="D64" s="712"/>
      <c r="E64" s="677" t="str">
        <f t="shared" si="3"/>
        <v/>
      </c>
      <c r="F64" s="678"/>
      <c r="G64" s="678"/>
      <c r="H64" s="678"/>
      <c r="I64" s="678"/>
      <c r="J64" s="678"/>
      <c r="K64" s="679"/>
      <c r="L64" s="677" t="str">
        <f t="shared" si="4"/>
        <v/>
      </c>
      <c r="M64" s="680"/>
      <c r="N64" s="680"/>
      <c r="O64" s="680"/>
      <c r="P64" s="680"/>
      <c r="Q64" s="680"/>
      <c r="R64" s="681"/>
      <c r="S64" s="677" t="str">
        <f t="shared" si="1"/>
        <v/>
      </c>
      <c r="T64" s="680"/>
      <c r="U64" s="680"/>
      <c r="V64" s="680"/>
      <c r="W64" s="680"/>
      <c r="X64" s="680"/>
      <c r="Y64" s="681"/>
      <c r="Z64" s="677" t="str">
        <f t="shared" si="2"/>
        <v/>
      </c>
      <c r="AA64" s="680"/>
      <c r="AB64" s="680"/>
      <c r="AC64" s="680"/>
      <c r="AD64" s="680"/>
      <c r="AE64" s="680"/>
      <c r="AF64" s="681"/>
      <c r="AG64" s="729"/>
      <c r="AH64" s="730"/>
      <c r="AI64" s="730"/>
      <c r="AJ64" s="730"/>
      <c r="AK64" s="730"/>
      <c r="AL64" s="730"/>
      <c r="AM64" s="730"/>
      <c r="AN64" s="730"/>
      <c r="AO64" s="730"/>
      <c r="AP64" s="730"/>
      <c r="AQ64" s="731"/>
      <c r="AR64" s="92"/>
      <c r="AS64" s="92"/>
      <c r="AT64" s="251"/>
    </row>
    <row r="65" spans="1:46" ht="18" customHeight="1">
      <c r="A65" s="387"/>
      <c r="B65" s="674">
        <f>Calcu!C25</f>
        <v>17</v>
      </c>
      <c r="C65" s="712"/>
      <c r="D65" s="712"/>
      <c r="E65" s="677" t="str">
        <f t="shared" si="3"/>
        <v/>
      </c>
      <c r="F65" s="678"/>
      <c r="G65" s="678"/>
      <c r="H65" s="678"/>
      <c r="I65" s="678"/>
      <c r="J65" s="678"/>
      <c r="K65" s="679"/>
      <c r="L65" s="677" t="str">
        <f t="shared" si="4"/>
        <v/>
      </c>
      <c r="M65" s="680"/>
      <c r="N65" s="680"/>
      <c r="O65" s="680"/>
      <c r="P65" s="680"/>
      <c r="Q65" s="680"/>
      <c r="R65" s="681"/>
      <c r="S65" s="677" t="str">
        <f t="shared" si="1"/>
        <v/>
      </c>
      <c r="T65" s="680"/>
      <c r="U65" s="680"/>
      <c r="V65" s="680"/>
      <c r="W65" s="680"/>
      <c r="X65" s="680"/>
      <c r="Y65" s="681"/>
      <c r="Z65" s="677" t="str">
        <f t="shared" si="2"/>
        <v/>
      </c>
      <c r="AA65" s="680"/>
      <c r="AB65" s="680"/>
      <c r="AC65" s="680"/>
      <c r="AD65" s="680"/>
      <c r="AE65" s="680"/>
      <c r="AF65" s="681"/>
      <c r="AG65" s="729"/>
      <c r="AH65" s="730"/>
      <c r="AI65" s="730"/>
      <c r="AJ65" s="730"/>
      <c r="AK65" s="730"/>
      <c r="AL65" s="730"/>
      <c r="AM65" s="730"/>
      <c r="AN65" s="730"/>
      <c r="AO65" s="730"/>
      <c r="AP65" s="730"/>
      <c r="AQ65" s="731"/>
      <c r="AR65" s="92"/>
      <c r="AS65" s="92"/>
      <c r="AT65" s="251"/>
    </row>
    <row r="66" spans="1:46" ht="18" customHeight="1">
      <c r="A66" s="387"/>
      <c r="B66" s="674">
        <f>Calcu!C26</f>
        <v>18</v>
      </c>
      <c r="C66" s="712"/>
      <c r="D66" s="712"/>
      <c r="E66" s="677" t="str">
        <f t="shared" si="3"/>
        <v/>
      </c>
      <c r="F66" s="678"/>
      <c r="G66" s="678"/>
      <c r="H66" s="678"/>
      <c r="I66" s="678"/>
      <c r="J66" s="678"/>
      <c r="K66" s="679"/>
      <c r="L66" s="677" t="str">
        <f t="shared" si="4"/>
        <v/>
      </c>
      <c r="M66" s="680"/>
      <c r="N66" s="680"/>
      <c r="O66" s="680"/>
      <c r="P66" s="680"/>
      <c r="Q66" s="680"/>
      <c r="R66" s="681"/>
      <c r="S66" s="677" t="str">
        <f t="shared" si="1"/>
        <v/>
      </c>
      <c r="T66" s="680"/>
      <c r="U66" s="680"/>
      <c r="V66" s="680"/>
      <c r="W66" s="680"/>
      <c r="X66" s="680"/>
      <c r="Y66" s="681"/>
      <c r="Z66" s="677" t="str">
        <f t="shared" si="2"/>
        <v/>
      </c>
      <c r="AA66" s="680"/>
      <c r="AB66" s="680"/>
      <c r="AC66" s="680"/>
      <c r="AD66" s="680"/>
      <c r="AE66" s="680"/>
      <c r="AF66" s="681"/>
      <c r="AG66" s="729"/>
      <c r="AH66" s="730"/>
      <c r="AI66" s="730"/>
      <c r="AJ66" s="730"/>
      <c r="AK66" s="730"/>
      <c r="AL66" s="730"/>
      <c r="AM66" s="730"/>
      <c r="AN66" s="730"/>
      <c r="AO66" s="730"/>
      <c r="AP66" s="730"/>
      <c r="AQ66" s="731"/>
      <c r="AR66" s="92"/>
      <c r="AS66" s="92"/>
      <c r="AT66" s="251"/>
    </row>
    <row r="67" spans="1:46" ht="18" customHeight="1">
      <c r="A67" s="387"/>
      <c r="B67" s="674">
        <f>Calcu!C27</f>
        <v>19</v>
      </c>
      <c r="C67" s="712"/>
      <c r="D67" s="712"/>
      <c r="E67" s="677" t="str">
        <f t="shared" si="3"/>
        <v/>
      </c>
      <c r="F67" s="678"/>
      <c r="G67" s="678"/>
      <c r="H67" s="678"/>
      <c r="I67" s="678"/>
      <c r="J67" s="678"/>
      <c r="K67" s="679"/>
      <c r="L67" s="677" t="str">
        <f t="shared" si="4"/>
        <v/>
      </c>
      <c r="M67" s="680"/>
      <c r="N67" s="680"/>
      <c r="O67" s="680"/>
      <c r="P67" s="680"/>
      <c r="Q67" s="680"/>
      <c r="R67" s="681"/>
      <c r="S67" s="677" t="str">
        <f t="shared" si="1"/>
        <v/>
      </c>
      <c r="T67" s="680"/>
      <c r="U67" s="680"/>
      <c r="V67" s="680"/>
      <c r="W67" s="680"/>
      <c r="X67" s="680"/>
      <c r="Y67" s="681"/>
      <c r="Z67" s="677" t="str">
        <f t="shared" si="2"/>
        <v/>
      </c>
      <c r="AA67" s="680"/>
      <c r="AB67" s="680"/>
      <c r="AC67" s="680"/>
      <c r="AD67" s="680"/>
      <c r="AE67" s="680"/>
      <c r="AF67" s="681"/>
      <c r="AG67" s="729"/>
      <c r="AH67" s="730"/>
      <c r="AI67" s="730"/>
      <c r="AJ67" s="730"/>
      <c r="AK67" s="730"/>
      <c r="AL67" s="730"/>
      <c r="AM67" s="730"/>
      <c r="AN67" s="730"/>
      <c r="AO67" s="730"/>
      <c r="AP67" s="730"/>
      <c r="AQ67" s="731"/>
      <c r="AR67" s="92"/>
      <c r="AS67" s="92"/>
      <c r="AT67" s="251"/>
    </row>
    <row r="68" spans="1:46" ht="18" customHeight="1">
      <c r="A68" s="387"/>
      <c r="B68" s="674">
        <f>Calcu!C28</f>
        <v>20</v>
      </c>
      <c r="C68" s="712"/>
      <c r="D68" s="712"/>
      <c r="E68" s="677" t="str">
        <f t="shared" si="3"/>
        <v/>
      </c>
      <c r="F68" s="678"/>
      <c r="G68" s="678"/>
      <c r="H68" s="678"/>
      <c r="I68" s="678"/>
      <c r="J68" s="678"/>
      <c r="K68" s="679"/>
      <c r="L68" s="677" t="str">
        <f t="shared" si="4"/>
        <v/>
      </c>
      <c r="M68" s="680"/>
      <c r="N68" s="680"/>
      <c r="O68" s="680"/>
      <c r="P68" s="680"/>
      <c r="Q68" s="680"/>
      <c r="R68" s="681"/>
      <c r="S68" s="677" t="str">
        <f t="shared" si="1"/>
        <v/>
      </c>
      <c r="T68" s="680"/>
      <c r="U68" s="680"/>
      <c r="V68" s="680"/>
      <c r="W68" s="680"/>
      <c r="X68" s="680"/>
      <c r="Y68" s="681"/>
      <c r="Z68" s="677" t="str">
        <f t="shared" si="2"/>
        <v/>
      </c>
      <c r="AA68" s="680"/>
      <c r="AB68" s="680"/>
      <c r="AC68" s="680"/>
      <c r="AD68" s="680"/>
      <c r="AE68" s="680"/>
      <c r="AF68" s="681"/>
      <c r="AG68" s="729"/>
      <c r="AH68" s="730"/>
      <c r="AI68" s="730"/>
      <c r="AJ68" s="730"/>
      <c r="AK68" s="730"/>
      <c r="AL68" s="730"/>
      <c r="AM68" s="730"/>
      <c r="AN68" s="730"/>
      <c r="AO68" s="730"/>
      <c r="AP68" s="730"/>
      <c r="AQ68" s="731"/>
      <c r="AR68" s="92"/>
      <c r="AS68" s="92"/>
      <c r="AT68" s="251"/>
    </row>
    <row r="69" spans="1:46" ht="18" customHeight="1">
      <c r="A69" s="387"/>
      <c r="B69" s="674">
        <f>Calcu!C29</f>
        <v>21</v>
      </c>
      <c r="C69" s="712"/>
      <c r="D69" s="712"/>
      <c r="E69" s="677" t="str">
        <f t="shared" si="3"/>
        <v/>
      </c>
      <c r="F69" s="678"/>
      <c r="G69" s="678"/>
      <c r="H69" s="678"/>
      <c r="I69" s="678"/>
      <c r="J69" s="678"/>
      <c r="K69" s="679"/>
      <c r="L69" s="677" t="str">
        <f t="shared" si="4"/>
        <v/>
      </c>
      <c r="M69" s="680"/>
      <c r="N69" s="680"/>
      <c r="O69" s="680"/>
      <c r="P69" s="680"/>
      <c r="Q69" s="680"/>
      <c r="R69" s="681"/>
      <c r="S69" s="677" t="str">
        <f t="shared" si="1"/>
        <v/>
      </c>
      <c r="T69" s="680"/>
      <c r="U69" s="680"/>
      <c r="V69" s="680"/>
      <c r="W69" s="680"/>
      <c r="X69" s="680"/>
      <c r="Y69" s="681"/>
      <c r="Z69" s="677" t="str">
        <f t="shared" si="2"/>
        <v/>
      </c>
      <c r="AA69" s="680"/>
      <c r="AB69" s="680"/>
      <c r="AC69" s="680"/>
      <c r="AD69" s="680"/>
      <c r="AE69" s="680"/>
      <c r="AF69" s="681"/>
      <c r="AG69" s="729"/>
      <c r="AH69" s="730"/>
      <c r="AI69" s="730"/>
      <c r="AJ69" s="730"/>
      <c r="AK69" s="730"/>
      <c r="AL69" s="730"/>
      <c r="AM69" s="730"/>
      <c r="AN69" s="730"/>
      <c r="AO69" s="730"/>
      <c r="AP69" s="730"/>
      <c r="AQ69" s="731"/>
      <c r="AR69" s="92"/>
      <c r="AS69" s="92"/>
      <c r="AT69" s="251"/>
    </row>
    <row r="70" spans="1:46" ht="18" customHeight="1">
      <c r="A70" s="387"/>
      <c r="B70" s="674">
        <f>Calcu!C30</f>
        <v>22</v>
      </c>
      <c r="C70" s="712"/>
      <c r="D70" s="712"/>
      <c r="E70" s="677" t="str">
        <f t="shared" si="3"/>
        <v/>
      </c>
      <c r="F70" s="678"/>
      <c r="G70" s="678"/>
      <c r="H70" s="678"/>
      <c r="I70" s="678"/>
      <c r="J70" s="678"/>
      <c r="K70" s="679"/>
      <c r="L70" s="677" t="str">
        <f t="shared" si="4"/>
        <v/>
      </c>
      <c r="M70" s="680"/>
      <c r="N70" s="680"/>
      <c r="O70" s="680"/>
      <c r="P70" s="680"/>
      <c r="Q70" s="680"/>
      <c r="R70" s="681"/>
      <c r="S70" s="677" t="str">
        <f t="shared" si="1"/>
        <v/>
      </c>
      <c r="T70" s="680"/>
      <c r="U70" s="680"/>
      <c r="V70" s="680"/>
      <c r="W70" s="680"/>
      <c r="X70" s="680"/>
      <c r="Y70" s="681"/>
      <c r="Z70" s="677" t="str">
        <f t="shared" si="2"/>
        <v/>
      </c>
      <c r="AA70" s="680"/>
      <c r="AB70" s="680"/>
      <c r="AC70" s="680"/>
      <c r="AD70" s="680"/>
      <c r="AE70" s="680"/>
      <c r="AF70" s="681"/>
      <c r="AG70" s="729"/>
      <c r="AH70" s="730"/>
      <c r="AI70" s="730"/>
      <c r="AJ70" s="730"/>
      <c r="AK70" s="730"/>
      <c r="AL70" s="730"/>
      <c r="AM70" s="730"/>
      <c r="AN70" s="730"/>
      <c r="AO70" s="730"/>
      <c r="AP70" s="730"/>
      <c r="AQ70" s="731"/>
      <c r="AR70" s="92"/>
      <c r="AS70" s="92"/>
      <c r="AT70" s="251"/>
    </row>
    <row r="71" spans="1:46" ht="18" customHeight="1">
      <c r="A71" s="387"/>
      <c r="B71" s="674">
        <f>Calcu!C31</f>
        <v>23</v>
      </c>
      <c r="C71" s="712"/>
      <c r="D71" s="712"/>
      <c r="E71" s="677" t="str">
        <f t="shared" si="3"/>
        <v/>
      </c>
      <c r="F71" s="678"/>
      <c r="G71" s="678"/>
      <c r="H71" s="678"/>
      <c r="I71" s="678"/>
      <c r="J71" s="678"/>
      <c r="K71" s="679"/>
      <c r="L71" s="677" t="str">
        <f t="shared" si="4"/>
        <v/>
      </c>
      <c r="M71" s="680"/>
      <c r="N71" s="680"/>
      <c r="O71" s="680"/>
      <c r="P71" s="680"/>
      <c r="Q71" s="680"/>
      <c r="R71" s="681"/>
      <c r="S71" s="677" t="str">
        <f t="shared" si="1"/>
        <v/>
      </c>
      <c r="T71" s="680"/>
      <c r="U71" s="680"/>
      <c r="V71" s="680"/>
      <c r="W71" s="680"/>
      <c r="X71" s="680"/>
      <c r="Y71" s="681"/>
      <c r="Z71" s="677" t="str">
        <f t="shared" si="2"/>
        <v/>
      </c>
      <c r="AA71" s="680"/>
      <c r="AB71" s="680"/>
      <c r="AC71" s="680"/>
      <c r="AD71" s="680"/>
      <c r="AE71" s="680"/>
      <c r="AF71" s="681"/>
      <c r="AG71" s="729"/>
      <c r="AH71" s="730"/>
      <c r="AI71" s="730"/>
      <c r="AJ71" s="730"/>
      <c r="AK71" s="730"/>
      <c r="AL71" s="730"/>
      <c r="AM71" s="730"/>
      <c r="AN71" s="730"/>
      <c r="AO71" s="730"/>
      <c r="AP71" s="730"/>
      <c r="AQ71" s="731"/>
      <c r="AR71" s="92"/>
      <c r="AS71" s="92"/>
      <c r="AT71" s="251"/>
    </row>
    <row r="72" spans="1:46" ht="18" customHeight="1">
      <c r="A72" s="387"/>
      <c r="B72" s="674">
        <f>Calcu!C32</f>
        <v>24</v>
      </c>
      <c r="C72" s="712"/>
      <c r="D72" s="712"/>
      <c r="E72" s="677" t="str">
        <f t="shared" si="3"/>
        <v/>
      </c>
      <c r="F72" s="678"/>
      <c r="G72" s="678"/>
      <c r="H72" s="678"/>
      <c r="I72" s="678"/>
      <c r="J72" s="678"/>
      <c r="K72" s="679"/>
      <c r="L72" s="677" t="str">
        <f t="shared" si="4"/>
        <v/>
      </c>
      <c r="M72" s="680"/>
      <c r="N72" s="680"/>
      <c r="O72" s="680"/>
      <c r="P72" s="680"/>
      <c r="Q72" s="680"/>
      <c r="R72" s="681"/>
      <c r="S72" s="677" t="str">
        <f t="shared" si="1"/>
        <v/>
      </c>
      <c r="T72" s="680"/>
      <c r="U72" s="680"/>
      <c r="V72" s="680"/>
      <c r="W72" s="680"/>
      <c r="X72" s="680"/>
      <c r="Y72" s="681"/>
      <c r="Z72" s="677" t="str">
        <f t="shared" si="2"/>
        <v/>
      </c>
      <c r="AA72" s="680"/>
      <c r="AB72" s="680"/>
      <c r="AC72" s="680"/>
      <c r="AD72" s="680"/>
      <c r="AE72" s="680"/>
      <c r="AF72" s="681"/>
      <c r="AG72" s="729"/>
      <c r="AH72" s="730"/>
      <c r="AI72" s="730"/>
      <c r="AJ72" s="730"/>
      <c r="AK72" s="730"/>
      <c r="AL72" s="730"/>
      <c r="AM72" s="730"/>
      <c r="AN72" s="730"/>
      <c r="AO72" s="730"/>
      <c r="AP72" s="730"/>
      <c r="AQ72" s="731"/>
      <c r="AR72" s="92"/>
      <c r="AS72" s="92"/>
      <c r="AT72" s="251"/>
    </row>
    <row r="73" spans="1:46" ht="18" customHeight="1">
      <c r="A73" s="387"/>
      <c r="B73" s="674">
        <f>Calcu!C33</f>
        <v>25</v>
      </c>
      <c r="C73" s="712"/>
      <c r="D73" s="712"/>
      <c r="E73" s="677" t="str">
        <f t="shared" si="3"/>
        <v/>
      </c>
      <c r="F73" s="678"/>
      <c r="G73" s="678"/>
      <c r="H73" s="678"/>
      <c r="I73" s="678"/>
      <c r="J73" s="678"/>
      <c r="K73" s="679"/>
      <c r="L73" s="677" t="str">
        <f t="shared" si="4"/>
        <v/>
      </c>
      <c r="M73" s="680"/>
      <c r="N73" s="680"/>
      <c r="O73" s="680"/>
      <c r="P73" s="680"/>
      <c r="Q73" s="680"/>
      <c r="R73" s="681"/>
      <c r="S73" s="677" t="str">
        <f t="shared" si="1"/>
        <v/>
      </c>
      <c r="T73" s="680"/>
      <c r="U73" s="680"/>
      <c r="V73" s="680"/>
      <c r="W73" s="680"/>
      <c r="X73" s="680"/>
      <c r="Y73" s="681"/>
      <c r="Z73" s="677" t="str">
        <f t="shared" si="2"/>
        <v/>
      </c>
      <c r="AA73" s="680"/>
      <c r="AB73" s="680"/>
      <c r="AC73" s="680"/>
      <c r="AD73" s="680"/>
      <c r="AE73" s="680"/>
      <c r="AF73" s="681"/>
      <c r="AG73" s="729"/>
      <c r="AH73" s="730"/>
      <c r="AI73" s="730"/>
      <c r="AJ73" s="730"/>
      <c r="AK73" s="730"/>
      <c r="AL73" s="730"/>
      <c r="AM73" s="730"/>
      <c r="AN73" s="730"/>
      <c r="AO73" s="730"/>
      <c r="AP73" s="730"/>
      <c r="AQ73" s="731"/>
      <c r="AR73" s="92"/>
      <c r="AS73" s="92"/>
      <c r="AT73" s="251"/>
    </row>
    <row r="74" spans="1:46" ht="18" customHeight="1">
      <c r="A74" s="387"/>
      <c r="B74" s="674">
        <f>Calcu!C34</f>
        <v>26</v>
      </c>
      <c r="C74" s="712"/>
      <c r="D74" s="712"/>
      <c r="E74" s="677" t="str">
        <f t="shared" si="3"/>
        <v/>
      </c>
      <c r="F74" s="678"/>
      <c r="G74" s="678"/>
      <c r="H74" s="678"/>
      <c r="I74" s="678"/>
      <c r="J74" s="678"/>
      <c r="K74" s="679"/>
      <c r="L74" s="677" t="str">
        <f t="shared" si="4"/>
        <v/>
      </c>
      <c r="M74" s="680"/>
      <c r="N74" s="680"/>
      <c r="O74" s="680"/>
      <c r="P74" s="680"/>
      <c r="Q74" s="680"/>
      <c r="R74" s="681"/>
      <c r="S74" s="677" t="str">
        <f t="shared" si="1"/>
        <v/>
      </c>
      <c r="T74" s="680"/>
      <c r="U74" s="680"/>
      <c r="V74" s="680"/>
      <c r="W74" s="680"/>
      <c r="X74" s="680"/>
      <c r="Y74" s="681"/>
      <c r="Z74" s="677" t="str">
        <f t="shared" si="2"/>
        <v/>
      </c>
      <c r="AA74" s="680"/>
      <c r="AB74" s="680"/>
      <c r="AC74" s="680"/>
      <c r="AD74" s="680"/>
      <c r="AE74" s="680"/>
      <c r="AF74" s="681"/>
      <c r="AG74" s="729"/>
      <c r="AH74" s="730"/>
      <c r="AI74" s="730"/>
      <c r="AJ74" s="730"/>
      <c r="AK74" s="730"/>
      <c r="AL74" s="730"/>
      <c r="AM74" s="730"/>
      <c r="AN74" s="730"/>
      <c r="AO74" s="730"/>
      <c r="AP74" s="730"/>
      <c r="AQ74" s="731"/>
      <c r="AR74" s="92"/>
      <c r="AS74" s="92"/>
      <c r="AT74" s="251"/>
    </row>
    <row r="75" spans="1:46" ht="18" customHeight="1">
      <c r="A75" s="387"/>
      <c r="B75" s="674">
        <f>Calcu!C35</f>
        <v>27</v>
      </c>
      <c r="C75" s="712"/>
      <c r="D75" s="712"/>
      <c r="E75" s="677" t="str">
        <f t="shared" si="3"/>
        <v/>
      </c>
      <c r="F75" s="678"/>
      <c r="G75" s="678"/>
      <c r="H75" s="678"/>
      <c r="I75" s="678"/>
      <c r="J75" s="678"/>
      <c r="K75" s="679"/>
      <c r="L75" s="677" t="str">
        <f t="shared" si="4"/>
        <v/>
      </c>
      <c r="M75" s="680"/>
      <c r="N75" s="680"/>
      <c r="O75" s="680"/>
      <c r="P75" s="680"/>
      <c r="Q75" s="680"/>
      <c r="R75" s="681"/>
      <c r="S75" s="677" t="str">
        <f t="shared" si="1"/>
        <v/>
      </c>
      <c r="T75" s="680"/>
      <c r="U75" s="680"/>
      <c r="V75" s="680"/>
      <c r="W75" s="680"/>
      <c r="X75" s="680"/>
      <c r="Y75" s="681"/>
      <c r="Z75" s="677" t="str">
        <f t="shared" si="2"/>
        <v/>
      </c>
      <c r="AA75" s="680"/>
      <c r="AB75" s="680"/>
      <c r="AC75" s="680"/>
      <c r="AD75" s="680"/>
      <c r="AE75" s="680"/>
      <c r="AF75" s="681"/>
      <c r="AG75" s="729"/>
      <c r="AH75" s="730"/>
      <c r="AI75" s="730"/>
      <c r="AJ75" s="730"/>
      <c r="AK75" s="730"/>
      <c r="AL75" s="730"/>
      <c r="AM75" s="730"/>
      <c r="AN75" s="730"/>
      <c r="AO75" s="730"/>
      <c r="AP75" s="730"/>
      <c r="AQ75" s="731"/>
      <c r="AR75" s="92"/>
      <c r="AS75" s="92"/>
      <c r="AT75" s="251"/>
    </row>
    <row r="76" spans="1:46" ht="18" customHeight="1">
      <c r="A76" s="387"/>
      <c r="B76" s="674">
        <f>Calcu!C36</f>
        <v>28</v>
      </c>
      <c r="C76" s="712"/>
      <c r="D76" s="712"/>
      <c r="E76" s="677" t="str">
        <f t="shared" si="3"/>
        <v/>
      </c>
      <c r="F76" s="678"/>
      <c r="G76" s="678"/>
      <c r="H76" s="678"/>
      <c r="I76" s="678"/>
      <c r="J76" s="678"/>
      <c r="K76" s="679"/>
      <c r="L76" s="677" t="str">
        <f t="shared" si="4"/>
        <v/>
      </c>
      <c r="M76" s="680"/>
      <c r="N76" s="680"/>
      <c r="O76" s="680"/>
      <c r="P76" s="680"/>
      <c r="Q76" s="680"/>
      <c r="R76" s="681"/>
      <c r="S76" s="677" t="str">
        <f t="shared" si="1"/>
        <v/>
      </c>
      <c r="T76" s="680"/>
      <c r="U76" s="680"/>
      <c r="V76" s="680"/>
      <c r="W76" s="680"/>
      <c r="X76" s="680"/>
      <c r="Y76" s="681"/>
      <c r="Z76" s="677" t="str">
        <f t="shared" si="2"/>
        <v/>
      </c>
      <c r="AA76" s="680"/>
      <c r="AB76" s="680"/>
      <c r="AC76" s="680"/>
      <c r="AD76" s="680"/>
      <c r="AE76" s="680"/>
      <c r="AF76" s="681"/>
      <c r="AG76" s="729"/>
      <c r="AH76" s="730"/>
      <c r="AI76" s="730"/>
      <c r="AJ76" s="730"/>
      <c r="AK76" s="730"/>
      <c r="AL76" s="730"/>
      <c r="AM76" s="730"/>
      <c r="AN76" s="730"/>
      <c r="AO76" s="730"/>
      <c r="AP76" s="730"/>
      <c r="AQ76" s="731"/>
      <c r="AR76" s="92"/>
      <c r="AS76" s="92"/>
      <c r="AT76" s="251"/>
    </row>
    <row r="77" spans="1:46" ht="18" customHeight="1">
      <c r="A77" s="387"/>
      <c r="B77" s="674">
        <f>Calcu!C37</f>
        <v>29</v>
      </c>
      <c r="C77" s="712"/>
      <c r="D77" s="712"/>
      <c r="E77" s="677" t="str">
        <f t="shared" si="3"/>
        <v/>
      </c>
      <c r="F77" s="678"/>
      <c r="G77" s="678"/>
      <c r="H77" s="678"/>
      <c r="I77" s="678"/>
      <c r="J77" s="678"/>
      <c r="K77" s="679"/>
      <c r="L77" s="677" t="str">
        <f t="shared" si="4"/>
        <v/>
      </c>
      <c r="M77" s="680"/>
      <c r="N77" s="680"/>
      <c r="O77" s="680"/>
      <c r="P77" s="680"/>
      <c r="Q77" s="680"/>
      <c r="R77" s="681"/>
      <c r="S77" s="677" t="str">
        <f t="shared" si="1"/>
        <v/>
      </c>
      <c r="T77" s="680"/>
      <c r="U77" s="680"/>
      <c r="V77" s="680"/>
      <c r="W77" s="680"/>
      <c r="X77" s="680"/>
      <c r="Y77" s="681"/>
      <c r="Z77" s="677" t="str">
        <f t="shared" si="2"/>
        <v/>
      </c>
      <c r="AA77" s="680"/>
      <c r="AB77" s="680"/>
      <c r="AC77" s="680"/>
      <c r="AD77" s="680"/>
      <c r="AE77" s="680"/>
      <c r="AF77" s="681"/>
      <c r="AG77" s="729"/>
      <c r="AH77" s="730"/>
      <c r="AI77" s="730"/>
      <c r="AJ77" s="730"/>
      <c r="AK77" s="730"/>
      <c r="AL77" s="730"/>
      <c r="AM77" s="730"/>
      <c r="AN77" s="730"/>
      <c r="AO77" s="730"/>
      <c r="AP77" s="730"/>
      <c r="AQ77" s="731"/>
      <c r="AR77" s="92"/>
      <c r="AS77" s="92"/>
      <c r="AT77" s="251"/>
    </row>
    <row r="78" spans="1:46" ht="18" customHeight="1">
      <c r="A78" s="387"/>
      <c r="B78" s="674">
        <f>Calcu!C38</f>
        <v>30</v>
      </c>
      <c r="C78" s="712"/>
      <c r="D78" s="712"/>
      <c r="E78" s="677" t="str">
        <f t="shared" si="3"/>
        <v/>
      </c>
      <c r="F78" s="678"/>
      <c r="G78" s="678"/>
      <c r="H78" s="678"/>
      <c r="I78" s="678"/>
      <c r="J78" s="678"/>
      <c r="K78" s="679"/>
      <c r="L78" s="677" t="str">
        <f t="shared" si="4"/>
        <v/>
      </c>
      <c r="M78" s="680"/>
      <c r="N78" s="680"/>
      <c r="O78" s="680"/>
      <c r="P78" s="680"/>
      <c r="Q78" s="680"/>
      <c r="R78" s="681"/>
      <c r="S78" s="677" t="str">
        <f t="shared" si="1"/>
        <v/>
      </c>
      <c r="T78" s="680"/>
      <c r="U78" s="680"/>
      <c r="V78" s="680"/>
      <c r="W78" s="680"/>
      <c r="X78" s="680"/>
      <c r="Y78" s="681"/>
      <c r="Z78" s="677" t="str">
        <f t="shared" si="2"/>
        <v/>
      </c>
      <c r="AA78" s="680"/>
      <c r="AB78" s="680"/>
      <c r="AC78" s="680"/>
      <c r="AD78" s="680"/>
      <c r="AE78" s="680"/>
      <c r="AF78" s="681"/>
      <c r="AG78" s="729"/>
      <c r="AH78" s="730"/>
      <c r="AI78" s="730"/>
      <c r="AJ78" s="730"/>
      <c r="AK78" s="730"/>
      <c r="AL78" s="730"/>
      <c r="AM78" s="730"/>
      <c r="AN78" s="730"/>
      <c r="AO78" s="730"/>
      <c r="AP78" s="730"/>
      <c r="AQ78" s="731"/>
      <c r="AR78" s="92"/>
      <c r="AS78" s="92"/>
      <c r="AT78" s="251"/>
    </row>
    <row r="79" spans="1:46" s="251" customFormat="1" ht="18" customHeight="1">
      <c r="A79" s="387"/>
      <c r="B79" s="403"/>
      <c r="C79" s="403"/>
      <c r="D79" s="403"/>
      <c r="E79" s="403"/>
      <c r="F79" s="403"/>
      <c r="G79" s="403"/>
      <c r="H79" s="403"/>
      <c r="I79" s="403"/>
      <c r="J79" s="403"/>
      <c r="K79" s="403"/>
      <c r="L79" s="403"/>
      <c r="M79" s="403"/>
      <c r="N79" s="403"/>
      <c r="O79" s="403"/>
      <c r="P79" s="403"/>
      <c r="Q79" s="403"/>
      <c r="R79" s="403"/>
      <c r="S79" s="403"/>
      <c r="T79" s="403"/>
      <c r="U79" s="403"/>
      <c r="V79" s="403"/>
      <c r="W79" s="403"/>
      <c r="X79" s="403"/>
      <c r="Y79" s="403"/>
      <c r="Z79" s="403"/>
      <c r="AA79" s="403"/>
      <c r="AB79" s="403"/>
      <c r="AC79" s="403"/>
      <c r="AD79" s="403"/>
      <c r="AE79" s="403"/>
      <c r="AF79" s="403"/>
      <c r="AG79" s="403"/>
      <c r="AH79" s="403"/>
      <c r="AI79" s="403"/>
      <c r="AJ79" s="403"/>
      <c r="AK79" s="403"/>
      <c r="AL79" s="403"/>
      <c r="AM79" s="403"/>
      <c r="AN79" s="403"/>
      <c r="AO79" s="403"/>
      <c r="AP79" s="403"/>
      <c r="AQ79" s="403"/>
      <c r="AR79" s="92"/>
      <c r="AS79" s="92"/>
    </row>
    <row r="80" spans="1:46" ht="18" customHeight="1">
      <c r="A80" s="131" t="s">
        <v>411</v>
      </c>
      <c r="B80" s="251"/>
      <c r="C80" s="251"/>
      <c r="D80" s="251"/>
      <c r="E80" s="251"/>
      <c r="F80" s="251"/>
      <c r="G80" s="251"/>
      <c r="H80" s="251"/>
      <c r="I80" s="251"/>
      <c r="J80" s="251"/>
      <c r="K80" s="251"/>
      <c r="L80" s="251"/>
      <c r="M80" s="251"/>
      <c r="N80" s="251"/>
      <c r="O80" s="251"/>
      <c r="P80" s="251"/>
      <c r="Q80" s="251"/>
      <c r="R80" s="251"/>
      <c r="S80" s="251"/>
      <c r="T80" s="251"/>
      <c r="U80" s="251"/>
      <c r="V80" s="251"/>
      <c r="W80" s="251"/>
      <c r="X80" s="251"/>
      <c r="Y80" s="251"/>
      <c r="Z80" s="251"/>
      <c r="AA80" s="251"/>
      <c r="AB80" s="251"/>
      <c r="AC80" s="251"/>
      <c r="AD80" s="251"/>
      <c r="AE80" s="251"/>
      <c r="AF80" s="251"/>
      <c r="AG80" s="251"/>
      <c r="AH80" s="251"/>
      <c r="AI80" s="251"/>
      <c r="AJ80" s="251"/>
      <c r="AK80" s="251"/>
      <c r="AL80" s="251"/>
      <c r="AM80" s="251"/>
      <c r="AN80" s="251"/>
      <c r="AO80" s="251"/>
      <c r="AP80" s="251"/>
      <c r="AQ80" s="251"/>
      <c r="AR80" s="251"/>
      <c r="AS80" s="251"/>
      <c r="AT80" s="251"/>
    </row>
    <row r="81" spans="1:39" ht="18" customHeight="1">
      <c r="A81" s="387"/>
      <c r="B81" s="683" t="s">
        <v>137</v>
      </c>
      <c r="C81" s="684"/>
      <c r="D81" s="684"/>
      <c r="E81" s="684"/>
      <c r="F81" s="684"/>
      <c r="G81" s="684"/>
      <c r="H81" s="685"/>
      <c r="I81" s="683" t="s">
        <v>393</v>
      </c>
      <c r="J81" s="717"/>
      <c r="K81" s="717"/>
      <c r="L81" s="717"/>
      <c r="M81" s="717"/>
      <c r="N81" s="717"/>
      <c r="O81" s="741"/>
      <c r="P81" s="665" t="s">
        <v>412</v>
      </c>
      <c r="Q81" s="744"/>
      <c r="R81" s="744"/>
      <c r="S81" s="744"/>
      <c r="T81" s="744"/>
      <c r="U81" s="744"/>
      <c r="V81" s="744"/>
      <c r="W81" s="744"/>
      <c r="X81" s="744"/>
      <c r="Y81" s="744"/>
      <c r="Z81" s="744"/>
      <c r="AA81" s="744"/>
      <c r="AB81" s="744"/>
      <c r="AC81" s="744"/>
      <c r="AD81" s="744"/>
      <c r="AE81" s="744"/>
      <c r="AF81" s="744"/>
      <c r="AG81" s="744"/>
      <c r="AH81" s="744"/>
      <c r="AI81" s="744"/>
      <c r="AJ81" s="745"/>
      <c r="AK81" s="92"/>
      <c r="AL81" s="92"/>
      <c r="AM81" s="251"/>
    </row>
    <row r="82" spans="1:39" ht="18" customHeight="1">
      <c r="A82" s="387"/>
      <c r="B82" s="686"/>
      <c r="C82" s="687"/>
      <c r="D82" s="687"/>
      <c r="E82" s="687"/>
      <c r="F82" s="687"/>
      <c r="G82" s="687"/>
      <c r="H82" s="688"/>
      <c r="I82" s="718"/>
      <c r="J82" s="719"/>
      <c r="K82" s="719"/>
      <c r="L82" s="719"/>
      <c r="M82" s="719"/>
      <c r="N82" s="719"/>
      <c r="O82" s="742"/>
      <c r="P82" s="683" t="s">
        <v>398</v>
      </c>
      <c r="Q82" s="717"/>
      <c r="R82" s="717"/>
      <c r="S82" s="717"/>
      <c r="T82" s="717"/>
      <c r="U82" s="717"/>
      <c r="V82" s="741"/>
      <c r="W82" s="683" t="s">
        <v>413</v>
      </c>
      <c r="X82" s="717"/>
      <c r="Y82" s="717"/>
      <c r="Z82" s="717"/>
      <c r="AA82" s="717"/>
      <c r="AB82" s="717"/>
      <c r="AC82" s="741"/>
      <c r="AD82" s="683" t="s">
        <v>414</v>
      </c>
      <c r="AE82" s="717"/>
      <c r="AF82" s="717"/>
      <c r="AG82" s="717"/>
      <c r="AH82" s="717"/>
      <c r="AI82" s="717"/>
      <c r="AJ82" s="741"/>
      <c r="AK82" s="92"/>
      <c r="AL82" s="92"/>
      <c r="AM82" s="251"/>
    </row>
    <row r="83" spans="1:39" ht="18" customHeight="1">
      <c r="A83" s="387"/>
      <c r="B83" s="686"/>
      <c r="C83" s="687"/>
      <c r="D83" s="687"/>
      <c r="E83" s="687"/>
      <c r="F83" s="687"/>
      <c r="G83" s="687"/>
      <c r="H83" s="688"/>
      <c r="I83" s="720"/>
      <c r="J83" s="721"/>
      <c r="K83" s="721"/>
      <c r="L83" s="721"/>
      <c r="M83" s="721"/>
      <c r="N83" s="721"/>
      <c r="O83" s="743"/>
      <c r="P83" s="720"/>
      <c r="Q83" s="721"/>
      <c r="R83" s="721"/>
      <c r="S83" s="721"/>
      <c r="T83" s="721"/>
      <c r="U83" s="721"/>
      <c r="V83" s="743"/>
      <c r="W83" s="720"/>
      <c r="X83" s="721"/>
      <c r="Y83" s="721"/>
      <c r="Z83" s="721"/>
      <c r="AA83" s="721"/>
      <c r="AB83" s="721"/>
      <c r="AC83" s="743"/>
      <c r="AD83" s="720"/>
      <c r="AE83" s="721"/>
      <c r="AF83" s="721"/>
      <c r="AG83" s="721"/>
      <c r="AH83" s="721"/>
      <c r="AI83" s="721"/>
      <c r="AJ83" s="743"/>
      <c r="AK83" s="92"/>
      <c r="AL83" s="92"/>
      <c r="AM83" s="251"/>
    </row>
    <row r="84" spans="1:39" ht="18" customHeight="1">
      <c r="A84" s="387"/>
      <c r="B84" s="689"/>
      <c r="C84" s="690"/>
      <c r="D84" s="690"/>
      <c r="E84" s="690"/>
      <c r="F84" s="690"/>
      <c r="G84" s="690"/>
      <c r="H84" s="691"/>
      <c r="I84" s="668">
        <f>E48</f>
        <v>0</v>
      </c>
      <c r="J84" s="669"/>
      <c r="K84" s="669"/>
      <c r="L84" s="669"/>
      <c r="M84" s="669"/>
      <c r="N84" s="669"/>
      <c r="O84" s="670"/>
      <c r="P84" s="668">
        <f>AK13</f>
        <v>0</v>
      </c>
      <c r="Q84" s="671"/>
      <c r="R84" s="671"/>
      <c r="S84" s="671"/>
      <c r="T84" s="671"/>
      <c r="U84" s="671"/>
      <c r="V84" s="672"/>
      <c r="W84" s="668">
        <f>I84</f>
        <v>0</v>
      </c>
      <c r="X84" s="671"/>
      <c r="Y84" s="671"/>
      <c r="Z84" s="671"/>
      <c r="AA84" s="671"/>
      <c r="AB84" s="671"/>
      <c r="AC84" s="672"/>
      <c r="AD84" s="668">
        <f>W84</f>
        <v>0</v>
      </c>
      <c r="AE84" s="671"/>
      <c r="AF84" s="671"/>
      <c r="AG84" s="671"/>
      <c r="AH84" s="671"/>
      <c r="AI84" s="671"/>
      <c r="AJ84" s="672"/>
      <c r="AK84" s="92"/>
      <c r="AL84" s="92"/>
      <c r="AM84" s="251"/>
    </row>
    <row r="85" spans="1:39" ht="18" customHeight="1">
      <c r="A85" s="387"/>
      <c r="B85" s="674">
        <f>B49</f>
        <v>1</v>
      </c>
      <c r="C85" s="675"/>
      <c r="D85" s="675"/>
      <c r="E85" s="675"/>
      <c r="F85" s="675"/>
      <c r="G85" s="675"/>
      <c r="H85" s="676"/>
      <c r="I85" s="677" t="str">
        <f t="shared" ref="I85:I114" si="5">E49</f>
        <v/>
      </c>
      <c r="J85" s="678"/>
      <c r="K85" s="678"/>
      <c r="L85" s="678"/>
      <c r="M85" s="678"/>
      <c r="N85" s="678"/>
      <c r="O85" s="679"/>
      <c r="P85" s="677" t="str">
        <f t="shared" ref="P85:P114" si="6">AK14</f>
        <v/>
      </c>
      <c r="Q85" s="680"/>
      <c r="R85" s="680"/>
      <c r="S85" s="680"/>
      <c r="T85" s="680"/>
      <c r="U85" s="680"/>
      <c r="V85" s="681"/>
      <c r="W85" s="677" t="str">
        <f>IF(I85="","",P85*AJ$59)</f>
        <v/>
      </c>
      <c r="X85" s="680"/>
      <c r="Y85" s="680"/>
      <c r="Z85" s="680"/>
      <c r="AA85" s="680"/>
      <c r="AB85" s="680"/>
      <c r="AC85" s="681"/>
      <c r="AD85" s="677" t="str">
        <f>IF(I85="","",I85-W85)</f>
        <v/>
      </c>
      <c r="AE85" s="680"/>
      <c r="AF85" s="680"/>
      <c r="AG85" s="680"/>
      <c r="AH85" s="680"/>
      <c r="AI85" s="680"/>
      <c r="AJ85" s="681"/>
      <c r="AK85" s="92"/>
      <c r="AL85" s="92"/>
      <c r="AM85" s="251"/>
    </row>
    <row r="86" spans="1:39" ht="18" customHeight="1">
      <c r="A86" s="387"/>
      <c r="B86" s="674">
        <f t="shared" ref="B86:B114" si="7">B50</f>
        <v>2</v>
      </c>
      <c r="C86" s="675"/>
      <c r="D86" s="675"/>
      <c r="E86" s="675"/>
      <c r="F86" s="675"/>
      <c r="G86" s="675"/>
      <c r="H86" s="676"/>
      <c r="I86" s="677" t="str">
        <f t="shared" si="5"/>
        <v/>
      </c>
      <c r="J86" s="678"/>
      <c r="K86" s="678"/>
      <c r="L86" s="678"/>
      <c r="M86" s="678"/>
      <c r="N86" s="678"/>
      <c r="O86" s="679"/>
      <c r="P86" s="677" t="str">
        <f t="shared" si="6"/>
        <v/>
      </c>
      <c r="Q86" s="680"/>
      <c r="R86" s="680"/>
      <c r="S86" s="680"/>
      <c r="T86" s="680"/>
      <c r="U86" s="680"/>
      <c r="V86" s="681"/>
      <c r="W86" s="677" t="str">
        <f t="shared" ref="W86:W114" si="8">IF(I86="","",P86*AJ$59)</f>
        <v/>
      </c>
      <c r="X86" s="680"/>
      <c r="Y86" s="680"/>
      <c r="Z86" s="680"/>
      <c r="AA86" s="680"/>
      <c r="AB86" s="680"/>
      <c r="AC86" s="681"/>
      <c r="AD86" s="677" t="str">
        <f t="shared" ref="AD86:AD114" si="9">IF(I86="","",I86-W86)</f>
        <v/>
      </c>
      <c r="AE86" s="680"/>
      <c r="AF86" s="680"/>
      <c r="AG86" s="680"/>
      <c r="AH86" s="680"/>
      <c r="AI86" s="680"/>
      <c r="AJ86" s="681"/>
      <c r="AK86" s="92"/>
      <c r="AL86" s="92"/>
      <c r="AM86" s="251"/>
    </row>
    <row r="87" spans="1:39" ht="18" customHeight="1">
      <c r="A87" s="387"/>
      <c r="B87" s="674">
        <f t="shared" si="7"/>
        <v>3</v>
      </c>
      <c r="C87" s="675"/>
      <c r="D87" s="675"/>
      <c r="E87" s="675"/>
      <c r="F87" s="675"/>
      <c r="G87" s="675"/>
      <c r="H87" s="676"/>
      <c r="I87" s="677" t="str">
        <f t="shared" si="5"/>
        <v/>
      </c>
      <c r="J87" s="678"/>
      <c r="K87" s="678"/>
      <c r="L87" s="678"/>
      <c r="M87" s="678"/>
      <c r="N87" s="678"/>
      <c r="O87" s="679"/>
      <c r="P87" s="677" t="str">
        <f t="shared" si="6"/>
        <v/>
      </c>
      <c r="Q87" s="680"/>
      <c r="R87" s="680"/>
      <c r="S87" s="680"/>
      <c r="T87" s="680"/>
      <c r="U87" s="680"/>
      <c r="V87" s="681"/>
      <c r="W87" s="677" t="str">
        <f t="shared" si="8"/>
        <v/>
      </c>
      <c r="X87" s="680"/>
      <c r="Y87" s="680"/>
      <c r="Z87" s="680"/>
      <c r="AA87" s="680"/>
      <c r="AB87" s="680"/>
      <c r="AC87" s="681"/>
      <c r="AD87" s="677" t="str">
        <f t="shared" si="9"/>
        <v/>
      </c>
      <c r="AE87" s="680"/>
      <c r="AF87" s="680"/>
      <c r="AG87" s="680"/>
      <c r="AH87" s="680"/>
      <c r="AI87" s="680"/>
      <c r="AJ87" s="681"/>
      <c r="AK87" s="92"/>
      <c r="AL87" s="92"/>
      <c r="AM87" s="251"/>
    </row>
    <row r="88" spans="1:39" ht="18" customHeight="1">
      <c r="A88" s="387"/>
      <c r="B88" s="674">
        <f t="shared" si="7"/>
        <v>4</v>
      </c>
      <c r="C88" s="675"/>
      <c r="D88" s="675"/>
      <c r="E88" s="675"/>
      <c r="F88" s="675"/>
      <c r="G88" s="675"/>
      <c r="H88" s="676"/>
      <c r="I88" s="677" t="str">
        <f t="shared" si="5"/>
        <v/>
      </c>
      <c r="J88" s="678"/>
      <c r="K88" s="678"/>
      <c r="L88" s="678"/>
      <c r="M88" s="678"/>
      <c r="N88" s="678"/>
      <c r="O88" s="679"/>
      <c r="P88" s="677" t="str">
        <f t="shared" si="6"/>
        <v/>
      </c>
      <c r="Q88" s="680"/>
      <c r="R88" s="680"/>
      <c r="S88" s="680"/>
      <c r="T88" s="680"/>
      <c r="U88" s="680"/>
      <c r="V88" s="681"/>
      <c r="W88" s="677" t="str">
        <f t="shared" si="8"/>
        <v/>
      </c>
      <c r="X88" s="680"/>
      <c r="Y88" s="680"/>
      <c r="Z88" s="680"/>
      <c r="AA88" s="680"/>
      <c r="AB88" s="680"/>
      <c r="AC88" s="681"/>
      <c r="AD88" s="677" t="str">
        <f t="shared" si="9"/>
        <v/>
      </c>
      <c r="AE88" s="680"/>
      <c r="AF88" s="680"/>
      <c r="AG88" s="680"/>
      <c r="AH88" s="680"/>
      <c r="AI88" s="680"/>
      <c r="AJ88" s="681"/>
      <c r="AK88" s="92"/>
      <c r="AL88" s="92"/>
      <c r="AM88" s="251"/>
    </row>
    <row r="89" spans="1:39" ht="18" customHeight="1">
      <c r="A89" s="387"/>
      <c r="B89" s="674">
        <f t="shared" si="7"/>
        <v>5</v>
      </c>
      <c r="C89" s="675"/>
      <c r="D89" s="675"/>
      <c r="E89" s="675"/>
      <c r="F89" s="675"/>
      <c r="G89" s="675"/>
      <c r="H89" s="676"/>
      <c r="I89" s="677" t="str">
        <f t="shared" si="5"/>
        <v/>
      </c>
      <c r="J89" s="678"/>
      <c r="K89" s="678"/>
      <c r="L89" s="678"/>
      <c r="M89" s="678"/>
      <c r="N89" s="678"/>
      <c r="O89" s="679"/>
      <c r="P89" s="677" t="str">
        <f t="shared" si="6"/>
        <v/>
      </c>
      <c r="Q89" s="680"/>
      <c r="R89" s="680"/>
      <c r="S89" s="680"/>
      <c r="T89" s="680"/>
      <c r="U89" s="680"/>
      <c r="V89" s="681"/>
      <c r="W89" s="677" t="str">
        <f t="shared" si="8"/>
        <v/>
      </c>
      <c r="X89" s="680"/>
      <c r="Y89" s="680"/>
      <c r="Z89" s="680"/>
      <c r="AA89" s="680"/>
      <c r="AB89" s="680"/>
      <c r="AC89" s="681"/>
      <c r="AD89" s="677" t="str">
        <f t="shared" si="9"/>
        <v/>
      </c>
      <c r="AE89" s="680"/>
      <c r="AF89" s="680"/>
      <c r="AG89" s="680"/>
      <c r="AH89" s="680"/>
      <c r="AI89" s="680"/>
      <c r="AJ89" s="681"/>
      <c r="AK89" s="92"/>
      <c r="AL89" s="92"/>
      <c r="AM89" s="251"/>
    </row>
    <row r="90" spans="1:39" ht="18" customHeight="1">
      <c r="A90" s="387"/>
      <c r="B90" s="674">
        <f t="shared" si="7"/>
        <v>6</v>
      </c>
      <c r="C90" s="675"/>
      <c r="D90" s="675"/>
      <c r="E90" s="675"/>
      <c r="F90" s="675"/>
      <c r="G90" s="675"/>
      <c r="H90" s="676"/>
      <c r="I90" s="677" t="str">
        <f t="shared" si="5"/>
        <v/>
      </c>
      <c r="J90" s="678"/>
      <c r="K90" s="678"/>
      <c r="L90" s="678"/>
      <c r="M90" s="678"/>
      <c r="N90" s="678"/>
      <c r="O90" s="679"/>
      <c r="P90" s="677" t="str">
        <f t="shared" si="6"/>
        <v/>
      </c>
      <c r="Q90" s="680"/>
      <c r="R90" s="680"/>
      <c r="S90" s="680"/>
      <c r="T90" s="680"/>
      <c r="U90" s="680"/>
      <c r="V90" s="681"/>
      <c r="W90" s="677" t="str">
        <f t="shared" si="8"/>
        <v/>
      </c>
      <c r="X90" s="680"/>
      <c r="Y90" s="680"/>
      <c r="Z90" s="680"/>
      <c r="AA90" s="680"/>
      <c r="AB90" s="680"/>
      <c r="AC90" s="681"/>
      <c r="AD90" s="677" t="str">
        <f t="shared" si="9"/>
        <v/>
      </c>
      <c r="AE90" s="680"/>
      <c r="AF90" s="680"/>
      <c r="AG90" s="680"/>
      <c r="AH90" s="680"/>
      <c r="AI90" s="680"/>
      <c r="AJ90" s="681"/>
      <c r="AK90" s="92"/>
      <c r="AL90" s="92"/>
      <c r="AM90" s="251"/>
    </row>
    <row r="91" spans="1:39" ht="18" customHeight="1">
      <c r="A91" s="387"/>
      <c r="B91" s="674">
        <f t="shared" si="7"/>
        <v>7</v>
      </c>
      <c r="C91" s="675"/>
      <c r="D91" s="675"/>
      <c r="E91" s="675"/>
      <c r="F91" s="675"/>
      <c r="G91" s="675"/>
      <c r="H91" s="676"/>
      <c r="I91" s="677" t="str">
        <f t="shared" si="5"/>
        <v/>
      </c>
      <c r="J91" s="678"/>
      <c r="K91" s="678"/>
      <c r="L91" s="678"/>
      <c r="M91" s="678"/>
      <c r="N91" s="678"/>
      <c r="O91" s="679"/>
      <c r="P91" s="677" t="str">
        <f t="shared" si="6"/>
        <v/>
      </c>
      <c r="Q91" s="680"/>
      <c r="R91" s="680"/>
      <c r="S91" s="680"/>
      <c r="T91" s="680"/>
      <c r="U91" s="680"/>
      <c r="V91" s="681"/>
      <c r="W91" s="677" t="str">
        <f t="shared" si="8"/>
        <v/>
      </c>
      <c r="X91" s="680"/>
      <c r="Y91" s="680"/>
      <c r="Z91" s="680"/>
      <c r="AA91" s="680"/>
      <c r="AB91" s="680"/>
      <c r="AC91" s="681"/>
      <c r="AD91" s="677" t="str">
        <f t="shared" si="9"/>
        <v/>
      </c>
      <c r="AE91" s="680"/>
      <c r="AF91" s="680"/>
      <c r="AG91" s="680"/>
      <c r="AH91" s="680"/>
      <c r="AI91" s="680"/>
      <c r="AJ91" s="681"/>
      <c r="AK91" s="92"/>
      <c r="AL91" s="92"/>
      <c r="AM91" s="251"/>
    </row>
    <row r="92" spans="1:39" ht="18" customHeight="1">
      <c r="A92" s="387"/>
      <c r="B92" s="674">
        <f t="shared" si="7"/>
        <v>8</v>
      </c>
      <c r="C92" s="675"/>
      <c r="D92" s="675"/>
      <c r="E92" s="675"/>
      <c r="F92" s="675"/>
      <c r="G92" s="675"/>
      <c r="H92" s="676"/>
      <c r="I92" s="677" t="str">
        <f t="shared" si="5"/>
        <v/>
      </c>
      <c r="J92" s="678"/>
      <c r="K92" s="678"/>
      <c r="L92" s="678"/>
      <c r="M92" s="678"/>
      <c r="N92" s="678"/>
      <c r="O92" s="679"/>
      <c r="P92" s="677" t="str">
        <f t="shared" si="6"/>
        <v/>
      </c>
      <c r="Q92" s="680"/>
      <c r="R92" s="680"/>
      <c r="S92" s="680"/>
      <c r="T92" s="680"/>
      <c r="U92" s="680"/>
      <c r="V92" s="681"/>
      <c r="W92" s="677" t="str">
        <f t="shared" si="8"/>
        <v/>
      </c>
      <c r="X92" s="680"/>
      <c r="Y92" s="680"/>
      <c r="Z92" s="680"/>
      <c r="AA92" s="680"/>
      <c r="AB92" s="680"/>
      <c r="AC92" s="681"/>
      <c r="AD92" s="677" t="str">
        <f t="shared" si="9"/>
        <v/>
      </c>
      <c r="AE92" s="680"/>
      <c r="AF92" s="680"/>
      <c r="AG92" s="680"/>
      <c r="AH92" s="680"/>
      <c r="AI92" s="680"/>
      <c r="AJ92" s="681"/>
      <c r="AK92" s="92"/>
      <c r="AL92" s="92"/>
      <c r="AM92" s="251"/>
    </row>
    <row r="93" spans="1:39" ht="18" customHeight="1">
      <c r="A93" s="387"/>
      <c r="B93" s="674">
        <f t="shared" si="7"/>
        <v>9</v>
      </c>
      <c r="C93" s="675"/>
      <c r="D93" s="675"/>
      <c r="E93" s="675"/>
      <c r="F93" s="675"/>
      <c r="G93" s="675"/>
      <c r="H93" s="676"/>
      <c r="I93" s="677" t="str">
        <f t="shared" si="5"/>
        <v/>
      </c>
      <c r="J93" s="678"/>
      <c r="K93" s="678"/>
      <c r="L93" s="678"/>
      <c r="M93" s="678"/>
      <c r="N93" s="678"/>
      <c r="O93" s="679"/>
      <c r="P93" s="677" t="str">
        <f t="shared" si="6"/>
        <v/>
      </c>
      <c r="Q93" s="680"/>
      <c r="R93" s="680"/>
      <c r="S93" s="680"/>
      <c r="T93" s="680"/>
      <c r="U93" s="680"/>
      <c r="V93" s="681"/>
      <c r="W93" s="677" t="str">
        <f t="shared" si="8"/>
        <v/>
      </c>
      <c r="X93" s="680"/>
      <c r="Y93" s="680"/>
      <c r="Z93" s="680"/>
      <c r="AA93" s="680"/>
      <c r="AB93" s="680"/>
      <c r="AC93" s="681"/>
      <c r="AD93" s="677" t="str">
        <f t="shared" si="9"/>
        <v/>
      </c>
      <c r="AE93" s="680"/>
      <c r="AF93" s="680"/>
      <c r="AG93" s="680"/>
      <c r="AH93" s="680"/>
      <c r="AI93" s="680"/>
      <c r="AJ93" s="681"/>
      <c r="AK93" s="92"/>
      <c r="AL93" s="92"/>
      <c r="AM93" s="251"/>
    </row>
    <row r="94" spans="1:39" ht="18" customHeight="1">
      <c r="A94" s="387"/>
      <c r="B94" s="674">
        <f t="shared" si="7"/>
        <v>10</v>
      </c>
      <c r="C94" s="675"/>
      <c r="D94" s="675"/>
      <c r="E94" s="675"/>
      <c r="F94" s="675"/>
      <c r="G94" s="675"/>
      <c r="H94" s="676"/>
      <c r="I94" s="677" t="str">
        <f t="shared" si="5"/>
        <v/>
      </c>
      <c r="J94" s="678"/>
      <c r="K94" s="678"/>
      <c r="L94" s="678"/>
      <c r="M94" s="678"/>
      <c r="N94" s="678"/>
      <c r="O94" s="679"/>
      <c r="P94" s="677" t="str">
        <f t="shared" si="6"/>
        <v/>
      </c>
      <c r="Q94" s="680"/>
      <c r="R94" s="680"/>
      <c r="S94" s="680"/>
      <c r="T94" s="680"/>
      <c r="U94" s="680"/>
      <c r="V94" s="681"/>
      <c r="W94" s="677" t="str">
        <f t="shared" si="8"/>
        <v/>
      </c>
      <c r="X94" s="680"/>
      <c r="Y94" s="680"/>
      <c r="Z94" s="680"/>
      <c r="AA94" s="680"/>
      <c r="AB94" s="680"/>
      <c r="AC94" s="681"/>
      <c r="AD94" s="677" t="str">
        <f t="shared" si="9"/>
        <v/>
      </c>
      <c r="AE94" s="680"/>
      <c r="AF94" s="680"/>
      <c r="AG94" s="680"/>
      <c r="AH94" s="680"/>
      <c r="AI94" s="680"/>
      <c r="AJ94" s="681"/>
      <c r="AK94" s="92"/>
      <c r="AL94" s="92"/>
      <c r="AM94" s="251"/>
    </row>
    <row r="95" spans="1:39" ht="18" customHeight="1">
      <c r="A95" s="387"/>
      <c r="B95" s="674">
        <f t="shared" si="7"/>
        <v>11</v>
      </c>
      <c r="C95" s="675"/>
      <c r="D95" s="675"/>
      <c r="E95" s="675"/>
      <c r="F95" s="675"/>
      <c r="G95" s="675"/>
      <c r="H95" s="676"/>
      <c r="I95" s="677" t="str">
        <f t="shared" si="5"/>
        <v/>
      </c>
      <c r="J95" s="678"/>
      <c r="K95" s="678"/>
      <c r="L95" s="678"/>
      <c r="M95" s="678"/>
      <c r="N95" s="678"/>
      <c r="O95" s="679"/>
      <c r="P95" s="677" t="str">
        <f t="shared" si="6"/>
        <v/>
      </c>
      <c r="Q95" s="680"/>
      <c r="R95" s="680"/>
      <c r="S95" s="680"/>
      <c r="T95" s="680"/>
      <c r="U95" s="680"/>
      <c r="V95" s="681"/>
      <c r="W95" s="677" t="str">
        <f t="shared" si="8"/>
        <v/>
      </c>
      <c r="X95" s="680"/>
      <c r="Y95" s="680"/>
      <c r="Z95" s="680"/>
      <c r="AA95" s="680"/>
      <c r="AB95" s="680"/>
      <c r="AC95" s="681"/>
      <c r="AD95" s="677" t="str">
        <f t="shared" si="9"/>
        <v/>
      </c>
      <c r="AE95" s="680"/>
      <c r="AF95" s="680"/>
      <c r="AG95" s="680"/>
      <c r="AH95" s="680"/>
      <c r="AI95" s="680"/>
      <c r="AJ95" s="681"/>
      <c r="AK95" s="92"/>
      <c r="AL95" s="92"/>
      <c r="AM95" s="251"/>
    </row>
    <row r="96" spans="1:39" ht="18" customHeight="1">
      <c r="A96" s="387"/>
      <c r="B96" s="674">
        <f t="shared" si="7"/>
        <v>12</v>
      </c>
      <c r="C96" s="675"/>
      <c r="D96" s="675"/>
      <c r="E96" s="675"/>
      <c r="F96" s="675"/>
      <c r="G96" s="675"/>
      <c r="H96" s="676"/>
      <c r="I96" s="677" t="str">
        <f t="shared" si="5"/>
        <v/>
      </c>
      <c r="J96" s="678"/>
      <c r="K96" s="678"/>
      <c r="L96" s="678"/>
      <c r="M96" s="678"/>
      <c r="N96" s="678"/>
      <c r="O96" s="679"/>
      <c r="P96" s="677" t="str">
        <f t="shared" si="6"/>
        <v/>
      </c>
      <c r="Q96" s="680"/>
      <c r="R96" s="680"/>
      <c r="S96" s="680"/>
      <c r="T96" s="680"/>
      <c r="U96" s="680"/>
      <c r="V96" s="681"/>
      <c r="W96" s="677" t="str">
        <f t="shared" si="8"/>
        <v/>
      </c>
      <c r="X96" s="680"/>
      <c r="Y96" s="680"/>
      <c r="Z96" s="680"/>
      <c r="AA96" s="680"/>
      <c r="AB96" s="680"/>
      <c r="AC96" s="681"/>
      <c r="AD96" s="677" t="str">
        <f t="shared" si="9"/>
        <v/>
      </c>
      <c r="AE96" s="680"/>
      <c r="AF96" s="680"/>
      <c r="AG96" s="680"/>
      <c r="AH96" s="680"/>
      <c r="AI96" s="680"/>
      <c r="AJ96" s="681"/>
      <c r="AK96" s="92"/>
      <c r="AL96" s="92"/>
      <c r="AM96" s="251"/>
    </row>
    <row r="97" spans="1:39" ht="18" customHeight="1">
      <c r="A97" s="387"/>
      <c r="B97" s="674">
        <f t="shared" si="7"/>
        <v>13</v>
      </c>
      <c r="C97" s="675"/>
      <c r="D97" s="675"/>
      <c r="E97" s="675"/>
      <c r="F97" s="675"/>
      <c r="G97" s="675"/>
      <c r="H97" s="676"/>
      <c r="I97" s="677" t="str">
        <f t="shared" si="5"/>
        <v/>
      </c>
      <c r="J97" s="678"/>
      <c r="K97" s="678"/>
      <c r="L97" s="678"/>
      <c r="M97" s="678"/>
      <c r="N97" s="678"/>
      <c r="O97" s="679"/>
      <c r="P97" s="677" t="str">
        <f t="shared" si="6"/>
        <v/>
      </c>
      <c r="Q97" s="680"/>
      <c r="R97" s="680"/>
      <c r="S97" s="680"/>
      <c r="T97" s="680"/>
      <c r="U97" s="680"/>
      <c r="V97" s="681"/>
      <c r="W97" s="677" t="str">
        <f t="shared" si="8"/>
        <v/>
      </c>
      <c r="X97" s="680"/>
      <c r="Y97" s="680"/>
      <c r="Z97" s="680"/>
      <c r="AA97" s="680"/>
      <c r="AB97" s="680"/>
      <c r="AC97" s="681"/>
      <c r="AD97" s="677" t="str">
        <f t="shared" si="9"/>
        <v/>
      </c>
      <c r="AE97" s="680"/>
      <c r="AF97" s="680"/>
      <c r="AG97" s="680"/>
      <c r="AH97" s="680"/>
      <c r="AI97" s="680"/>
      <c r="AJ97" s="681"/>
      <c r="AK97" s="92"/>
      <c r="AL97" s="92"/>
      <c r="AM97" s="251"/>
    </row>
    <row r="98" spans="1:39" ht="18" customHeight="1">
      <c r="A98" s="387"/>
      <c r="B98" s="674">
        <f t="shared" si="7"/>
        <v>14</v>
      </c>
      <c r="C98" s="675"/>
      <c r="D98" s="675"/>
      <c r="E98" s="675"/>
      <c r="F98" s="675"/>
      <c r="G98" s="675"/>
      <c r="H98" s="676"/>
      <c r="I98" s="677" t="str">
        <f t="shared" si="5"/>
        <v/>
      </c>
      <c r="J98" s="678"/>
      <c r="K98" s="678"/>
      <c r="L98" s="678"/>
      <c r="M98" s="678"/>
      <c r="N98" s="678"/>
      <c r="O98" s="679"/>
      <c r="P98" s="677" t="str">
        <f t="shared" si="6"/>
        <v/>
      </c>
      <c r="Q98" s="680"/>
      <c r="R98" s="680"/>
      <c r="S98" s="680"/>
      <c r="T98" s="680"/>
      <c r="U98" s="680"/>
      <c r="V98" s="681"/>
      <c r="W98" s="677" t="str">
        <f t="shared" si="8"/>
        <v/>
      </c>
      <c r="X98" s="680"/>
      <c r="Y98" s="680"/>
      <c r="Z98" s="680"/>
      <c r="AA98" s="680"/>
      <c r="AB98" s="680"/>
      <c r="AC98" s="681"/>
      <c r="AD98" s="677" t="str">
        <f t="shared" si="9"/>
        <v/>
      </c>
      <c r="AE98" s="680"/>
      <c r="AF98" s="680"/>
      <c r="AG98" s="680"/>
      <c r="AH98" s="680"/>
      <c r="AI98" s="680"/>
      <c r="AJ98" s="681"/>
      <c r="AK98" s="92"/>
      <c r="AL98" s="92"/>
      <c r="AM98" s="251"/>
    </row>
    <row r="99" spans="1:39" ht="18" customHeight="1">
      <c r="A99" s="387"/>
      <c r="B99" s="674">
        <f t="shared" si="7"/>
        <v>15</v>
      </c>
      <c r="C99" s="675"/>
      <c r="D99" s="675"/>
      <c r="E99" s="675"/>
      <c r="F99" s="675"/>
      <c r="G99" s="675"/>
      <c r="H99" s="676"/>
      <c r="I99" s="677" t="str">
        <f t="shared" si="5"/>
        <v/>
      </c>
      <c r="J99" s="678"/>
      <c r="K99" s="678"/>
      <c r="L99" s="678"/>
      <c r="M99" s="678"/>
      <c r="N99" s="678"/>
      <c r="O99" s="679"/>
      <c r="P99" s="677" t="str">
        <f t="shared" si="6"/>
        <v/>
      </c>
      <c r="Q99" s="680"/>
      <c r="R99" s="680"/>
      <c r="S99" s="680"/>
      <c r="T99" s="680"/>
      <c r="U99" s="680"/>
      <c r="V99" s="681"/>
      <c r="W99" s="677" t="str">
        <f t="shared" si="8"/>
        <v/>
      </c>
      <c r="X99" s="680"/>
      <c r="Y99" s="680"/>
      <c r="Z99" s="680"/>
      <c r="AA99" s="680"/>
      <c r="AB99" s="680"/>
      <c r="AC99" s="681"/>
      <c r="AD99" s="677" t="str">
        <f t="shared" si="9"/>
        <v/>
      </c>
      <c r="AE99" s="680"/>
      <c r="AF99" s="680"/>
      <c r="AG99" s="680"/>
      <c r="AH99" s="680"/>
      <c r="AI99" s="680"/>
      <c r="AJ99" s="681"/>
      <c r="AK99" s="92"/>
      <c r="AL99" s="92"/>
      <c r="AM99" s="251"/>
    </row>
    <row r="100" spans="1:39" ht="18" customHeight="1">
      <c r="A100" s="387"/>
      <c r="B100" s="674">
        <f t="shared" si="7"/>
        <v>16</v>
      </c>
      <c r="C100" s="675"/>
      <c r="D100" s="675"/>
      <c r="E100" s="675"/>
      <c r="F100" s="675"/>
      <c r="G100" s="675"/>
      <c r="H100" s="676"/>
      <c r="I100" s="677" t="str">
        <f t="shared" si="5"/>
        <v/>
      </c>
      <c r="J100" s="678"/>
      <c r="K100" s="678"/>
      <c r="L100" s="678"/>
      <c r="M100" s="678"/>
      <c r="N100" s="678"/>
      <c r="O100" s="679"/>
      <c r="P100" s="677" t="str">
        <f t="shared" si="6"/>
        <v/>
      </c>
      <c r="Q100" s="680"/>
      <c r="R100" s="680"/>
      <c r="S100" s="680"/>
      <c r="T100" s="680"/>
      <c r="U100" s="680"/>
      <c r="V100" s="681"/>
      <c r="W100" s="677" t="str">
        <f t="shared" si="8"/>
        <v/>
      </c>
      <c r="X100" s="680"/>
      <c r="Y100" s="680"/>
      <c r="Z100" s="680"/>
      <c r="AA100" s="680"/>
      <c r="AB100" s="680"/>
      <c r="AC100" s="681"/>
      <c r="AD100" s="677" t="str">
        <f t="shared" si="9"/>
        <v/>
      </c>
      <c r="AE100" s="680"/>
      <c r="AF100" s="680"/>
      <c r="AG100" s="680"/>
      <c r="AH100" s="680"/>
      <c r="AI100" s="680"/>
      <c r="AJ100" s="681"/>
      <c r="AK100" s="92"/>
      <c r="AL100" s="92"/>
      <c r="AM100" s="251"/>
    </row>
    <row r="101" spans="1:39" ht="18" customHeight="1">
      <c r="A101" s="387"/>
      <c r="B101" s="674">
        <f t="shared" si="7"/>
        <v>17</v>
      </c>
      <c r="C101" s="675"/>
      <c r="D101" s="675"/>
      <c r="E101" s="675"/>
      <c r="F101" s="675"/>
      <c r="G101" s="675"/>
      <c r="H101" s="676"/>
      <c r="I101" s="677" t="str">
        <f t="shared" si="5"/>
        <v/>
      </c>
      <c r="J101" s="678"/>
      <c r="K101" s="678"/>
      <c r="L101" s="678"/>
      <c r="M101" s="678"/>
      <c r="N101" s="678"/>
      <c r="O101" s="679"/>
      <c r="P101" s="677" t="str">
        <f t="shared" si="6"/>
        <v/>
      </c>
      <c r="Q101" s="680"/>
      <c r="R101" s="680"/>
      <c r="S101" s="680"/>
      <c r="T101" s="680"/>
      <c r="U101" s="680"/>
      <c r="V101" s="681"/>
      <c r="W101" s="677" t="str">
        <f t="shared" si="8"/>
        <v/>
      </c>
      <c r="X101" s="680"/>
      <c r="Y101" s="680"/>
      <c r="Z101" s="680"/>
      <c r="AA101" s="680"/>
      <c r="AB101" s="680"/>
      <c r="AC101" s="681"/>
      <c r="AD101" s="677" t="str">
        <f t="shared" si="9"/>
        <v/>
      </c>
      <c r="AE101" s="680"/>
      <c r="AF101" s="680"/>
      <c r="AG101" s="680"/>
      <c r="AH101" s="680"/>
      <c r="AI101" s="680"/>
      <c r="AJ101" s="681"/>
      <c r="AK101" s="92"/>
      <c r="AL101" s="92"/>
      <c r="AM101" s="251"/>
    </row>
    <row r="102" spans="1:39" ht="18" customHeight="1">
      <c r="A102" s="387"/>
      <c r="B102" s="674">
        <f t="shared" si="7"/>
        <v>18</v>
      </c>
      <c r="C102" s="675"/>
      <c r="D102" s="675"/>
      <c r="E102" s="675"/>
      <c r="F102" s="675"/>
      <c r="G102" s="675"/>
      <c r="H102" s="676"/>
      <c r="I102" s="677" t="str">
        <f t="shared" si="5"/>
        <v/>
      </c>
      <c r="J102" s="678"/>
      <c r="K102" s="678"/>
      <c r="L102" s="678"/>
      <c r="M102" s="678"/>
      <c r="N102" s="678"/>
      <c r="O102" s="679"/>
      <c r="P102" s="677" t="str">
        <f t="shared" si="6"/>
        <v/>
      </c>
      <c r="Q102" s="680"/>
      <c r="R102" s="680"/>
      <c r="S102" s="680"/>
      <c r="T102" s="680"/>
      <c r="U102" s="680"/>
      <c r="V102" s="681"/>
      <c r="W102" s="677" t="str">
        <f t="shared" si="8"/>
        <v/>
      </c>
      <c r="X102" s="680"/>
      <c r="Y102" s="680"/>
      <c r="Z102" s="680"/>
      <c r="AA102" s="680"/>
      <c r="AB102" s="680"/>
      <c r="AC102" s="681"/>
      <c r="AD102" s="677" t="str">
        <f t="shared" si="9"/>
        <v/>
      </c>
      <c r="AE102" s="680"/>
      <c r="AF102" s="680"/>
      <c r="AG102" s="680"/>
      <c r="AH102" s="680"/>
      <c r="AI102" s="680"/>
      <c r="AJ102" s="681"/>
      <c r="AK102" s="92"/>
      <c r="AL102" s="92"/>
      <c r="AM102" s="251"/>
    </row>
    <row r="103" spans="1:39" ht="18" customHeight="1">
      <c r="A103" s="387"/>
      <c r="B103" s="674">
        <f t="shared" si="7"/>
        <v>19</v>
      </c>
      <c r="C103" s="675"/>
      <c r="D103" s="675"/>
      <c r="E103" s="675"/>
      <c r="F103" s="675"/>
      <c r="G103" s="675"/>
      <c r="H103" s="676"/>
      <c r="I103" s="677" t="str">
        <f t="shared" si="5"/>
        <v/>
      </c>
      <c r="J103" s="678"/>
      <c r="K103" s="678"/>
      <c r="L103" s="678"/>
      <c r="M103" s="678"/>
      <c r="N103" s="678"/>
      <c r="O103" s="679"/>
      <c r="P103" s="677" t="str">
        <f t="shared" si="6"/>
        <v/>
      </c>
      <c r="Q103" s="680"/>
      <c r="R103" s="680"/>
      <c r="S103" s="680"/>
      <c r="T103" s="680"/>
      <c r="U103" s="680"/>
      <c r="V103" s="681"/>
      <c r="W103" s="677" t="str">
        <f t="shared" si="8"/>
        <v/>
      </c>
      <c r="X103" s="680"/>
      <c r="Y103" s="680"/>
      <c r="Z103" s="680"/>
      <c r="AA103" s="680"/>
      <c r="AB103" s="680"/>
      <c r="AC103" s="681"/>
      <c r="AD103" s="677" t="str">
        <f t="shared" si="9"/>
        <v/>
      </c>
      <c r="AE103" s="680"/>
      <c r="AF103" s="680"/>
      <c r="AG103" s="680"/>
      <c r="AH103" s="680"/>
      <c r="AI103" s="680"/>
      <c r="AJ103" s="681"/>
      <c r="AK103" s="92"/>
      <c r="AL103" s="92"/>
      <c r="AM103" s="251"/>
    </row>
    <row r="104" spans="1:39" ht="18" customHeight="1">
      <c r="A104" s="387"/>
      <c r="B104" s="674">
        <f t="shared" si="7"/>
        <v>20</v>
      </c>
      <c r="C104" s="675"/>
      <c r="D104" s="675"/>
      <c r="E104" s="675"/>
      <c r="F104" s="675"/>
      <c r="G104" s="675"/>
      <c r="H104" s="676"/>
      <c r="I104" s="677" t="str">
        <f t="shared" si="5"/>
        <v/>
      </c>
      <c r="J104" s="678"/>
      <c r="K104" s="678"/>
      <c r="L104" s="678"/>
      <c r="M104" s="678"/>
      <c r="N104" s="678"/>
      <c r="O104" s="679"/>
      <c r="P104" s="677" t="str">
        <f t="shared" si="6"/>
        <v/>
      </c>
      <c r="Q104" s="680"/>
      <c r="R104" s="680"/>
      <c r="S104" s="680"/>
      <c r="T104" s="680"/>
      <c r="U104" s="680"/>
      <c r="V104" s="681"/>
      <c r="W104" s="677" t="str">
        <f t="shared" si="8"/>
        <v/>
      </c>
      <c r="X104" s="680"/>
      <c r="Y104" s="680"/>
      <c r="Z104" s="680"/>
      <c r="AA104" s="680"/>
      <c r="AB104" s="680"/>
      <c r="AC104" s="681"/>
      <c r="AD104" s="677" t="str">
        <f t="shared" si="9"/>
        <v/>
      </c>
      <c r="AE104" s="680"/>
      <c r="AF104" s="680"/>
      <c r="AG104" s="680"/>
      <c r="AH104" s="680"/>
      <c r="AI104" s="680"/>
      <c r="AJ104" s="681"/>
      <c r="AK104" s="92"/>
      <c r="AL104" s="92"/>
      <c r="AM104" s="251"/>
    </row>
    <row r="105" spans="1:39" ht="18" customHeight="1">
      <c r="A105" s="387"/>
      <c r="B105" s="674">
        <f t="shared" si="7"/>
        <v>21</v>
      </c>
      <c r="C105" s="675"/>
      <c r="D105" s="675"/>
      <c r="E105" s="675"/>
      <c r="F105" s="675"/>
      <c r="G105" s="675"/>
      <c r="H105" s="676"/>
      <c r="I105" s="677" t="str">
        <f t="shared" si="5"/>
        <v/>
      </c>
      <c r="J105" s="678"/>
      <c r="K105" s="678"/>
      <c r="L105" s="678"/>
      <c r="M105" s="678"/>
      <c r="N105" s="678"/>
      <c r="O105" s="679"/>
      <c r="P105" s="677" t="str">
        <f t="shared" si="6"/>
        <v/>
      </c>
      <c r="Q105" s="680"/>
      <c r="R105" s="680"/>
      <c r="S105" s="680"/>
      <c r="T105" s="680"/>
      <c r="U105" s="680"/>
      <c r="V105" s="681"/>
      <c r="W105" s="677" t="str">
        <f t="shared" si="8"/>
        <v/>
      </c>
      <c r="X105" s="680"/>
      <c r="Y105" s="680"/>
      <c r="Z105" s="680"/>
      <c r="AA105" s="680"/>
      <c r="AB105" s="680"/>
      <c r="AC105" s="681"/>
      <c r="AD105" s="677" t="str">
        <f t="shared" si="9"/>
        <v/>
      </c>
      <c r="AE105" s="680"/>
      <c r="AF105" s="680"/>
      <c r="AG105" s="680"/>
      <c r="AH105" s="680"/>
      <c r="AI105" s="680"/>
      <c r="AJ105" s="681"/>
      <c r="AK105" s="92"/>
      <c r="AL105" s="92"/>
      <c r="AM105" s="251"/>
    </row>
    <row r="106" spans="1:39" ht="18" customHeight="1">
      <c r="A106" s="387"/>
      <c r="B106" s="674">
        <f t="shared" si="7"/>
        <v>22</v>
      </c>
      <c r="C106" s="675"/>
      <c r="D106" s="675"/>
      <c r="E106" s="675"/>
      <c r="F106" s="675"/>
      <c r="G106" s="675"/>
      <c r="H106" s="676"/>
      <c r="I106" s="677" t="str">
        <f t="shared" si="5"/>
        <v/>
      </c>
      <c r="J106" s="678"/>
      <c r="K106" s="678"/>
      <c r="L106" s="678"/>
      <c r="M106" s="678"/>
      <c r="N106" s="678"/>
      <c r="O106" s="679"/>
      <c r="P106" s="677" t="str">
        <f t="shared" si="6"/>
        <v/>
      </c>
      <c r="Q106" s="680"/>
      <c r="R106" s="680"/>
      <c r="S106" s="680"/>
      <c r="T106" s="680"/>
      <c r="U106" s="680"/>
      <c r="V106" s="681"/>
      <c r="W106" s="677" t="str">
        <f t="shared" si="8"/>
        <v/>
      </c>
      <c r="X106" s="680"/>
      <c r="Y106" s="680"/>
      <c r="Z106" s="680"/>
      <c r="AA106" s="680"/>
      <c r="AB106" s="680"/>
      <c r="AC106" s="681"/>
      <c r="AD106" s="677" t="str">
        <f t="shared" si="9"/>
        <v/>
      </c>
      <c r="AE106" s="680"/>
      <c r="AF106" s="680"/>
      <c r="AG106" s="680"/>
      <c r="AH106" s="680"/>
      <c r="AI106" s="680"/>
      <c r="AJ106" s="681"/>
      <c r="AK106" s="92"/>
      <c r="AL106" s="92"/>
      <c r="AM106" s="251"/>
    </row>
    <row r="107" spans="1:39" ht="18" customHeight="1">
      <c r="A107" s="387"/>
      <c r="B107" s="674">
        <f t="shared" si="7"/>
        <v>23</v>
      </c>
      <c r="C107" s="675"/>
      <c r="D107" s="675"/>
      <c r="E107" s="675"/>
      <c r="F107" s="675"/>
      <c r="G107" s="675"/>
      <c r="H107" s="676"/>
      <c r="I107" s="677" t="str">
        <f t="shared" si="5"/>
        <v/>
      </c>
      <c r="J107" s="678"/>
      <c r="K107" s="678"/>
      <c r="L107" s="678"/>
      <c r="M107" s="678"/>
      <c r="N107" s="678"/>
      <c r="O107" s="679"/>
      <c r="P107" s="677" t="str">
        <f t="shared" si="6"/>
        <v/>
      </c>
      <c r="Q107" s="680"/>
      <c r="R107" s="680"/>
      <c r="S107" s="680"/>
      <c r="T107" s="680"/>
      <c r="U107" s="680"/>
      <c r="V107" s="681"/>
      <c r="W107" s="677" t="str">
        <f t="shared" si="8"/>
        <v/>
      </c>
      <c r="X107" s="680"/>
      <c r="Y107" s="680"/>
      <c r="Z107" s="680"/>
      <c r="AA107" s="680"/>
      <c r="AB107" s="680"/>
      <c r="AC107" s="681"/>
      <c r="AD107" s="677" t="str">
        <f t="shared" si="9"/>
        <v/>
      </c>
      <c r="AE107" s="680"/>
      <c r="AF107" s="680"/>
      <c r="AG107" s="680"/>
      <c r="AH107" s="680"/>
      <c r="AI107" s="680"/>
      <c r="AJ107" s="681"/>
      <c r="AK107" s="92"/>
      <c r="AL107" s="92"/>
      <c r="AM107" s="251"/>
    </row>
    <row r="108" spans="1:39" ht="18" customHeight="1">
      <c r="A108" s="387"/>
      <c r="B108" s="674">
        <f t="shared" si="7"/>
        <v>24</v>
      </c>
      <c r="C108" s="675"/>
      <c r="D108" s="675"/>
      <c r="E108" s="675"/>
      <c r="F108" s="675"/>
      <c r="G108" s="675"/>
      <c r="H108" s="676"/>
      <c r="I108" s="677" t="str">
        <f t="shared" si="5"/>
        <v/>
      </c>
      <c r="J108" s="678"/>
      <c r="K108" s="678"/>
      <c r="L108" s="678"/>
      <c r="M108" s="678"/>
      <c r="N108" s="678"/>
      <c r="O108" s="679"/>
      <c r="P108" s="677" t="str">
        <f t="shared" si="6"/>
        <v/>
      </c>
      <c r="Q108" s="680"/>
      <c r="R108" s="680"/>
      <c r="S108" s="680"/>
      <c r="T108" s="680"/>
      <c r="U108" s="680"/>
      <c r="V108" s="681"/>
      <c r="W108" s="677" t="str">
        <f t="shared" si="8"/>
        <v/>
      </c>
      <c r="X108" s="680"/>
      <c r="Y108" s="680"/>
      <c r="Z108" s="680"/>
      <c r="AA108" s="680"/>
      <c r="AB108" s="680"/>
      <c r="AC108" s="681"/>
      <c r="AD108" s="677" t="str">
        <f t="shared" si="9"/>
        <v/>
      </c>
      <c r="AE108" s="680"/>
      <c r="AF108" s="680"/>
      <c r="AG108" s="680"/>
      <c r="AH108" s="680"/>
      <c r="AI108" s="680"/>
      <c r="AJ108" s="681"/>
      <c r="AK108" s="92"/>
      <c r="AL108" s="92"/>
      <c r="AM108" s="251"/>
    </row>
    <row r="109" spans="1:39" ht="18" customHeight="1">
      <c r="A109" s="387"/>
      <c r="B109" s="674">
        <f t="shared" si="7"/>
        <v>25</v>
      </c>
      <c r="C109" s="675"/>
      <c r="D109" s="675"/>
      <c r="E109" s="675"/>
      <c r="F109" s="675"/>
      <c r="G109" s="675"/>
      <c r="H109" s="676"/>
      <c r="I109" s="677" t="str">
        <f t="shared" si="5"/>
        <v/>
      </c>
      <c r="J109" s="678"/>
      <c r="K109" s="678"/>
      <c r="L109" s="678"/>
      <c r="M109" s="678"/>
      <c r="N109" s="678"/>
      <c r="O109" s="679"/>
      <c r="P109" s="677" t="str">
        <f t="shared" si="6"/>
        <v/>
      </c>
      <c r="Q109" s="680"/>
      <c r="R109" s="680"/>
      <c r="S109" s="680"/>
      <c r="T109" s="680"/>
      <c r="U109" s="680"/>
      <c r="V109" s="681"/>
      <c r="W109" s="677" t="str">
        <f t="shared" si="8"/>
        <v/>
      </c>
      <c r="X109" s="680"/>
      <c r="Y109" s="680"/>
      <c r="Z109" s="680"/>
      <c r="AA109" s="680"/>
      <c r="AB109" s="680"/>
      <c r="AC109" s="681"/>
      <c r="AD109" s="677" t="str">
        <f t="shared" si="9"/>
        <v/>
      </c>
      <c r="AE109" s="680"/>
      <c r="AF109" s="680"/>
      <c r="AG109" s="680"/>
      <c r="AH109" s="680"/>
      <c r="AI109" s="680"/>
      <c r="AJ109" s="681"/>
      <c r="AK109" s="92"/>
      <c r="AL109" s="92"/>
      <c r="AM109" s="251"/>
    </row>
    <row r="110" spans="1:39" ht="18" customHeight="1">
      <c r="A110" s="387"/>
      <c r="B110" s="674">
        <f t="shared" si="7"/>
        <v>26</v>
      </c>
      <c r="C110" s="675"/>
      <c r="D110" s="675"/>
      <c r="E110" s="675"/>
      <c r="F110" s="675"/>
      <c r="G110" s="675"/>
      <c r="H110" s="676"/>
      <c r="I110" s="677" t="str">
        <f t="shared" si="5"/>
        <v/>
      </c>
      <c r="J110" s="678"/>
      <c r="K110" s="678"/>
      <c r="L110" s="678"/>
      <c r="M110" s="678"/>
      <c r="N110" s="678"/>
      <c r="O110" s="679"/>
      <c r="P110" s="677" t="str">
        <f t="shared" si="6"/>
        <v/>
      </c>
      <c r="Q110" s="680"/>
      <c r="R110" s="680"/>
      <c r="S110" s="680"/>
      <c r="T110" s="680"/>
      <c r="U110" s="680"/>
      <c r="V110" s="681"/>
      <c r="W110" s="677" t="str">
        <f t="shared" si="8"/>
        <v/>
      </c>
      <c r="X110" s="680"/>
      <c r="Y110" s="680"/>
      <c r="Z110" s="680"/>
      <c r="AA110" s="680"/>
      <c r="AB110" s="680"/>
      <c r="AC110" s="681"/>
      <c r="AD110" s="677" t="str">
        <f t="shared" si="9"/>
        <v/>
      </c>
      <c r="AE110" s="680"/>
      <c r="AF110" s="680"/>
      <c r="AG110" s="680"/>
      <c r="AH110" s="680"/>
      <c r="AI110" s="680"/>
      <c r="AJ110" s="681"/>
      <c r="AK110" s="92"/>
      <c r="AL110" s="92"/>
      <c r="AM110" s="251"/>
    </row>
    <row r="111" spans="1:39" ht="18" customHeight="1">
      <c r="A111" s="387"/>
      <c r="B111" s="674">
        <f t="shared" si="7"/>
        <v>27</v>
      </c>
      <c r="C111" s="675"/>
      <c r="D111" s="675"/>
      <c r="E111" s="675"/>
      <c r="F111" s="675"/>
      <c r="G111" s="675"/>
      <c r="H111" s="676"/>
      <c r="I111" s="677" t="str">
        <f t="shared" si="5"/>
        <v/>
      </c>
      <c r="J111" s="678"/>
      <c r="K111" s="678"/>
      <c r="L111" s="678"/>
      <c r="M111" s="678"/>
      <c r="N111" s="678"/>
      <c r="O111" s="679"/>
      <c r="P111" s="677" t="str">
        <f t="shared" si="6"/>
        <v/>
      </c>
      <c r="Q111" s="680"/>
      <c r="R111" s="680"/>
      <c r="S111" s="680"/>
      <c r="T111" s="680"/>
      <c r="U111" s="680"/>
      <c r="V111" s="681"/>
      <c r="W111" s="677" t="str">
        <f t="shared" si="8"/>
        <v/>
      </c>
      <c r="X111" s="680"/>
      <c r="Y111" s="680"/>
      <c r="Z111" s="680"/>
      <c r="AA111" s="680"/>
      <c r="AB111" s="680"/>
      <c r="AC111" s="681"/>
      <c r="AD111" s="677" t="str">
        <f t="shared" si="9"/>
        <v/>
      </c>
      <c r="AE111" s="680"/>
      <c r="AF111" s="680"/>
      <c r="AG111" s="680"/>
      <c r="AH111" s="680"/>
      <c r="AI111" s="680"/>
      <c r="AJ111" s="681"/>
      <c r="AK111" s="92"/>
      <c r="AL111" s="92"/>
      <c r="AM111" s="251"/>
    </row>
    <row r="112" spans="1:39" ht="18" customHeight="1">
      <c r="A112" s="387"/>
      <c r="B112" s="674">
        <f t="shared" si="7"/>
        <v>28</v>
      </c>
      <c r="C112" s="675"/>
      <c r="D112" s="675"/>
      <c r="E112" s="675"/>
      <c r="F112" s="675"/>
      <c r="G112" s="675"/>
      <c r="H112" s="676"/>
      <c r="I112" s="677" t="str">
        <f t="shared" si="5"/>
        <v/>
      </c>
      <c r="J112" s="678"/>
      <c r="K112" s="678"/>
      <c r="L112" s="678"/>
      <c r="M112" s="678"/>
      <c r="N112" s="678"/>
      <c r="O112" s="679"/>
      <c r="P112" s="677" t="str">
        <f t="shared" si="6"/>
        <v/>
      </c>
      <c r="Q112" s="680"/>
      <c r="R112" s="680"/>
      <c r="S112" s="680"/>
      <c r="T112" s="680"/>
      <c r="U112" s="680"/>
      <c r="V112" s="681"/>
      <c r="W112" s="677" t="str">
        <f t="shared" si="8"/>
        <v/>
      </c>
      <c r="X112" s="680"/>
      <c r="Y112" s="680"/>
      <c r="Z112" s="680"/>
      <c r="AA112" s="680"/>
      <c r="AB112" s="680"/>
      <c r="AC112" s="681"/>
      <c r="AD112" s="677" t="str">
        <f t="shared" si="9"/>
        <v/>
      </c>
      <c r="AE112" s="680"/>
      <c r="AF112" s="680"/>
      <c r="AG112" s="680"/>
      <c r="AH112" s="680"/>
      <c r="AI112" s="680"/>
      <c r="AJ112" s="681"/>
      <c r="AK112" s="92"/>
      <c r="AL112" s="92"/>
      <c r="AM112" s="251"/>
    </row>
    <row r="113" spans="1:46" ht="18" customHeight="1">
      <c r="A113" s="387"/>
      <c r="B113" s="674">
        <f t="shared" si="7"/>
        <v>29</v>
      </c>
      <c r="C113" s="675"/>
      <c r="D113" s="675"/>
      <c r="E113" s="675"/>
      <c r="F113" s="675"/>
      <c r="G113" s="675"/>
      <c r="H113" s="676"/>
      <c r="I113" s="677" t="str">
        <f t="shared" si="5"/>
        <v/>
      </c>
      <c r="J113" s="678"/>
      <c r="K113" s="678"/>
      <c r="L113" s="678"/>
      <c r="M113" s="678"/>
      <c r="N113" s="678"/>
      <c r="O113" s="679"/>
      <c r="P113" s="677" t="str">
        <f t="shared" si="6"/>
        <v/>
      </c>
      <c r="Q113" s="680"/>
      <c r="R113" s="680"/>
      <c r="S113" s="680"/>
      <c r="T113" s="680"/>
      <c r="U113" s="680"/>
      <c r="V113" s="681"/>
      <c r="W113" s="677" t="str">
        <f t="shared" si="8"/>
        <v/>
      </c>
      <c r="X113" s="680"/>
      <c r="Y113" s="680"/>
      <c r="Z113" s="680"/>
      <c r="AA113" s="680"/>
      <c r="AB113" s="680"/>
      <c r="AC113" s="681"/>
      <c r="AD113" s="677" t="str">
        <f t="shared" si="9"/>
        <v/>
      </c>
      <c r="AE113" s="680"/>
      <c r="AF113" s="680"/>
      <c r="AG113" s="680"/>
      <c r="AH113" s="680"/>
      <c r="AI113" s="680"/>
      <c r="AJ113" s="681"/>
      <c r="AK113" s="92"/>
      <c r="AL113" s="92"/>
      <c r="AM113" s="251"/>
    </row>
    <row r="114" spans="1:46" ht="18" customHeight="1">
      <c r="A114" s="387"/>
      <c r="B114" s="674">
        <f t="shared" si="7"/>
        <v>30</v>
      </c>
      <c r="C114" s="675"/>
      <c r="D114" s="675"/>
      <c r="E114" s="675"/>
      <c r="F114" s="675"/>
      <c r="G114" s="675"/>
      <c r="H114" s="676"/>
      <c r="I114" s="677" t="str">
        <f t="shared" si="5"/>
        <v/>
      </c>
      <c r="J114" s="678"/>
      <c r="K114" s="678"/>
      <c r="L114" s="678"/>
      <c r="M114" s="678"/>
      <c r="N114" s="678"/>
      <c r="O114" s="679"/>
      <c r="P114" s="677" t="str">
        <f t="shared" si="6"/>
        <v/>
      </c>
      <c r="Q114" s="680"/>
      <c r="R114" s="680"/>
      <c r="S114" s="680"/>
      <c r="T114" s="680"/>
      <c r="U114" s="680"/>
      <c r="V114" s="681"/>
      <c r="W114" s="677" t="str">
        <f t="shared" si="8"/>
        <v/>
      </c>
      <c r="X114" s="680"/>
      <c r="Y114" s="680"/>
      <c r="Z114" s="680"/>
      <c r="AA114" s="680"/>
      <c r="AB114" s="680"/>
      <c r="AC114" s="681"/>
      <c r="AD114" s="677" t="str">
        <f t="shared" si="9"/>
        <v/>
      </c>
      <c r="AE114" s="680"/>
      <c r="AF114" s="680"/>
      <c r="AG114" s="680"/>
      <c r="AH114" s="680"/>
      <c r="AI114" s="680"/>
      <c r="AJ114" s="681"/>
      <c r="AK114" s="92"/>
      <c r="AL114" s="92"/>
      <c r="AM114" s="251"/>
    </row>
    <row r="115" spans="1:46" s="251" customFormat="1" ht="18" customHeight="1">
      <c r="A115" s="387"/>
      <c r="B115" s="403"/>
      <c r="C115" s="403"/>
      <c r="D115" s="403"/>
      <c r="E115" s="403"/>
      <c r="F115" s="403"/>
      <c r="G115" s="403"/>
      <c r="H115" s="403"/>
      <c r="I115" s="403"/>
      <c r="J115" s="403"/>
      <c r="K115" s="403"/>
      <c r="L115" s="403"/>
      <c r="M115" s="403"/>
      <c r="N115" s="403"/>
      <c r="O115" s="403"/>
      <c r="P115" s="403"/>
      <c r="Q115" s="403"/>
      <c r="R115" s="403"/>
      <c r="S115" s="403"/>
      <c r="T115" s="403"/>
      <c r="U115" s="403"/>
      <c r="V115" s="403"/>
      <c r="W115" s="403"/>
      <c r="X115" s="403"/>
      <c r="Y115" s="403"/>
      <c r="Z115" s="403"/>
      <c r="AA115" s="403"/>
      <c r="AB115" s="403"/>
      <c r="AC115" s="403"/>
      <c r="AD115" s="403"/>
      <c r="AE115" s="403"/>
      <c r="AF115" s="403"/>
      <c r="AG115" s="403"/>
      <c r="AH115" s="403"/>
      <c r="AI115" s="403"/>
      <c r="AJ115" s="403"/>
      <c r="AK115" s="214"/>
      <c r="AL115" s="214"/>
      <c r="AM115" s="214"/>
      <c r="AN115" s="214"/>
      <c r="AO115" s="214"/>
      <c r="AP115" s="214"/>
      <c r="AQ115" s="214"/>
      <c r="AR115" s="92"/>
      <c r="AS115" s="92"/>
    </row>
    <row r="116" spans="1:46" ht="18" customHeight="1">
      <c r="A116" s="131" t="s">
        <v>415</v>
      </c>
      <c r="B116" s="251"/>
      <c r="C116" s="251"/>
      <c r="D116" s="251"/>
      <c r="E116" s="251"/>
      <c r="F116" s="251"/>
      <c r="G116" s="251"/>
      <c r="H116" s="251"/>
      <c r="I116" s="251"/>
      <c r="J116" s="251"/>
      <c r="K116" s="251"/>
      <c r="L116" s="251"/>
      <c r="M116" s="251"/>
      <c r="N116" s="251"/>
      <c r="O116" s="251"/>
      <c r="P116" s="251"/>
      <c r="Q116" s="251"/>
      <c r="R116" s="251"/>
      <c r="S116" s="251"/>
      <c r="T116" s="251"/>
      <c r="U116" s="251"/>
      <c r="V116" s="251"/>
      <c r="W116" s="251"/>
      <c r="X116" s="251"/>
      <c r="Y116" s="251"/>
      <c r="Z116" s="251"/>
      <c r="AA116" s="251"/>
      <c r="AB116" s="251"/>
      <c r="AC116" s="251"/>
      <c r="AD116" s="251"/>
      <c r="AE116" s="251"/>
      <c r="AF116" s="251"/>
      <c r="AG116" s="251"/>
      <c r="AH116" s="251"/>
      <c r="AI116" s="251"/>
      <c r="AJ116" s="251"/>
      <c r="AK116" s="251"/>
      <c r="AL116" s="251"/>
      <c r="AM116" s="251"/>
      <c r="AN116" s="251"/>
      <c r="AO116" s="251"/>
      <c r="AP116" s="251"/>
      <c r="AQ116" s="251"/>
      <c r="AR116" s="251"/>
      <c r="AS116" s="251"/>
      <c r="AT116" s="251"/>
    </row>
    <row r="117" spans="1:46" ht="18" customHeight="1">
      <c r="A117" s="387"/>
      <c r="B117" s="683" t="s">
        <v>416</v>
      </c>
      <c r="C117" s="717"/>
      <c r="D117" s="717"/>
      <c r="E117" s="683" t="s">
        <v>417</v>
      </c>
      <c r="F117" s="684"/>
      <c r="G117" s="684"/>
      <c r="H117" s="684"/>
      <c r="I117" s="684"/>
      <c r="J117" s="684"/>
      <c r="K117" s="685"/>
      <c r="L117" s="750" t="s">
        <v>418</v>
      </c>
      <c r="M117" s="750"/>
      <c r="N117" s="750"/>
      <c r="O117" s="750"/>
      <c r="P117" s="750"/>
      <c r="Q117" s="750"/>
      <c r="R117" s="750"/>
      <c r="S117" s="750"/>
      <c r="T117" s="750"/>
      <c r="U117" s="750"/>
      <c r="V117" s="750"/>
      <c r="W117" s="750"/>
      <c r="X117" s="750"/>
      <c r="Y117" s="750"/>
      <c r="Z117" s="750"/>
      <c r="AA117" s="750"/>
      <c r="AB117" s="750"/>
      <c r="AC117" s="750"/>
      <c r="AD117" s="750"/>
      <c r="AE117" s="750"/>
      <c r="AF117" s="750"/>
      <c r="AG117" s="750"/>
      <c r="AH117" s="750"/>
      <c r="AI117" s="750"/>
      <c r="AJ117" s="750"/>
      <c r="AK117" s="750"/>
      <c r="AL117" s="750"/>
      <c r="AM117" s="750"/>
      <c r="AN117" s="750"/>
      <c r="AO117" s="750"/>
      <c r="AP117" s="750"/>
      <c r="AQ117" s="750"/>
    </row>
    <row r="118" spans="1:46" ht="18" customHeight="1">
      <c r="A118" s="387"/>
      <c r="B118" s="718"/>
      <c r="C118" s="719"/>
      <c r="D118" s="719"/>
      <c r="E118" s="689"/>
      <c r="F118" s="690"/>
      <c r="G118" s="690"/>
      <c r="H118" s="690"/>
      <c r="I118" s="690"/>
      <c r="J118" s="690"/>
      <c r="K118" s="691"/>
      <c r="L118" s="751" t="s">
        <v>419</v>
      </c>
      <c r="M118" s="751"/>
      <c r="N118" s="751"/>
      <c r="O118" s="751"/>
      <c r="P118" s="751"/>
      <c r="Q118" s="751"/>
      <c r="R118" s="751" t="s">
        <v>420</v>
      </c>
      <c r="S118" s="751"/>
      <c r="T118" s="751"/>
      <c r="U118" s="751"/>
      <c r="V118" s="751"/>
      <c r="W118" s="751"/>
      <c r="X118" s="751" t="s">
        <v>421</v>
      </c>
      <c r="Y118" s="751"/>
      <c r="Z118" s="751"/>
      <c r="AA118" s="751"/>
      <c r="AB118" s="751"/>
      <c r="AC118" s="751"/>
      <c r="AD118" s="749" t="s">
        <v>422</v>
      </c>
      <c r="AE118" s="749"/>
      <c r="AF118" s="749"/>
      <c r="AG118" s="749"/>
      <c r="AH118" s="749"/>
      <c r="AI118" s="749"/>
      <c r="AJ118" s="749"/>
      <c r="AK118" s="749"/>
      <c r="AL118" s="749"/>
      <c r="AM118" s="749"/>
      <c r="AN118" s="749"/>
      <c r="AO118" s="749"/>
      <c r="AP118" s="749"/>
      <c r="AQ118" s="749"/>
    </row>
    <row r="119" spans="1:46" ht="18" customHeight="1">
      <c r="A119" s="387"/>
      <c r="B119" s="720"/>
      <c r="C119" s="721"/>
      <c r="D119" s="721"/>
      <c r="E119" s="668">
        <f>I84</f>
        <v>0</v>
      </c>
      <c r="F119" s="669"/>
      <c r="G119" s="669"/>
      <c r="H119" s="669"/>
      <c r="I119" s="669"/>
      <c r="J119" s="669"/>
      <c r="K119" s="670"/>
      <c r="L119" s="746">
        <f>P13</f>
        <v>0</v>
      </c>
      <c r="M119" s="746"/>
      <c r="N119" s="746"/>
      <c r="O119" s="746"/>
      <c r="P119" s="746"/>
      <c r="Q119" s="746"/>
      <c r="R119" s="746">
        <f>W13</f>
        <v>0</v>
      </c>
      <c r="S119" s="746"/>
      <c r="T119" s="746"/>
      <c r="U119" s="746"/>
      <c r="V119" s="746"/>
      <c r="W119" s="746"/>
      <c r="X119" s="746">
        <f>AD13</f>
        <v>0</v>
      </c>
      <c r="Y119" s="746"/>
      <c r="Z119" s="746"/>
      <c r="AA119" s="746"/>
      <c r="AB119" s="746"/>
      <c r="AC119" s="746"/>
      <c r="AD119" s="746">
        <f>X119</f>
        <v>0</v>
      </c>
      <c r="AE119" s="746"/>
      <c r="AF119" s="746"/>
      <c r="AG119" s="746"/>
      <c r="AH119" s="746"/>
      <c r="AI119" s="746"/>
      <c r="AJ119" s="746"/>
      <c r="AK119" s="749">
        <f>E119</f>
        <v>0</v>
      </c>
      <c r="AL119" s="749"/>
      <c r="AM119" s="749"/>
      <c r="AN119" s="749"/>
      <c r="AO119" s="749"/>
      <c r="AP119" s="749"/>
      <c r="AQ119" s="749"/>
    </row>
    <row r="120" spans="1:46" ht="18" customHeight="1">
      <c r="A120" s="387"/>
      <c r="B120" s="674">
        <f>B85</f>
        <v>1</v>
      </c>
      <c r="C120" s="712"/>
      <c r="D120" s="712"/>
      <c r="E120" s="677" t="str">
        <f>I85</f>
        <v/>
      </c>
      <c r="F120" s="678"/>
      <c r="G120" s="678"/>
      <c r="H120" s="678"/>
      <c r="I120" s="678"/>
      <c r="J120" s="678"/>
      <c r="K120" s="679"/>
      <c r="L120" s="748" t="str">
        <f t="shared" ref="L120:L149" ca="1" si="10">IF(E120="","",P14-IF(B120&lt;=$AR$6,P$14,OFFSET($P$13,$AR$6*2,0)))</f>
        <v/>
      </c>
      <c r="M120" s="748"/>
      <c r="N120" s="748"/>
      <c r="O120" s="748"/>
      <c r="P120" s="748"/>
      <c r="Q120" s="748"/>
      <c r="R120" s="748" t="str">
        <f t="shared" ref="R120:R149" ca="1" si="11">IF(E120="","",W14-IF(E120&lt;=$AR$6,W$14,OFFSET($W$13,$AR$6*2,0)))</f>
        <v/>
      </c>
      <c r="S120" s="748"/>
      <c r="T120" s="748"/>
      <c r="U120" s="748"/>
      <c r="V120" s="748"/>
      <c r="W120" s="748"/>
      <c r="X120" s="748" t="str">
        <f t="shared" ref="X120:X149" ca="1" si="12">IF(E120="","",AD14-IF(E120&lt;=$AR$6,AD$14,OFFSET($AD$13,$AR$6*2,0)))</f>
        <v/>
      </c>
      <c r="Y120" s="748"/>
      <c r="Z120" s="748"/>
      <c r="AA120" s="748"/>
      <c r="AB120" s="748"/>
      <c r="AC120" s="748"/>
      <c r="AD120" s="748" t="str">
        <f>IF(E120="","",MAX(ABS(R120-L120),ABS(X120-L120),ABS(X120-R120)))</f>
        <v/>
      </c>
      <c r="AE120" s="748"/>
      <c r="AF120" s="748"/>
      <c r="AG120" s="748"/>
      <c r="AH120" s="748"/>
      <c r="AI120" s="748"/>
      <c r="AJ120" s="748"/>
      <c r="AK120" s="747" t="str">
        <f>IF(E120="","",AD120*AJ$59)</f>
        <v/>
      </c>
      <c r="AL120" s="747"/>
      <c r="AM120" s="747"/>
      <c r="AN120" s="747"/>
      <c r="AO120" s="747"/>
      <c r="AP120" s="747"/>
      <c r="AQ120" s="747"/>
    </row>
    <row r="121" spans="1:46" ht="18" customHeight="1">
      <c r="A121" s="387"/>
      <c r="B121" s="674">
        <f t="shared" ref="B121:B149" si="13">B86</f>
        <v>2</v>
      </c>
      <c r="C121" s="712"/>
      <c r="D121" s="712"/>
      <c r="E121" s="677" t="str">
        <f t="shared" ref="E121:E149" si="14">I86</f>
        <v/>
      </c>
      <c r="F121" s="678"/>
      <c r="G121" s="678"/>
      <c r="H121" s="678"/>
      <c r="I121" s="678"/>
      <c r="J121" s="678"/>
      <c r="K121" s="679"/>
      <c r="L121" s="677" t="str">
        <f t="shared" ca="1" si="10"/>
        <v/>
      </c>
      <c r="M121" s="680"/>
      <c r="N121" s="680"/>
      <c r="O121" s="680"/>
      <c r="P121" s="680"/>
      <c r="Q121" s="681"/>
      <c r="R121" s="748" t="str">
        <f t="shared" ca="1" si="11"/>
        <v/>
      </c>
      <c r="S121" s="748"/>
      <c r="T121" s="748"/>
      <c r="U121" s="748"/>
      <c r="V121" s="748"/>
      <c r="W121" s="748"/>
      <c r="X121" s="748" t="str">
        <f t="shared" ca="1" si="12"/>
        <v/>
      </c>
      <c r="Y121" s="748"/>
      <c r="Z121" s="748"/>
      <c r="AA121" s="748"/>
      <c r="AB121" s="748"/>
      <c r="AC121" s="748"/>
      <c r="AD121" s="747" t="str">
        <f t="shared" ref="AD121:AD149" si="15">IF(E121="","",MAX(ABS(R121-L121),ABS(X121-L121),ABS(X121-R121)))</f>
        <v/>
      </c>
      <c r="AE121" s="747"/>
      <c r="AF121" s="747"/>
      <c r="AG121" s="747"/>
      <c r="AH121" s="747"/>
      <c r="AI121" s="747"/>
      <c r="AJ121" s="747"/>
      <c r="AK121" s="747" t="str">
        <f t="shared" ref="AK121:AK149" si="16">IF(E121="","",AD121*AJ$59)</f>
        <v/>
      </c>
      <c r="AL121" s="747"/>
      <c r="AM121" s="747"/>
      <c r="AN121" s="747"/>
      <c r="AO121" s="747"/>
      <c r="AP121" s="747"/>
      <c r="AQ121" s="747"/>
    </row>
    <row r="122" spans="1:46" ht="18" customHeight="1">
      <c r="A122" s="387"/>
      <c r="B122" s="674">
        <f t="shared" si="13"/>
        <v>3</v>
      </c>
      <c r="C122" s="712"/>
      <c r="D122" s="712"/>
      <c r="E122" s="677" t="str">
        <f t="shared" si="14"/>
        <v/>
      </c>
      <c r="F122" s="678"/>
      <c r="G122" s="678"/>
      <c r="H122" s="678"/>
      <c r="I122" s="678"/>
      <c r="J122" s="678"/>
      <c r="K122" s="679"/>
      <c r="L122" s="677" t="str">
        <f t="shared" ca="1" si="10"/>
        <v/>
      </c>
      <c r="M122" s="680"/>
      <c r="N122" s="680"/>
      <c r="O122" s="680"/>
      <c r="P122" s="680"/>
      <c r="Q122" s="681"/>
      <c r="R122" s="748" t="str">
        <f t="shared" ca="1" si="11"/>
        <v/>
      </c>
      <c r="S122" s="748"/>
      <c r="T122" s="748"/>
      <c r="U122" s="748"/>
      <c r="V122" s="748"/>
      <c r="W122" s="748"/>
      <c r="X122" s="748" t="str">
        <f t="shared" ca="1" si="12"/>
        <v/>
      </c>
      <c r="Y122" s="748"/>
      <c r="Z122" s="748"/>
      <c r="AA122" s="748"/>
      <c r="AB122" s="748"/>
      <c r="AC122" s="748"/>
      <c r="AD122" s="747" t="str">
        <f t="shared" si="15"/>
        <v/>
      </c>
      <c r="AE122" s="747"/>
      <c r="AF122" s="747"/>
      <c r="AG122" s="747"/>
      <c r="AH122" s="747"/>
      <c r="AI122" s="747"/>
      <c r="AJ122" s="747"/>
      <c r="AK122" s="747" t="str">
        <f t="shared" si="16"/>
        <v/>
      </c>
      <c r="AL122" s="747"/>
      <c r="AM122" s="747"/>
      <c r="AN122" s="747"/>
      <c r="AO122" s="747"/>
      <c r="AP122" s="747"/>
      <c r="AQ122" s="747"/>
    </row>
    <row r="123" spans="1:46" ht="18" customHeight="1">
      <c r="A123" s="387"/>
      <c r="B123" s="674">
        <f t="shared" si="13"/>
        <v>4</v>
      </c>
      <c r="C123" s="712"/>
      <c r="D123" s="712"/>
      <c r="E123" s="677" t="str">
        <f t="shared" si="14"/>
        <v/>
      </c>
      <c r="F123" s="678"/>
      <c r="G123" s="678"/>
      <c r="H123" s="678"/>
      <c r="I123" s="678"/>
      <c r="J123" s="678"/>
      <c r="K123" s="679"/>
      <c r="L123" s="677" t="str">
        <f t="shared" ca="1" si="10"/>
        <v/>
      </c>
      <c r="M123" s="680"/>
      <c r="N123" s="680"/>
      <c r="O123" s="680"/>
      <c r="P123" s="680"/>
      <c r="Q123" s="681"/>
      <c r="R123" s="748" t="str">
        <f t="shared" ca="1" si="11"/>
        <v/>
      </c>
      <c r="S123" s="748"/>
      <c r="T123" s="748"/>
      <c r="U123" s="748"/>
      <c r="V123" s="748"/>
      <c r="W123" s="748"/>
      <c r="X123" s="748" t="str">
        <f t="shared" ca="1" si="12"/>
        <v/>
      </c>
      <c r="Y123" s="748"/>
      <c r="Z123" s="748"/>
      <c r="AA123" s="748"/>
      <c r="AB123" s="748"/>
      <c r="AC123" s="748"/>
      <c r="AD123" s="747" t="str">
        <f t="shared" si="15"/>
        <v/>
      </c>
      <c r="AE123" s="747"/>
      <c r="AF123" s="747"/>
      <c r="AG123" s="747"/>
      <c r="AH123" s="747"/>
      <c r="AI123" s="747"/>
      <c r="AJ123" s="747"/>
      <c r="AK123" s="747" t="str">
        <f t="shared" si="16"/>
        <v/>
      </c>
      <c r="AL123" s="747"/>
      <c r="AM123" s="747"/>
      <c r="AN123" s="747"/>
      <c r="AO123" s="747"/>
      <c r="AP123" s="747"/>
      <c r="AQ123" s="747"/>
    </row>
    <row r="124" spans="1:46" ht="18" customHeight="1">
      <c r="A124" s="387"/>
      <c r="B124" s="674">
        <f t="shared" si="13"/>
        <v>5</v>
      </c>
      <c r="C124" s="712"/>
      <c r="D124" s="712"/>
      <c r="E124" s="677" t="str">
        <f t="shared" si="14"/>
        <v/>
      </c>
      <c r="F124" s="678"/>
      <c r="G124" s="678"/>
      <c r="H124" s="678"/>
      <c r="I124" s="678"/>
      <c r="J124" s="678"/>
      <c r="K124" s="679"/>
      <c r="L124" s="677" t="str">
        <f t="shared" ca="1" si="10"/>
        <v/>
      </c>
      <c r="M124" s="680"/>
      <c r="N124" s="680"/>
      <c r="O124" s="680"/>
      <c r="P124" s="680"/>
      <c r="Q124" s="681"/>
      <c r="R124" s="748" t="str">
        <f t="shared" ca="1" si="11"/>
        <v/>
      </c>
      <c r="S124" s="748"/>
      <c r="T124" s="748"/>
      <c r="U124" s="748"/>
      <c r="V124" s="748"/>
      <c r="W124" s="748"/>
      <c r="X124" s="748" t="str">
        <f t="shared" ca="1" si="12"/>
        <v/>
      </c>
      <c r="Y124" s="748"/>
      <c r="Z124" s="748"/>
      <c r="AA124" s="748"/>
      <c r="AB124" s="748"/>
      <c r="AC124" s="748"/>
      <c r="AD124" s="747" t="str">
        <f t="shared" si="15"/>
        <v/>
      </c>
      <c r="AE124" s="747"/>
      <c r="AF124" s="747"/>
      <c r="AG124" s="747"/>
      <c r="AH124" s="747"/>
      <c r="AI124" s="747"/>
      <c r="AJ124" s="747"/>
      <c r="AK124" s="747" t="str">
        <f t="shared" si="16"/>
        <v/>
      </c>
      <c r="AL124" s="747"/>
      <c r="AM124" s="747"/>
      <c r="AN124" s="747"/>
      <c r="AO124" s="747"/>
      <c r="AP124" s="747"/>
      <c r="AQ124" s="747"/>
    </row>
    <row r="125" spans="1:46" ht="18" customHeight="1">
      <c r="A125" s="387"/>
      <c r="B125" s="674">
        <f t="shared" si="13"/>
        <v>6</v>
      </c>
      <c r="C125" s="712"/>
      <c r="D125" s="712"/>
      <c r="E125" s="677" t="str">
        <f t="shared" si="14"/>
        <v/>
      </c>
      <c r="F125" s="678"/>
      <c r="G125" s="678"/>
      <c r="H125" s="678"/>
      <c r="I125" s="678"/>
      <c r="J125" s="678"/>
      <c r="K125" s="679"/>
      <c r="L125" s="677" t="str">
        <f t="shared" ca="1" si="10"/>
        <v/>
      </c>
      <c r="M125" s="680"/>
      <c r="N125" s="680"/>
      <c r="O125" s="680"/>
      <c r="P125" s="680"/>
      <c r="Q125" s="681"/>
      <c r="R125" s="748" t="str">
        <f t="shared" ca="1" si="11"/>
        <v/>
      </c>
      <c r="S125" s="748"/>
      <c r="T125" s="748"/>
      <c r="U125" s="748"/>
      <c r="V125" s="748"/>
      <c r="W125" s="748"/>
      <c r="X125" s="748" t="str">
        <f t="shared" ca="1" si="12"/>
        <v/>
      </c>
      <c r="Y125" s="748"/>
      <c r="Z125" s="748"/>
      <c r="AA125" s="748"/>
      <c r="AB125" s="748"/>
      <c r="AC125" s="748"/>
      <c r="AD125" s="747" t="str">
        <f t="shared" si="15"/>
        <v/>
      </c>
      <c r="AE125" s="747"/>
      <c r="AF125" s="747"/>
      <c r="AG125" s="747"/>
      <c r="AH125" s="747"/>
      <c r="AI125" s="747"/>
      <c r="AJ125" s="747"/>
      <c r="AK125" s="747" t="str">
        <f t="shared" si="16"/>
        <v/>
      </c>
      <c r="AL125" s="747"/>
      <c r="AM125" s="747"/>
      <c r="AN125" s="747"/>
      <c r="AO125" s="747"/>
      <c r="AP125" s="747"/>
      <c r="AQ125" s="747"/>
    </row>
    <row r="126" spans="1:46" ht="18" customHeight="1">
      <c r="A126" s="387"/>
      <c r="B126" s="674">
        <f t="shared" si="13"/>
        <v>7</v>
      </c>
      <c r="C126" s="712"/>
      <c r="D126" s="712"/>
      <c r="E126" s="677" t="str">
        <f t="shared" si="14"/>
        <v/>
      </c>
      <c r="F126" s="678"/>
      <c r="G126" s="678"/>
      <c r="H126" s="678"/>
      <c r="I126" s="678"/>
      <c r="J126" s="678"/>
      <c r="K126" s="679"/>
      <c r="L126" s="677" t="str">
        <f t="shared" ca="1" si="10"/>
        <v/>
      </c>
      <c r="M126" s="680"/>
      <c r="N126" s="680"/>
      <c r="O126" s="680"/>
      <c r="P126" s="680"/>
      <c r="Q126" s="681"/>
      <c r="R126" s="748" t="str">
        <f t="shared" ca="1" si="11"/>
        <v/>
      </c>
      <c r="S126" s="748"/>
      <c r="T126" s="748"/>
      <c r="U126" s="748"/>
      <c r="V126" s="748"/>
      <c r="W126" s="748"/>
      <c r="X126" s="748" t="str">
        <f t="shared" ca="1" si="12"/>
        <v/>
      </c>
      <c r="Y126" s="748"/>
      <c r="Z126" s="748"/>
      <c r="AA126" s="748"/>
      <c r="AB126" s="748"/>
      <c r="AC126" s="748"/>
      <c r="AD126" s="747" t="str">
        <f t="shared" si="15"/>
        <v/>
      </c>
      <c r="AE126" s="747"/>
      <c r="AF126" s="747"/>
      <c r="AG126" s="747"/>
      <c r="AH126" s="747"/>
      <c r="AI126" s="747"/>
      <c r="AJ126" s="747"/>
      <c r="AK126" s="747" t="str">
        <f t="shared" si="16"/>
        <v/>
      </c>
      <c r="AL126" s="747"/>
      <c r="AM126" s="747"/>
      <c r="AN126" s="747"/>
      <c r="AO126" s="747"/>
      <c r="AP126" s="747"/>
      <c r="AQ126" s="747"/>
    </row>
    <row r="127" spans="1:46" ht="18" customHeight="1">
      <c r="A127" s="387"/>
      <c r="B127" s="674">
        <f t="shared" si="13"/>
        <v>8</v>
      </c>
      <c r="C127" s="712"/>
      <c r="D127" s="712"/>
      <c r="E127" s="677" t="str">
        <f t="shared" si="14"/>
        <v/>
      </c>
      <c r="F127" s="678"/>
      <c r="G127" s="678"/>
      <c r="H127" s="678"/>
      <c r="I127" s="678"/>
      <c r="J127" s="678"/>
      <c r="K127" s="679"/>
      <c r="L127" s="677" t="str">
        <f t="shared" ca="1" si="10"/>
        <v/>
      </c>
      <c r="M127" s="680"/>
      <c r="N127" s="680"/>
      <c r="O127" s="680"/>
      <c r="P127" s="680"/>
      <c r="Q127" s="681"/>
      <c r="R127" s="748" t="str">
        <f t="shared" ca="1" si="11"/>
        <v/>
      </c>
      <c r="S127" s="748"/>
      <c r="T127" s="748"/>
      <c r="U127" s="748"/>
      <c r="V127" s="748"/>
      <c r="W127" s="748"/>
      <c r="X127" s="748" t="str">
        <f t="shared" ca="1" si="12"/>
        <v/>
      </c>
      <c r="Y127" s="748"/>
      <c r="Z127" s="748"/>
      <c r="AA127" s="748"/>
      <c r="AB127" s="748"/>
      <c r="AC127" s="748"/>
      <c r="AD127" s="747" t="str">
        <f t="shared" si="15"/>
        <v/>
      </c>
      <c r="AE127" s="747"/>
      <c r="AF127" s="747"/>
      <c r="AG127" s="747"/>
      <c r="AH127" s="747"/>
      <c r="AI127" s="747"/>
      <c r="AJ127" s="747"/>
      <c r="AK127" s="747" t="str">
        <f t="shared" si="16"/>
        <v/>
      </c>
      <c r="AL127" s="747"/>
      <c r="AM127" s="747"/>
      <c r="AN127" s="747"/>
      <c r="AO127" s="747"/>
      <c r="AP127" s="747"/>
      <c r="AQ127" s="747"/>
    </row>
    <row r="128" spans="1:46" ht="18" customHeight="1">
      <c r="A128" s="387"/>
      <c r="B128" s="674">
        <f t="shared" si="13"/>
        <v>9</v>
      </c>
      <c r="C128" s="712"/>
      <c r="D128" s="712"/>
      <c r="E128" s="677" t="str">
        <f t="shared" si="14"/>
        <v/>
      </c>
      <c r="F128" s="678"/>
      <c r="G128" s="678"/>
      <c r="H128" s="678"/>
      <c r="I128" s="678"/>
      <c r="J128" s="678"/>
      <c r="K128" s="679"/>
      <c r="L128" s="677" t="str">
        <f t="shared" ca="1" si="10"/>
        <v/>
      </c>
      <c r="M128" s="680"/>
      <c r="N128" s="680"/>
      <c r="O128" s="680"/>
      <c r="P128" s="680"/>
      <c r="Q128" s="681"/>
      <c r="R128" s="748" t="str">
        <f t="shared" ca="1" si="11"/>
        <v/>
      </c>
      <c r="S128" s="748"/>
      <c r="T128" s="748"/>
      <c r="U128" s="748"/>
      <c r="V128" s="748"/>
      <c r="W128" s="748"/>
      <c r="X128" s="748" t="str">
        <f t="shared" ca="1" si="12"/>
        <v/>
      </c>
      <c r="Y128" s="748"/>
      <c r="Z128" s="748"/>
      <c r="AA128" s="748"/>
      <c r="AB128" s="748"/>
      <c r="AC128" s="748"/>
      <c r="AD128" s="747" t="str">
        <f t="shared" si="15"/>
        <v/>
      </c>
      <c r="AE128" s="747"/>
      <c r="AF128" s="747"/>
      <c r="AG128" s="747"/>
      <c r="AH128" s="747"/>
      <c r="AI128" s="747"/>
      <c r="AJ128" s="747"/>
      <c r="AK128" s="747" t="str">
        <f t="shared" si="16"/>
        <v/>
      </c>
      <c r="AL128" s="747"/>
      <c r="AM128" s="747"/>
      <c r="AN128" s="747"/>
      <c r="AO128" s="747"/>
      <c r="AP128" s="747"/>
      <c r="AQ128" s="747"/>
    </row>
    <row r="129" spans="1:43" ht="18" customHeight="1">
      <c r="A129" s="387"/>
      <c r="B129" s="674">
        <f t="shared" si="13"/>
        <v>10</v>
      </c>
      <c r="C129" s="712"/>
      <c r="D129" s="712"/>
      <c r="E129" s="677" t="str">
        <f t="shared" si="14"/>
        <v/>
      </c>
      <c r="F129" s="678"/>
      <c r="G129" s="678"/>
      <c r="H129" s="678"/>
      <c r="I129" s="678"/>
      <c r="J129" s="678"/>
      <c r="K129" s="679"/>
      <c r="L129" s="677" t="str">
        <f t="shared" ca="1" si="10"/>
        <v/>
      </c>
      <c r="M129" s="680"/>
      <c r="N129" s="680"/>
      <c r="O129" s="680"/>
      <c r="P129" s="680"/>
      <c r="Q129" s="681"/>
      <c r="R129" s="748" t="str">
        <f t="shared" ca="1" si="11"/>
        <v/>
      </c>
      <c r="S129" s="748"/>
      <c r="T129" s="748"/>
      <c r="U129" s="748"/>
      <c r="V129" s="748"/>
      <c r="W129" s="748"/>
      <c r="X129" s="748" t="str">
        <f t="shared" ca="1" si="12"/>
        <v/>
      </c>
      <c r="Y129" s="748"/>
      <c r="Z129" s="748"/>
      <c r="AA129" s="748"/>
      <c r="AB129" s="748"/>
      <c r="AC129" s="748"/>
      <c r="AD129" s="747" t="str">
        <f t="shared" si="15"/>
        <v/>
      </c>
      <c r="AE129" s="747"/>
      <c r="AF129" s="747"/>
      <c r="AG129" s="747"/>
      <c r="AH129" s="747"/>
      <c r="AI129" s="747"/>
      <c r="AJ129" s="747"/>
      <c r="AK129" s="747" t="str">
        <f t="shared" si="16"/>
        <v/>
      </c>
      <c r="AL129" s="747"/>
      <c r="AM129" s="747"/>
      <c r="AN129" s="747"/>
      <c r="AO129" s="747"/>
      <c r="AP129" s="747"/>
      <c r="AQ129" s="747"/>
    </row>
    <row r="130" spans="1:43" ht="18" customHeight="1">
      <c r="A130" s="387"/>
      <c r="B130" s="674">
        <f t="shared" si="13"/>
        <v>11</v>
      </c>
      <c r="C130" s="712"/>
      <c r="D130" s="712"/>
      <c r="E130" s="677" t="str">
        <f t="shared" si="14"/>
        <v/>
      </c>
      <c r="F130" s="678"/>
      <c r="G130" s="678"/>
      <c r="H130" s="678"/>
      <c r="I130" s="678"/>
      <c r="J130" s="678"/>
      <c r="K130" s="679"/>
      <c r="L130" s="677" t="str">
        <f t="shared" ca="1" si="10"/>
        <v/>
      </c>
      <c r="M130" s="680"/>
      <c r="N130" s="680"/>
      <c r="O130" s="680"/>
      <c r="P130" s="680"/>
      <c r="Q130" s="681"/>
      <c r="R130" s="748" t="str">
        <f t="shared" ca="1" si="11"/>
        <v/>
      </c>
      <c r="S130" s="748"/>
      <c r="T130" s="748"/>
      <c r="U130" s="748"/>
      <c r="V130" s="748"/>
      <c r="W130" s="748"/>
      <c r="X130" s="748" t="str">
        <f t="shared" ca="1" si="12"/>
        <v/>
      </c>
      <c r="Y130" s="748"/>
      <c r="Z130" s="748"/>
      <c r="AA130" s="748"/>
      <c r="AB130" s="748"/>
      <c r="AC130" s="748"/>
      <c r="AD130" s="747" t="str">
        <f t="shared" si="15"/>
        <v/>
      </c>
      <c r="AE130" s="747"/>
      <c r="AF130" s="747"/>
      <c r="AG130" s="747"/>
      <c r="AH130" s="747"/>
      <c r="AI130" s="747"/>
      <c r="AJ130" s="747"/>
      <c r="AK130" s="747" t="str">
        <f t="shared" si="16"/>
        <v/>
      </c>
      <c r="AL130" s="747"/>
      <c r="AM130" s="747"/>
      <c r="AN130" s="747"/>
      <c r="AO130" s="747"/>
      <c r="AP130" s="747"/>
      <c r="AQ130" s="747"/>
    </row>
    <row r="131" spans="1:43" ht="18" customHeight="1">
      <c r="A131" s="387"/>
      <c r="B131" s="674">
        <f t="shared" si="13"/>
        <v>12</v>
      </c>
      <c r="C131" s="712"/>
      <c r="D131" s="712"/>
      <c r="E131" s="677" t="str">
        <f t="shared" si="14"/>
        <v/>
      </c>
      <c r="F131" s="678"/>
      <c r="G131" s="678"/>
      <c r="H131" s="678"/>
      <c r="I131" s="678"/>
      <c r="J131" s="678"/>
      <c r="K131" s="679"/>
      <c r="L131" s="677" t="str">
        <f t="shared" ca="1" si="10"/>
        <v/>
      </c>
      <c r="M131" s="680"/>
      <c r="N131" s="680"/>
      <c r="O131" s="680"/>
      <c r="P131" s="680"/>
      <c r="Q131" s="681"/>
      <c r="R131" s="748" t="str">
        <f t="shared" ca="1" si="11"/>
        <v/>
      </c>
      <c r="S131" s="748"/>
      <c r="T131" s="748"/>
      <c r="U131" s="748"/>
      <c r="V131" s="748"/>
      <c r="W131" s="748"/>
      <c r="X131" s="748" t="str">
        <f t="shared" ca="1" si="12"/>
        <v/>
      </c>
      <c r="Y131" s="748"/>
      <c r="Z131" s="748"/>
      <c r="AA131" s="748"/>
      <c r="AB131" s="748"/>
      <c r="AC131" s="748"/>
      <c r="AD131" s="747" t="str">
        <f t="shared" si="15"/>
        <v/>
      </c>
      <c r="AE131" s="747"/>
      <c r="AF131" s="747"/>
      <c r="AG131" s="747"/>
      <c r="AH131" s="747"/>
      <c r="AI131" s="747"/>
      <c r="AJ131" s="747"/>
      <c r="AK131" s="747" t="str">
        <f t="shared" si="16"/>
        <v/>
      </c>
      <c r="AL131" s="747"/>
      <c r="AM131" s="747"/>
      <c r="AN131" s="747"/>
      <c r="AO131" s="747"/>
      <c r="AP131" s="747"/>
      <c r="AQ131" s="747"/>
    </row>
    <row r="132" spans="1:43" ht="18" customHeight="1">
      <c r="A132" s="387"/>
      <c r="B132" s="674">
        <f t="shared" si="13"/>
        <v>13</v>
      </c>
      <c r="C132" s="712"/>
      <c r="D132" s="712"/>
      <c r="E132" s="677" t="str">
        <f t="shared" si="14"/>
        <v/>
      </c>
      <c r="F132" s="678"/>
      <c r="G132" s="678"/>
      <c r="H132" s="678"/>
      <c r="I132" s="678"/>
      <c r="J132" s="678"/>
      <c r="K132" s="679"/>
      <c r="L132" s="677" t="str">
        <f t="shared" ca="1" si="10"/>
        <v/>
      </c>
      <c r="M132" s="680"/>
      <c r="N132" s="680"/>
      <c r="O132" s="680"/>
      <c r="P132" s="680"/>
      <c r="Q132" s="681"/>
      <c r="R132" s="748" t="str">
        <f t="shared" ca="1" si="11"/>
        <v/>
      </c>
      <c r="S132" s="748"/>
      <c r="T132" s="748"/>
      <c r="U132" s="748"/>
      <c r="V132" s="748"/>
      <c r="W132" s="748"/>
      <c r="X132" s="748" t="str">
        <f t="shared" ca="1" si="12"/>
        <v/>
      </c>
      <c r="Y132" s="748"/>
      <c r="Z132" s="748"/>
      <c r="AA132" s="748"/>
      <c r="AB132" s="748"/>
      <c r="AC132" s="748"/>
      <c r="AD132" s="747" t="str">
        <f t="shared" si="15"/>
        <v/>
      </c>
      <c r="AE132" s="747"/>
      <c r="AF132" s="747"/>
      <c r="AG132" s="747"/>
      <c r="AH132" s="747"/>
      <c r="AI132" s="747"/>
      <c r="AJ132" s="747"/>
      <c r="AK132" s="747" t="str">
        <f t="shared" si="16"/>
        <v/>
      </c>
      <c r="AL132" s="747"/>
      <c r="AM132" s="747"/>
      <c r="AN132" s="747"/>
      <c r="AO132" s="747"/>
      <c r="AP132" s="747"/>
      <c r="AQ132" s="747"/>
    </row>
    <row r="133" spans="1:43" ht="18" customHeight="1">
      <c r="A133" s="387"/>
      <c r="B133" s="674">
        <f t="shared" si="13"/>
        <v>14</v>
      </c>
      <c r="C133" s="712"/>
      <c r="D133" s="712"/>
      <c r="E133" s="677" t="str">
        <f t="shared" si="14"/>
        <v/>
      </c>
      <c r="F133" s="678"/>
      <c r="G133" s="678"/>
      <c r="H133" s="678"/>
      <c r="I133" s="678"/>
      <c r="J133" s="678"/>
      <c r="K133" s="679"/>
      <c r="L133" s="677" t="str">
        <f t="shared" ca="1" si="10"/>
        <v/>
      </c>
      <c r="M133" s="680"/>
      <c r="N133" s="680"/>
      <c r="O133" s="680"/>
      <c r="P133" s="680"/>
      <c r="Q133" s="681"/>
      <c r="R133" s="748" t="str">
        <f t="shared" ca="1" si="11"/>
        <v/>
      </c>
      <c r="S133" s="748"/>
      <c r="T133" s="748"/>
      <c r="U133" s="748"/>
      <c r="V133" s="748"/>
      <c r="W133" s="748"/>
      <c r="X133" s="748" t="str">
        <f t="shared" ca="1" si="12"/>
        <v/>
      </c>
      <c r="Y133" s="748"/>
      <c r="Z133" s="748"/>
      <c r="AA133" s="748"/>
      <c r="AB133" s="748"/>
      <c r="AC133" s="748"/>
      <c r="AD133" s="747" t="str">
        <f t="shared" si="15"/>
        <v/>
      </c>
      <c r="AE133" s="747"/>
      <c r="AF133" s="747"/>
      <c r="AG133" s="747"/>
      <c r="AH133" s="747"/>
      <c r="AI133" s="747"/>
      <c r="AJ133" s="747"/>
      <c r="AK133" s="747" t="str">
        <f t="shared" si="16"/>
        <v/>
      </c>
      <c r="AL133" s="747"/>
      <c r="AM133" s="747"/>
      <c r="AN133" s="747"/>
      <c r="AO133" s="747"/>
      <c r="AP133" s="747"/>
      <c r="AQ133" s="747"/>
    </row>
    <row r="134" spans="1:43" ht="18" customHeight="1">
      <c r="A134" s="387"/>
      <c r="B134" s="674">
        <f t="shared" si="13"/>
        <v>15</v>
      </c>
      <c r="C134" s="712"/>
      <c r="D134" s="712"/>
      <c r="E134" s="677" t="str">
        <f t="shared" si="14"/>
        <v/>
      </c>
      <c r="F134" s="678"/>
      <c r="G134" s="678"/>
      <c r="H134" s="678"/>
      <c r="I134" s="678"/>
      <c r="J134" s="678"/>
      <c r="K134" s="679"/>
      <c r="L134" s="677" t="str">
        <f t="shared" ca="1" si="10"/>
        <v/>
      </c>
      <c r="M134" s="680"/>
      <c r="N134" s="680"/>
      <c r="O134" s="680"/>
      <c r="P134" s="680"/>
      <c r="Q134" s="681"/>
      <c r="R134" s="748" t="str">
        <f t="shared" ca="1" si="11"/>
        <v/>
      </c>
      <c r="S134" s="748"/>
      <c r="T134" s="748"/>
      <c r="U134" s="748"/>
      <c r="V134" s="748"/>
      <c r="W134" s="748"/>
      <c r="X134" s="748" t="str">
        <f t="shared" ca="1" si="12"/>
        <v/>
      </c>
      <c r="Y134" s="748"/>
      <c r="Z134" s="748"/>
      <c r="AA134" s="748"/>
      <c r="AB134" s="748"/>
      <c r="AC134" s="748"/>
      <c r="AD134" s="747" t="str">
        <f t="shared" si="15"/>
        <v/>
      </c>
      <c r="AE134" s="747"/>
      <c r="AF134" s="747"/>
      <c r="AG134" s="747"/>
      <c r="AH134" s="747"/>
      <c r="AI134" s="747"/>
      <c r="AJ134" s="747"/>
      <c r="AK134" s="747" t="str">
        <f t="shared" si="16"/>
        <v/>
      </c>
      <c r="AL134" s="747"/>
      <c r="AM134" s="747"/>
      <c r="AN134" s="747"/>
      <c r="AO134" s="747"/>
      <c r="AP134" s="747"/>
      <c r="AQ134" s="747"/>
    </row>
    <row r="135" spans="1:43" ht="18" customHeight="1">
      <c r="A135" s="387"/>
      <c r="B135" s="674">
        <f t="shared" si="13"/>
        <v>16</v>
      </c>
      <c r="C135" s="712"/>
      <c r="D135" s="712"/>
      <c r="E135" s="677" t="str">
        <f t="shared" si="14"/>
        <v/>
      </c>
      <c r="F135" s="678"/>
      <c r="G135" s="678"/>
      <c r="H135" s="678"/>
      <c r="I135" s="678"/>
      <c r="J135" s="678"/>
      <c r="K135" s="679"/>
      <c r="L135" s="677" t="str">
        <f t="shared" ca="1" si="10"/>
        <v/>
      </c>
      <c r="M135" s="680"/>
      <c r="N135" s="680"/>
      <c r="O135" s="680"/>
      <c r="P135" s="680"/>
      <c r="Q135" s="681"/>
      <c r="R135" s="748" t="str">
        <f t="shared" ca="1" si="11"/>
        <v/>
      </c>
      <c r="S135" s="748"/>
      <c r="T135" s="748"/>
      <c r="U135" s="748"/>
      <c r="V135" s="748"/>
      <c r="W135" s="748"/>
      <c r="X135" s="748" t="str">
        <f t="shared" ca="1" si="12"/>
        <v/>
      </c>
      <c r="Y135" s="748"/>
      <c r="Z135" s="748"/>
      <c r="AA135" s="748"/>
      <c r="AB135" s="748"/>
      <c r="AC135" s="748"/>
      <c r="AD135" s="747" t="str">
        <f t="shared" si="15"/>
        <v/>
      </c>
      <c r="AE135" s="747"/>
      <c r="AF135" s="747"/>
      <c r="AG135" s="747"/>
      <c r="AH135" s="747"/>
      <c r="AI135" s="747"/>
      <c r="AJ135" s="747"/>
      <c r="AK135" s="747" t="str">
        <f t="shared" si="16"/>
        <v/>
      </c>
      <c r="AL135" s="747"/>
      <c r="AM135" s="747"/>
      <c r="AN135" s="747"/>
      <c r="AO135" s="747"/>
      <c r="AP135" s="747"/>
      <c r="AQ135" s="747"/>
    </row>
    <row r="136" spans="1:43" ht="18" customHeight="1">
      <c r="A136" s="387"/>
      <c r="B136" s="674">
        <f t="shared" si="13"/>
        <v>17</v>
      </c>
      <c r="C136" s="712"/>
      <c r="D136" s="712"/>
      <c r="E136" s="677" t="str">
        <f t="shared" si="14"/>
        <v/>
      </c>
      <c r="F136" s="678"/>
      <c r="G136" s="678"/>
      <c r="H136" s="678"/>
      <c r="I136" s="678"/>
      <c r="J136" s="678"/>
      <c r="K136" s="679"/>
      <c r="L136" s="677" t="str">
        <f t="shared" ca="1" si="10"/>
        <v/>
      </c>
      <c r="M136" s="680"/>
      <c r="N136" s="680"/>
      <c r="O136" s="680"/>
      <c r="P136" s="680"/>
      <c r="Q136" s="681"/>
      <c r="R136" s="748" t="str">
        <f t="shared" ca="1" si="11"/>
        <v/>
      </c>
      <c r="S136" s="748"/>
      <c r="T136" s="748"/>
      <c r="U136" s="748"/>
      <c r="V136" s="748"/>
      <c r="W136" s="748"/>
      <c r="X136" s="748" t="str">
        <f t="shared" ca="1" si="12"/>
        <v/>
      </c>
      <c r="Y136" s="748"/>
      <c r="Z136" s="748"/>
      <c r="AA136" s="748"/>
      <c r="AB136" s="748"/>
      <c r="AC136" s="748"/>
      <c r="AD136" s="747" t="str">
        <f t="shared" si="15"/>
        <v/>
      </c>
      <c r="AE136" s="747"/>
      <c r="AF136" s="747"/>
      <c r="AG136" s="747"/>
      <c r="AH136" s="747"/>
      <c r="AI136" s="747"/>
      <c r="AJ136" s="747"/>
      <c r="AK136" s="747" t="str">
        <f t="shared" si="16"/>
        <v/>
      </c>
      <c r="AL136" s="747"/>
      <c r="AM136" s="747"/>
      <c r="AN136" s="747"/>
      <c r="AO136" s="747"/>
      <c r="AP136" s="747"/>
      <c r="AQ136" s="747"/>
    </row>
    <row r="137" spans="1:43" ht="18" customHeight="1">
      <c r="A137" s="387"/>
      <c r="B137" s="674">
        <f t="shared" si="13"/>
        <v>18</v>
      </c>
      <c r="C137" s="712"/>
      <c r="D137" s="712"/>
      <c r="E137" s="677" t="str">
        <f t="shared" si="14"/>
        <v/>
      </c>
      <c r="F137" s="678"/>
      <c r="G137" s="678"/>
      <c r="H137" s="678"/>
      <c r="I137" s="678"/>
      <c r="J137" s="678"/>
      <c r="K137" s="679"/>
      <c r="L137" s="677" t="str">
        <f t="shared" ca="1" si="10"/>
        <v/>
      </c>
      <c r="M137" s="680"/>
      <c r="N137" s="680"/>
      <c r="O137" s="680"/>
      <c r="P137" s="680"/>
      <c r="Q137" s="681"/>
      <c r="R137" s="748" t="str">
        <f t="shared" ca="1" si="11"/>
        <v/>
      </c>
      <c r="S137" s="748"/>
      <c r="T137" s="748"/>
      <c r="U137" s="748"/>
      <c r="V137" s="748"/>
      <c r="W137" s="748"/>
      <c r="X137" s="748" t="str">
        <f t="shared" ca="1" si="12"/>
        <v/>
      </c>
      <c r="Y137" s="748"/>
      <c r="Z137" s="748"/>
      <c r="AA137" s="748"/>
      <c r="AB137" s="748"/>
      <c r="AC137" s="748"/>
      <c r="AD137" s="747" t="str">
        <f t="shared" si="15"/>
        <v/>
      </c>
      <c r="AE137" s="747"/>
      <c r="AF137" s="747"/>
      <c r="AG137" s="747"/>
      <c r="AH137" s="747"/>
      <c r="AI137" s="747"/>
      <c r="AJ137" s="747"/>
      <c r="AK137" s="747" t="str">
        <f t="shared" si="16"/>
        <v/>
      </c>
      <c r="AL137" s="747"/>
      <c r="AM137" s="747"/>
      <c r="AN137" s="747"/>
      <c r="AO137" s="747"/>
      <c r="AP137" s="747"/>
      <c r="AQ137" s="747"/>
    </row>
    <row r="138" spans="1:43" ht="18" customHeight="1">
      <c r="A138" s="387"/>
      <c r="B138" s="674">
        <f t="shared" si="13"/>
        <v>19</v>
      </c>
      <c r="C138" s="712"/>
      <c r="D138" s="712"/>
      <c r="E138" s="677" t="str">
        <f t="shared" si="14"/>
        <v/>
      </c>
      <c r="F138" s="678"/>
      <c r="G138" s="678"/>
      <c r="H138" s="678"/>
      <c r="I138" s="678"/>
      <c r="J138" s="678"/>
      <c r="K138" s="679"/>
      <c r="L138" s="677" t="str">
        <f t="shared" ca="1" si="10"/>
        <v/>
      </c>
      <c r="M138" s="680"/>
      <c r="N138" s="680"/>
      <c r="O138" s="680"/>
      <c r="P138" s="680"/>
      <c r="Q138" s="681"/>
      <c r="R138" s="748" t="str">
        <f t="shared" ca="1" si="11"/>
        <v/>
      </c>
      <c r="S138" s="748"/>
      <c r="T138" s="748"/>
      <c r="U138" s="748"/>
      <c r="V138" s="748"/>
      <c r="W138" s="748"/>
      <c r="X138" s="748" t="str">
        <f t="shared" ca="1" si="12"/>
        <v/>
      </c>
      <c r="Y138" s="748"/>
      <c r="Z138" s="748"/>
      <c r="AA138" s="748"/>
      <c r="AB138" s="748"/>
      <c r="AC138" s="748"/>
      <c r="AD138" s="747" t="str">
        <f t="shared" si="15"/>
        <v/>
      </c>
      <c r="AE138" s="747"/>
      <c r="AF138" s="747"/>
      <c r="AG138" s="747"/>
      <c r="AH138" s="747"/>
      <c r="AI138" s="747"/>
      <c r="AJ138" s="747"/>
      <c r="AK138" s="747" t="str">
        <f t="shared" si="16"/>
        <v/>
      </c>
      <c r="AL138" s="747"/>
      <c r="AM138" s="747"/>
      <c r="AN138" s="747"/>
      <c r="AO138" s="747"/>
      <c r="AP138" s="747"/>
      <c r="AQ138" s="747"/>
    </row>
    <row r="139" spans="1:43" ht="18" customHeight="1">
      <c r="A139" s="387"/>
      <c r="B139" s="674">
        <f t="shared" si="13"/>
        <v>20</v>
      </c>
      <c r="C139" s="712"/>
      <c r="D139" s="712"/>
      <c r="E139" s="677" t="str">
        <f t="shared" si="14"/>
        <v/>
      </c>
      <c r="F139" s="678"/>
      <c r="G139" s="678"/>
      <c r="H139" s="678"/>
      <c r="I139" s="678"/>
      <c r="J139" s="678"/>
      <c r="K139" s="679"/>
      <c r="L139" s="677" t="str">
        <f t="shared" ca="1" si="10"/>
        <v/>
      </c>
      <c r="M139" s="680"/>
      <c r="N139" s="680"/>
      <c r="O139" s="680"/>
      <c r="P139" s="680"/>
      <c r="Q139" s="681"/>
      <c r="R139" s="748" t="str">
        <f t="shared" ca="1" si="11"/>
        <v/>
      </c>
      <c r="S139" s="748"/>
      <c r="T139" s="748"/>
      <c r="U139" s="748"/>
      <c r="V139" s="748"/>
      <c r="W139" s="748"/>
      <c r="X139" s="748" t="str">
        <f t="shared" ca="1" si="12"/>
        <v/>
      </c>
      <c r="Y139" s="748"/>
      <c r="Z139" s="748"/>
      <c r="AA139" s="748"/>
      <c r="AB139" s="748"/>
      <c r="AC139" s="748"/>
      <c r="AD139" s="747" t="str">
        <f t="shared" si="15"/>
        <v/>
      </c>
      <c r="AE139" s="747"/>
      <c r="AF139" s="747"/>
      <c r="AG139" s="747"/>
      <c r="AH139" s="747"/>
      <c r="AI139" s="747"/>
      <c r="AJ139" s="747"/>
      <c r="AK139" s="747" t="str">
        <f t="shared" si="16"/>
        <v/>
      </c>
      <c r="AL139" s="747"/>
      <c r="AM139" s="747"/>
      <c r="AN139" s="747"/>
      <c r="AO139" s="747"/>
      <c r="AP139" s="747"/>
      <c r="AQ139" s="747"/>
    </row>
    <row r="140" spans="1:43" ht="18" customHeight="1">
      <c r="A140" s="387"/>
      <c r="B140" s="674">
        <f t="shared" si="13"/>
        <v>21</v>
      </c>
      <c r="C140" s="712"/>
      <c r="D140" s="712"/>
      <c r="E140" s="677" t="str">
        <f t="shared" si="14"/>
        <v/>
      </c>
      <c r="F140" s="678"/>
      <c r="G140" s="678"/>
      <c r="H140" s="678"/>
      <c r="I140" s="678"/>
      <c r="J140" s="678"/>
      <c r="K140" s="679"/>
      <c r="L140" s="677" t="str">
        <f t="shared" ca="1" si="10"/>
        <v/>
      </c>
      <c r="M140" s="680"/>
      <c r="N140" s="680"/>
      <c r="O140" s="680"/>
      <c r="P140" s="680"/>
      <c r="Q140" s="681"/>
      <c r="R140" s="748" t="str">
        <f t="shared" ca="1" si="11"/>
        <v/>
      </c>
      <c r="S140" s="748"/>
      <c r="T140" s="748"/>
      <c r="U140" s="748"/>
      <c r="V140" s="748"/>
      <c r="W140" s="748"/>
      <c r="X140" s="748" t="str">
        <f t="shared" ca="1" si="12"/>
        <v/>
      </c>
      <c r="Y140" s="748"/>
      <c r="Z140" s="748"/>
      <c r="AA140" s="748"/>
      <c r="AB140" s="748"/>
      <c r="AC140" s="748"/>
      <c r="AD140" s="747" t="str">
        <f t="shared" si="15"/>
        <v/>
      </c>
      <c r="AE140" s="747"/>
      <c r="AF140" s="747"/>
      <c r="AG140" s="747"/>
      <c r="AH140" s="747"/>
      <c r="AI140" s="747"/>
      <c r="AJ140" s="747"/>
      <c r="AK140" s="747" t="str">
        <f t="shared" si="16"/>
        <v/>
      </c>
      <c r="AL140" s="747"/>
      <c r="AM140" s="747"/>
      <c r="AN140" s="747"/>
      <c r="AO140" s="747"/>
      <c r="AP140" s="747"/>
      <c r="AQ140" s="747"/>
    </row>
    <row r="141" spans="1:43" ht="18" customHeight="1">
      <c r="A141" s="387"/>
      <c r="B141" s="674">
        <f t="shared" si="13"/>
        <v>22</v>
      </c>
      <c r="C141" s="712"/>
      <c r="D141" s="712"/>
      <c r="E141" s="677" t="str">
        <f t="shared" si="14"/>
        <v/>
      </c>
      <c r="F141" s="678"/>
      <c r="G141" s="678"/>
      <c r="H141" s="678"/>
      <c r="I141" s="678"/>
      <c r="J141" s="678"/>
      <c r="K141" s="679"/>
      <c r="L141" s="677" t="str">
        <f t="shared" ca="1" si="10"/>
        <v/>
      </c>
      <c r="M141" s="680"/>
      <c r="N141" s="680"/>
      <c r="O141" s="680"/>
      <c r="P141" s="680"/>
      <c r="Q141" s="681"/>
      <c r="R141" s="748" t="str">
        <f t="shared" ca="1" si="11"/>
        <v/>
      </c>
      <c r="S141" s="748"/>
      <c r="T141" s="748"/>
      <c r="U141" s="748"/>
      <c r="V141" s="748"/>
      <c r="W141" s="748"/>
      <c r="X141" s="748" t="str">
        <f t="shared" ca="1" si="12"/>
        <v/>
      </c>
      <c r="Y141" s="748"/>
      <c r="Z141" s="748"/>
      <c r="AA141" s="748"/>
      <c r="AB141" s="748"/>
      <c r="AC141" s="748"/>
      <c r="AD141" s="747" t="str">
        <f t="shared" si="15"/>
        <v/>
      </c>
      <c r="AE141" s="747"/>
      <c r="AF141" s="747"/>
      <c r="AG141" s="747"/>
      <c r="AH141" s="747"/>
      <c r="AI141" s="747"/>
      <c r="AJ141" s="747"/>
      <c r="AK141" s="747" t="str">
        <f t="shared" si="16"/>
        <v/>
      </c>
      <c r="AL141" s="747"/>
      <c r="AM141" s="747"/>
      <c r="AN141" s="747"/>
      <c r="AO141" s="747"/>
      <c r="AP141" s="747"/>
      <c r="AQ141" s="747"/>
    </row>
    <row r="142" spans="1:43" ht="18" customHeight="1">
      <c r="A142" s="387"/>
      <c r="B142" s="674">
        <f t="shared" si="13"/>
        <v>23</v>
      </c>
      <c r="C142" s="712"/>
      <c r="D142" s="712"/>
      <c r="E142" s="677" t="str">
        <f t="shared" si="14"/>
        <v/>
      </c>
      <c r="F142" s="678"/>
      <c r="G142" s="678"/>
      <c r="H142" s="678"/>
      <c r="I142" s="678"/>
      <c r="J142" s="678"/>
      <c r="K142" s="679"/>
      <c r="L142" s="677" t="str">
        <f t="shared" ca="1" si="10"/>
        <v/>
      </c>
      <c r="M142" s="680"/>
      <c r="N142" s="680"/>
      <c r="O142" s="680"/>
      <c r="P142" s="680"/>
      <c r="Q142" s="681"/>
      <c r="R142" s="748" t="str">
        <f t="shared" ca="1" si="11"/>
        <v/>
      </c>
      <c r="S142" s="748"/>
      <c r="T142" s="748"/>
      <c r="U142" s="748"/>
      <c r="V142" s="748"/>
      <c r="W142" s="748"/>
      <c r="X142" s="748" t="str">
        <f t="shared" ca="1" si="12"/>
        <v/>
      </c>
      <c r="Y142" s="748"/>
      <c r="Z142" s="748"/>
      <c r="AA142" s="748"/>
      <c r="AB142" s="748"/>
      <c r="AC142" s="748"/>
      <c r="AD142" s="752" t="str">
        <f t="shared" si="15"/>
        <v/>
      </c>
      <c r="AE142" s="752"/>
      <c r="AF142" s="752"/>
      <c r="AG142" s="752"/>
      <c r="AH142" s="752"/>
      <c r="AI142" s="752"/>
      <c r="AJ142" s="752"/>
      <c r="AK142" s="747" t="str">
        <f t="shared" si="16"/>
        <v/>
      </c>
      <c r="AL142" s="747"/>
      <c r="AM142" s="747"/>
      <c r="AN142" s="747"/>
      <c r="AO142" s="747"/>
      <c r="AP142" s="747"/>
      <c r="AQ142" s="747"/>
    </row>
    <row r="143" spans="1:43" ht="18" customHeight="1">
      <c r="A143" s="387"/>
      <c r="B143" s="674">
        <f t="shared" si="13"/>
        <v>24</v>
      </c>
      <c r="C143" s="712"/>
      <c r="D143" s="712"/>
      <c r="E143" s="677" t="str">
        <f t="shared" si="14"/>
        <v/>
      </c>
      <c r="F143" s="678"/>
      <c r="G143" s="678"/>
      <c r="H143" s="678"/>
      <c r="I143" s="678"/>
      <c r="J143" s="678"/>
      <c r="K143" s="679"/>
      <c r="L143" s="677" t="str">
        <f t="shared" ca="1" si="10"/>
        <v/>
      </c>
      <c r="M143" s="680"/>
      <c r="N143" s="680"/>
      <c r="O143" s="680"/>
      <c r="P143" s="680"/>
      <c r="Q143" s="681"/>
      <c r="R143" s="748" t="str">
        <f t="shared" ca="1" si="11"/>
        <v/>
      </c>
      <c r="S143" s="748"/>
      <c r="T143" s="748"/>
      <c r="U143" s="748"/>
      <c r="V143" s="748"/>
      <c r="W143" s="748"/>
      <c r="X143" s="748" t="str">
        <f t="shared" ca="1" si="12"/>
        <v/>
      </c>
      <c r="Y143" s="748"/>
      <c r="Z143" s="748"/>
      <c r="AA143" s="748"/>
      <c r="AB143" s="748"/>
      <c r="AC143" s="748"/>
      <c r="AD143" s="752" t="str">
        <f t="shared" si="15"/>
        <v/>
      </c>
      <c r="AE143" s="752"/>
      <c r="AF143" s="752"/>
      <c r="AG143" s="752"/>
      <c r="AH143" s="752"/>
      <c r="AI143" s="752"/>
      <c r="AJ143" s="752"/>
      <c r="AK143" s="747" t="str">
        <f t="shared" si="16"/>
        <v/>
      </c>
      <c r="AL143" s="747"/>
      <c r="AM143" s="747"/>
      <c r="AN143" s="747"/>
      <c r="AO143" s="747"/>
      <c r="AP143" s="747"/>
      <c r="AQ143" s="747"/>
    </row>
    <row r="144" spans="1:43" ht="18" customHeight="1">
      <c r="A144" s="387"/>
      <c r="B144" s="674">
        <f t="shared" si="13"/>
        <v>25</v>
      </c>
      <c r="C144" s="712"/>
      <c r="D144" s="712"/>
      <c r="E144" s="677" t="str">
        <f t="shared" si="14"/>
        <v/>
      </c>
      <c r="F144" s="678"/>
      <c r="G144" s="678"/>
      <c r="H144" s="678"/>
      <c r="I144" s="678"/>
      <c r="J144" s="678"/>
      <c r="K144" s="679"/>
      <c r="L144" s="677" t="str">
        <f t="shared" ca="1" si="10"/>
        <v/>
      </c>
      <c r="M144" s="680"/>
      <c r="N144" s="680"/>
      <c r="O144" s="680"/>
      <c r="P144" s="680"/>
      <c r="Q144" s="681"/>
      <c r="R144" s="748" t="str">
        <f t="shared" ca="1" si="11"/>
        <v/>
      </c>
      <c r="S144" s="748"/>
      <c r="T144" s="748"/>
      <c r="U144" s="748"/>
      <c r="V144" s="748"/>
      <c r="W144" s="748"/>
      <c r="X144" s="748" t="str">
        <f t="shared" ca="1" si="12"/>
        <v/>
      </c>
      <c r="Y144" s="748"/>
      <c r="Z144" s="748"/>
      <c r="AA144" s="748"/>
      <c r="AB144" s="748"/>
      <c r="AC144" s="748"/>
      <c r="AD144" s="752" t="str">
        <f t="shared" si="15"/>
        <v/>
      </c>
      <c r="AE144" s="752"/>
      <c r="AF144" s="752"/>
      <c r="AG144" s="752"/>
      <c r="AH144" s="752"/>
      <c r="AI144" s="752"/>
      <c r="AJ144" s="752"/>
      <c r="AK144" s="747" t="str">
        <f t="shared" si="16"/>
        <v/>
      </c>
      <c r="AL144" s="747"/>
      <c r="AM144" s="747"/>
      <c r="AN144" s="747"/>
      <c r="AO144" s="747"/>
      <c r="AP144" s="747"/>
      <c r="AQ144" s="747"/>
    </row>
    <row r="145" spans="1:46" ht="18" customHeight="1">
      <c r="A145" s="387"/>
      <c r="B145" s="674">
        <f t="shared" si="13"/>
        <v>26</v>
      </c>
      <c r="C145" s="712"/>
      <c r="D145" s="712"/>
      <c r="E145" s="677" t="str">
        <f t="shared" si="14"/>
        <v/>
      </c>
      <c r="F145" s="678"/>
      <c r="G145" s="678"/>
      <c r="H145" s="678"/>
      <c r="I145" s="678"/>
      <c r="J145" s="678"/>
      <c r="K145" s="679"/>
      <c r="L145" s="677" t="str">
        <f t="shared" ca="1" si="10"/>
        <v/>
      </c>
      <c r="M145" s="680"/>
      <c r="N145" s="680"/>
      <c r="O145" s="680"/>
      <c r="P145" s="680"/>
      <c r="Q145" s="681"/>
      <c r="R145" s="748" t="str">
        <f t="shared" ca="1" si="11"/>
        <v/>
      </c>
      <c r="S145" s="748"/>
      <c r="T145" s="748"/>
      <c r="U145" s="748"/>
      <c r="V145" s="748"/>
      <c r="W145" s="748"/>
      <c r="X145" s="748" t="str">
        <f t="shared" ca="1" si="12"/>
        <v/>
      </c>
      <c r="Y145" s="748"/>
      <c r="Z145" s="748"/>
      <c r="AA145" s="748"/>
      <c r="AB145" s="748"/>
      <c r="AC145" s="748"/>
      <c r="AD145" s="752" t="str">
        <f t="shared" si="15"/>
        <v/>
      </c>
      <c r="AE145" s="752"/>
      <c r="AF145" s="752"/>
      <c r="AG145" s="752"/>
      <c r="AH145" s="752"/>
      <c r="AI145" s="752"/>
      <c r="AJ145" s="752"/>
      <c r="AK145" s="747" t="str">
        <f t="shared" si="16"/>
        <v/>
      </c>
      <c r="AL145" s="747"/>
      <c r="AM145" s="747"/>
      <c r="AN145" s="747"/>
      <c r="AO145" s="747"/>
      <c r="AP145" s="747"/>
      <c r="AQ145" s="747"/>
    </row>
    <row r="146" spans="1:46" ht="18" customHeight="1">
      <c r="A146" s="387"/>
      <c r="B146" s="674">
        <f t="shared" si="13"/>
        <v>27</v>
      </c>
      <c r="C146" s="712"/>
      <c r="D146" s="712"/>
      <c r="E146" s="677" t="str">
        <f t="shared" si="14"/>
        <v/>
      </c>
      <c r="F146" s="678"/>
      <c r="G146" s="678"/>
      <c r="H146" s="678"/>
      <c r="I146" s="678"/>
      <c r="J146" s="678"/>
      <c r="K146" s="679"/>
      <c r="L146" s="677" t="str">
        <f t="shared" ca="1" si="10"/>
        <v/>
      </c>
      <c r="M146" s="680"/>
      <c r="N146" s="680"/>
      <c r="O146" s="680"/>
      <c r="P146" s="680"/>
      <c r="Q146" s="681"/>
      <c r="R146" s="748" t="str">
        <f t="shared" ca="1" si="11"/>
        <v/>
      </c>
      <c r="S146" s="748"/>
      <c r="T146" s="748"/>
      <c r="U146" s="748"/>
      <c r="V146" s="748"/>
      <c r="W146" s="748"/>
      <c r="X146" s="748" t="str">
        <f t="shared" ca="1" si="12"/>
        <v/>
      </c>
      <c r="Y146" s="748"/>
      <c r="Z146" s="748"/>
      <c r="AA146" s="748"/>
      <c r="AB146" s="748"/>
      <c r="AC146" s="748"/>
      <c r="AD146" s="752" t="str">
        <f t="shared" si="15"/>
        <v/>
      </c>
      <c r="AE146" s="752"/>
      <c r="AF146" s="752"/>
      <c r="AG146" s="752"/>
      <c r="AH146" s="752"/>
      <c r="AI146" s="752"/>
      <c r="AJ146" s="752"/>
      <c r="AK146" s="747" t="str">
        <f t="shared" si="16"/>
        <v/>
      </c>
      <c r="AL146" s="747"/>
      <c r="AM146" s="747"/>
      <c r="AN146" s="747"/>
      <c r="AO146" s="747"/>
      <c r="AP146" s="747"/>
      <c r="AQ146" s="747"/>
    </row>
    <row r="147" spans="1:46" ht="18" customHeight="1">
      <c r="A147" s="387"/>
      <c r="B147" s="674">
        <f t="shared" si="13"/>
        <v>28</v>
      </c>
      <c r="C147" s="712"/>
      <c r="D147" s="712"/>
      <c r="E147" s="677" t="str">
        <f t="shared" si="14"/>
        <v/>
      </c>
      <c r="F147" s="678"/>
      <c r="G147" s="678"/>
      <c r="H147" s="678"/>
      <c r="I147" s="678"/>
      <c r="J147" s="678"/>
      <c r="K147" s="679"/>
      <c r="L147" s="677" t="str">
        <f t="shared" ca="1" si="10"/>
        <v/>
      </c>
      <c r="M147" s="680"/>
      <c r="N147" s="680"/>
      <c r="O147" s="680"/>
      <c r="P147" s="680"/>
      <c r="Q147" s="681"/>
      <c r="R147" s="748" t="str">
        <f t="shared" ca="1" si="11"/>
        <v/>
      </c>
      <c r="S147" s="748"/>
      <c r="T147" s="748"/>
      <c r="U147" s="748"/>
      <c r="V147" s="748"/>
      <c r="W147" s="748"/>
      <c r="X147" s="748" t="str">
        <f t="shared" ca="1" si="12"/>
        <v/>
      </c>
      <c r="Y147" s="748"/>
      <c r="Z147" s="748"/>
      <c r="AA147" s="748"/>
      <c r="AB147" s="748"/>
      <c r="AC147" s="748"/>
      <c r="AD147" s="752" t="str">
        <f t="shared" si="15"/>
        <v/>
      </c>
      <c r="AE147" s="752"/>
      <c r="AF147" s="752"/>
      <c r="AG147" s="752"/>
      <c r="AH147" s="752"/>
      <c r="AI147" s="752"/>
      <c r="AJ147" s="752"/>
      <c r="AK147" s="747" t="str">
        <f t="shared" si="16"/>
        <v/>
      </c>
      <c r="AL147" s="747"/>
      <c r="AM147" s="747"/>
      <c r="AN147" s="747"/>
      <c r="AO147" s="747"/>
      <c r="AP147" s="747"/>
      <c r="AQ147" s="747"/>
    </row>
    <row r="148" spans="1:46" ht="18" customHeight="1">
      <c r="A148" s="387"/>
      <c r="B148" s="674">
        <f t="shared" si="13"/>
        <v>29</v>
      </c>
      <c r="C148" s="712"/>
      <c r="D148" s="712"/>
      <c r="E148" s="677" t="str">
        <f t="shared" si="14"/>
        <v/>
      </c>
      <c r="F148" s="678"/>
      <c r="G148" s="678"/>
      <c r="H148" s="678"/>
      <c r="I148" s="678"/>
      <c r="J148" s="678"/>
      <c r="K148" s="679"/>
      <c r="L148" s="677" t="str">
        <f t="shared" ca="1" si="10"/>
        <v/>
      </c>
      <c r="M148" s="680"/>
      <c r="N148" s="680"/>
      <c r="O148" s="680"/>
      <c r="P148" s="680"/>
      <c r="Q148" s="681"/>
      <c r="R148" s="748" t="str">
        <f t="shared" ca="1" si="11"/>
        <v/>
      </c>
      <c r="S148" s="748"/>
      <c r="T148" s="748"/>
      <c r="U148" s="748"/>
      <c r="V148" s="748"/>
      <c r="W148" s="748"/>
      <c r="X148" s="748" t="str">
        <f t="shared" ca="1" si="12"/>
        <v/>
      </c>
      <c r="Y148" s="748"/>
      <c r="Z148" s="748"/>
      <c r="AA148" s="748"/>
      <c r="AB148" s="748"/>
      <c r="AC148" s="748"/>
      <c r="AD148" s="752" t="str">
        <f t="shared" si="15"/>
        <v/>
      </c>
      <c r="AE148" s="752"/>
      <c r="AF148" s="752"/>
      <c r="AG148" s="752"/>
      <c r="AH148" s="752"/>
      <c r="AI148" s="752"/>
      <c r="AJ148" s="752"/>
      <c r="AK148" s="747" t="str">
        <f t="shared" si="16"/>
        <v/>
      </c>
      <c r="AL148" s="747"/>
      <c r="AM148" s="747"/>
      <c r="AN148" s="747"/>
      <c r="AO148" s="747"/>
      <c r="AP148" s="747"/>
      <c r="AQ148" s="747"/>
    </row>
    <row r="149" spans="1:46" ht="18" customHeight="1">
      <c r="A149" s="387"/>
      <c r="B149" s="674">
        <f t="shared" si="13"/>
        <v>30</v>
      </c>
      <c r="C149" s="712"/>
      <c r="D149" s="712"/>
      <c r="E149" s="677" t="str">
        <f t="shared" si="14"/>
        <v/>
      </c>
      <c r="F149" s="678"/>
      <c r="G149" s="678"/>
      <c r="H149" s="678"/>
      <c r="I149" s="678"/>
      <c r="J149" s="678"/>
      <c r="K149" s="679"/>
      <c r="L149" s="677" t="str">
        <f t="shared" ca="1" si="10"/>
        <v/>
      </c>
      <c r="M149" s="680"/>
      <c r="N149" s="680"/>
      <c r="O149" s="680"/>
      <c r="P149" s="680"/>
      <c r="Q149" s="681"/>
      <c r="R149" s="748" t="str">
        <f t="shared" ca="1" si="11"/>
        <v/>
      </c>
      <c r="S149" s="748"/>
      <c r="T149" s="748"/>
      <c r="U149" s="748"/>
      <c r="V149" s="748"/>
      <c r="W149" s="748"/>
      <c r="X149" s="748" t="str">
        <f t="shared" ca="1" si="12"/>
        <v/>
      </c>
      <c r="Y149" s="748"/>
      <c r="Z149" s="748"/>
      <c r="AA149" s="748"/>
      <c r="AB149" s="748"/>
      <c r="AC149" s="748"/>
      <c r="AD149" s="748" t="str">
        <f t="shared" si="15"/>
        <v/>
      </c>
      <c r="AE149" s="748"/>
      <c r="AF149" s="748"/>
      <c r="AG149" s="748"/>
      <c r="AH149" s="748"/>
      <c r="AI149" s="748"/>
      <c r="AJ149" s="748"/>
      <c r="AK149" s="747" t="str">
        <f t="shared" si="16"/>
        <v/>
      </c>
      <c r="AL149" s="747"/>
      <c r="AM149" s="747"/>
      <c r="AN149" s="747"/>
      <c r="AO149" s="747"/>
      <c r="AP149" s="747"/>
      <c r="AQ149" s="747"/>
    </row>
    <row r="150" spans="1:46" s="251" customFormat="1" ht="18" customHeight="1">
      <c r="A150" s="387"/>
      <c r="B150" s="403"/>
      <c r="C150" s="403"/>
      <c r="D150" s="403"/>
      <c r="E150" s="403"/>
      <c r="F150" s="403"/>
      <c r="G150" s="403"/>
      <c r="H150" s="403"/>
      <c r="I150" s="403"/>
      <c r="J150" s="403"/>
      <c r="K150" s="403"/>
      <c r="L150" s="403"/>
      <c r="M150" s="403"/>
      <c r="N150" s="403"/>
      <c r="O150" s="403"/>
      <c r="P150" s="403"/>
      <c r="Q150" s="403"/>
      <c r="R150" s="403"/>
      <c r="S150" s="403"/>
      <c r="T150" s="403"/>
      <c r="U150" s="403"/>
      <c r="V150" s="403"/>
      <c r="W150" s="403"/>
      <c r="X150" s="403"/>
      <c r="Y150" s="403"/>
      <c r="Z150" s="403"/>
      <c r="AA150" s="403"/>
      <c r="AB150" s="403"/>
      <c r="AC150" s="403"/>
      <c r="AD150" s="403"/>
      <c r="AE150" s="403"/>
      <c r="AF150" s="403"/>
      <c r="AG150" s="403"/>
      <c r="AH150" s="403"/>
      <c r="AI150" s="403"/>
      <c r="AJ150" s="403"/>
      <c r="AK150" s="403"/>
      <c r="AL150" s="403"/>
      <c r="AM150" s="403"/>
      <c r="AN150" s="403"/>
      <c r="AO150" s="403"/>
      <c r="AP150" s="403"/>
      <c r="AQ150" s="403"/>
      <c r="AR150" s="92"/>
      <c r="AS150" s="92"/>
    </row>
    <row r="151" spans="1:46" s="95" customFormat="1" ht="18" customHeight="1">
      <c r="A151" s="218" t="e">
        <f ca="1">"■ "&amp;B6&amp;" "&amp;H6&amp;" 에서의 교정데이터"</f>
        <v>#N/A</v>
      </c>
      <c r="D151" s="219"/>
      <c r="E151" s="219"/>
      <c r="F151" s="219"/>
      <c r="H151" s="94"/>
      <c r="I151" s="216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  <c r="AA151" s="94"/>
      <c r="AB151" s="94"/>
      <c r="AC151" s="94"/>
      <c r="AD151" s="94"/>
      <c r="AE151" s="94"/>
      <c r="AF151" s="94"/>
      <c r="AG151" s="94"/>
      <c r="AH151" s="94"/>
      <c r="AI151" s="94"/>
      <c r="AJ151" s="94"/>
      <c r="AK151" s="94"/>
      <c r="AL151" s="94"/>
      <c r="AM151" s="94"/>
      <c r="AN151" s="94"/>
      <c r="AO151" s="94"/>
      <c r="AP151" s="94"/>
      <c r="AQ151" s="94"/>
      <c r="AR151" s="94"/>
      <c r="AS151" s="94"/>
      <c r="AT151" s="94"/>
    </row>
    <row r="152" spans="1:46" s="95" customFormat="1" ht="18" customHeight="1">
      <c r="A152" s="132"/>
      <c r="B152" s="753" t="s">
        <v>57</v>
      </c>
      <c r="C152" s="753"/>
      <c r="D152" s="753"/>
      <c r="E152" s="753"/>
      <c r="F152" s="753"/>
      <c r="G152" s="754" t="s">
        <v>430</v>
      </c>
      <c r="H152" s="755"/>
      <c r="I152" s="755"/>
      <c r="J152" s="755"/>
      <c r="K152" s="755"/>
      <c r="L152" s="756"/>
      <c r="M152" s="760" t="s">
        <v>431</v>
      </c>
      <c r="N152" s="761"/>
      <c r="O152" s="761"/>
      <c r="P152" s="761"/>
      <c r="Q152" s="761"/>
      <c r="R152" s="761"/>
      <c r="S152" s="761"/>
      <c r="T152" s="761"/>
      <c r="U152" s="761"/>
      <c r="V152" s="761"/>
      <c r="W152" s="761"/>
      <c r="X152" s="761"/>
      <c r="Y152" s="761"/>
      <c r="Z152" s="761"/>
      <c r="AA152" s="761"/>
      <c r="AB152" s="761"/>
      <c r="AC152" s="761"/>
      <c r="AD152" s="761"/>
      <c r="AE152" s="761"/>
      <c r="AF152" s="761"/>
      <c r="AG152" s="761"/>
      <c r="AH152" s="761"/>
      <c r="AI152" s="761"/>
      <c r="AJ152" s="761"/>
      <c r="AK152" s="761"/>
      <c r="AL152" s="761"/>
      <c r="AM152" s="761"/>
      <c r="AN152" s="761"/>
      <c r="AO152" s="761"/>
      <c r="AP152" s="761"/>
      <c r="AQ152" s="761"/>
      <c r="AR152" s="761"/>
      <c r="AS152" s="762"/>
      <c r="AT152" s="94"/>
    </row>
    <row r="153" spans="1:46" s="95" customFormat="1" ht="18" customHeight="1">
      <c r="A153" s="132"/>
      <c r="B153" s="753"/>
      <c r="C153" s="753"/>
      <c r="D153" s="753"/>
      <c r="E153" s="753"/>
      <c r="F153" s="753"/>
      <c r="G153" s="757"/>
      <c r="H153" s="758"/>
      <c r="I153" s="758"/>
      <c r="J153" s="758"/>
      <c r="K153" s="758"/>
      <c r="L153" s="759"/>
      <c r="M153" s="753" t="s">
        <v>403</v>
      </c>
      <c r="N153" s="753"/>
      <c r="O153" s="753"/>
      <c r="P153" s="753"/>
      <c r="Q153" s="753"/>
      <c r="R153" s="763" t="s">
        <v>432</v>
      </c>
      <c r="S153" s="764"/>
      <c r="T153" s="764"/>
      <c r="U153" s="764"/>
      <c r="V153" s="765"/>
      <c r="W153" s="763" t="s">
        <v>404</v>
      </c>
      <c r="X153" s="764"/>
      <c r="Y153" s="764"/>
      <c r="Z153" s="764"/>
      <c r="AA153" s="765"/>
      <c r="AB153" s="763" t="s">
        <v>433</v>
      </c>
      <c r="AC153" s="764"/>
      <c r="AD153" s="764"/>
      <c r="AE153" s="764"/>
      <c r="AF153" s="764"/>
      <c r="AG153" s="764"/>
      <c r="AH153" s="764"/>
      <c r="AI153" s="764"/>
      <c r="AJ153" s="764"/>
      <c r="AK153" s="764"/>
      <c r="AL153" s="764"/>
      <c r="AM153" s="765"/>
      <c r="AN153" s="766" t="s">
        <v>434</v>
      </c>
      <c r="AO153" s="767"/>
      <c r="AP153" s="767"/>
      <c r="AQ153" s="767"/>
      <c r="AR153" s="767"/>
      <c r="AS153" s="768"/>
      <c r="AT153" s="94"/>
    </row>
    <row r="154" spans="1:46" s="95" customFormat="1" ht="18" customHeight="1">
      <c r="A154" s="132"/>
      <c r="B154" s="753"/>
      <c r="C154" s="753"/>
      <c r="D154" s="753"/>
      <c r="E154" s="753"/>
      <c r="F154" s="753"/>
      <c r="G154" s="769">
        <f>I13</f>
        <v>0</v>
      </c>
      <c r="H154" s="769"/>
      <c r="I154" s="769"/>
      <c r="J154" s="769"/>
      <c r="K154" s="769"/>
      <c r="L154" s="769"/>
      <c r="M154" s="769">
        <f>P13</f>
        <v>0</v>
      </c>
      <c r="N154" s="769"/>
      <c r="O154" s="769"/>
      <c r="P154" s="769"/>
      <c r="Q154" s="769"/>
      <c r="R154" s="780">
        <f>W13</f>
        <v>0</v>
      </c>
      <c r="S154" s="781"/>
      <c r="T154" s="781"/>
      <c r="U154" s="781"/>
      <c r="V154" s="782"/>
      <c r="W154" s="780">
        <f>AD13</f>
        <v>0</v>
      </c>
      <c r="X154" s="781"/>
      <c r="Y154" s="781"/>
      <c r="Z154" s="781"/>
      <c r="AA154" s="782"/>
      <c r="AB154" s="780">
        <f>Calcu!H44</f>
        <v>0</v>
      </c>
      <c r="AC154" s="781"/>
      <c r="AD154" s="781"/>
      <c r="AE154" s="781"/>
      <c r="AF154" s="781"/>
      <c r="AG154" s="781"/>
      <c r="AH154" s="780">
        <f>Calcu!N44</f>
        <v>0</v>
      </c>
      <c r="AI154" s="781"/>
      <c r="AJ154" s="781"/>
      <c r="AK154" s="781"/>
      <c r="AL154" s="781"/>
      <c r="AM154" s="781"/>
      <c r="AN154" s="769">
        <f>Calcu!J44</f>
        <v>0</v>
      </c>
      <c r="AO154" s="769"/>
      <c r="AP154" s="769"/>
      <c r="AQ154" s="769"/>
      <c r="AR154" s="769"/>
      <c r="AS154" s="769"/>
      <c r="AT154" s="94"/>
    </row>
    <row r="155" spans="1:46" s="95" customFormat="1" ht="18" customHeight="1">
      <c r="A155" s="132"/>
      <c r="B155" s="779" t="e">
        <f>AL6</f>
        <v>#N/A</v>
      </c>
      <c r="C155" s="779"/>
      <c r="D155" s="779"/>
      <c r="E155" s="779"/>
      <c r="F155" s="779"/>
      <c r="G155" s="776" t="e">
        <f ca="1">OFFSET(I13,B155,0)</f>
        <v>#N/A</v>
      </c>
      <c r="H155" s="777"/>
      <c r="I155" s="777"/>
      <c r="J155" s="777"/>
      <c r="K155" s="777"/>
      <c r="L155" s="778"/>
      <c r="M155" s="776" t="e">
        <f ca="1">OFFSET(Calcu!V8,B155,0)</f>
        <v>#N/A</v>
      </c>
      <c r="N155" s="777"/>
      <c r="O155" s="777"/>
      <c r="P155" s="777"/>
      <c r="Q155" s="778"/>
      <c r="R155" s="776" t="e">
        <f ca="1">OFFSET(Calcu!W8,B155,0)</f>
        <v>#N/A</v>
      </c>
      <c r="S155" s="777"/>
      <c r="T155" s="777"/>
      <c r="U155" s="777"/>
      <c r="V155" s="778"/>
      <c r="W155" s="776" t="e">
        <f ca="1">OFFSET(Calcu!X8,B155,0)</f>
        <v>#N/A</v>
      </c>
      <c r="X155" s="777"/>
      <c r="Y155" s="777"/>
      <c r="Z155" s="777"/>
      <c r="AA155" s="778"/>
      <c r="AB155" s="770" t="e">
        <f ca="1">OFFSET(Calcu!H44,B155,0)</f>
        <v>#N/A</v>
      </c>
      <c r="AC155" s="771"/>
      <c r="AD155" s="771"/>
      <c r="AE155" s="771"/>
      <c r="AF155" s="771"/>
      <c r="AG155" s="771"/>
      <c r="AH155" s="770" t="e">
        <f ca="1">OFFSET(Calcu!I44,B155,0)</f>
        <v>#N/A</v>
      </c>
      <c r="AI155" s="771"/>
      <c r="AJ155" s="771"/>
      <c r="AK155" s="771"/>
      <c r="AL155" s="771"/>
      <c r="AM155" s="771"/>
      <c r="AN155" s="774" t="e">
        <f ca="1">OFFSET(Calcu!J44,B155,0)</f>
        <v>#N/A</v>
      </c>
      <c r="AO155" s="774"/>
      <c r="AP155" s="774"/>
      <c r="AQ155" s="774"/>
      <c r="AR155" s="774"/>
      <c r="AS155" s="774"/>
      <c r="AT155" s="94"/>
    </row>
    <row r="156" spans="1:46" s="95" customFormat="1" ht="18" customHeight="1">
      <c r="A156" s="132"/>
      <c r="B156" s="775" t="e">
        <f>B155</f>
        <v>#N/A</v>
      </c>
      <c r="C156" s="775"/>
      <c r="D156" s="775"/>
      <c r="E156" s="775"/>
      <c r="F156" s="775"/>
      <c r="G156" s="774" t="e">
        <f ca="1">G155</f>
        <v>#N/A</v>
      </c>
      <c r="H156" s="774"/>
      <c r="I156" s="774"/>
      <c r="J156" s="774"/>
      <c r="K156" s="774"/>
      <c r="L156" s="774"/>
      <c r="M156" s="776" t="e">
        <f ca="1">OFFSET(Calcu!V23,B156,0)</f>
        <v>#N/A</v>
      </c>
      <c r="N156" s="777"/>
      <c r="O156" s="777"/>
      <c r="P156" s="777"/>
      <c r="Q156" s="778"/>
      <c r="R156" s="776" t="e">
        <f ca="1">OFFSET(Calcu!W23,B156,0)</f>
        <v>#N/A</v>
      </c>
      <c r="S156" s="777"/>
      <c r="T156" s="777"/>
      <c r="U156" s="777"/>
      <c r="V156" s="778"/>
      <c r="W156" s="776" t="e">
        <f ca="1">OFFSET(Calcu!X23,B156,0)</f>
        <v>#N/A</v>
      </c>
      <c r="X156" s="777"/>
      <c r="Y156" s="777"/>
      <c r="Z156" s="777"/>
      <c r="AA156" s="778"/>
      <c r="AB156" s="772"/>
      <c r="AC156" s="773"/>
      <c r="AD156" s="773"/>
      <c r="AE156" s="773"/>
      <c r="AF156" s="773"/>
      <c r="AG156" s="773"/>
      <c r="AH156" s="772"/>
      <c r="AI156" s="773"/>
      <c r="AJ156" s="773"/>
      <c r="AK156" s="773"/>
      <c r="AL156" s="773"/>
      <c r="AM156" s="773"/>
      <c r="AN156" s="774"/>
      <c r="AO156" s="774"/>
      <c r="AP156" s="774"/>
      <c r="AQ156" s="774"/>
      <c r="AR156" s="774"/>
      <c r="AS156" s="774"/>
      <c r="AT156" s="94"/>
    </row>
    <row r="157" spans="1:46" s="95" customFormat="1" ht="18" customHeight="1">
      <c r="A157" s="132"/>
      <c r="B157" s="94"/>
      <c r="C157" s="94"/>
      <c r="D157" s="94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4"/>
      <c r="X157" s="94"/>
      <c r="Y157" s="94"/>
      <c r="Z157" s="94"/>
      <c r="AA157" s="94"/>
      <c r="AB157" s="94"/>
      <c r="AC157" s="94"/>
      <c r="AD157" s="94"/>
      <c r="AE157" s="94"/>
      <c r="AF157" s="94"/>
      <c r="AG157" s="94"/>
      <c r="AH157" s="94"/>
      <c r="AI157" s="94"/>
      <c r="AJ157" s="94"/>
      <c r="AK157" s="94"/>
      <c r="AL157" s="94"/>
      <c r="AM157" s="94"/>
      <c r="AN157" s="94"/>
      <c r="AO157" s="94"/>
      <c r="AP157" s="94"/>
      <c r="AQ157" s="94"/>
      <c r="AR157" s="94"/>
      <c r="AS157" s="94"/>
      <c r="AT157" s="94"/>
    </row>
    <row r="158" spans="1:46" s="95" customFormat="1" ht="18" customHeight="1">
      <c r="A158" s="102" t="e">
        <f ca="1">"■ "&amp;B6&amp;" "&amp;H6&amp;" 에서의 영점보정 후 교정데이터"</f>
        <v>#N/A</v>
      </c>
      <c r="B158" s="94"/>
      <c r="C158" s="215"/>
      <c r="D158" s="215"/>
      <c r="E158" s="215"/>
      <c r="F158" s="215"/>
      <c r="G158" s="216"/>
      <c r="H158" s="216"/>
      <c r="I158" s="216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4"/>
      <c r="X158" s="94"/>
      <c r="Y158" s="94"/>
      <c r="Z158" s="94"/>
      <c r="AA158" s="94"/>
      <c r="AB158" s="94"/>
      <c r="AC158" s="94"/>
      <c r="AD158" s="94"/>
      <c r="AE158" s="94"/>
      <c r="AF158" s="94"/>
      <c r="AG158" s="94"/>
      <c r="AH158" s="94"/>
      <c r="AI158" s="94"/>
      <c r="AJ158" s="94"/>
      <c r="AK158" s="94"/>
      <c r="AL158" s="94"/>
      <c r="AM158" s="94"/>
      <c r="AN158" s="94"/>
      <c r="AO158" s="94"/>
      <c r="AP158" s="94"/>
      <c r="AQ158" s="94"/>
      <c r="AR158" s="94"/>
      <c r="AS158" s="94"/>
      <c r="AT158" s="94"/>
    </row>
    <row r="159" spans="1:46" s="95" customFormat="1" ht="18" customHeight="1">
      <c r="A159" s="132"/>
      <c r="B159" s="754" t="s">
        <v>57</v>
      </c>
      <c r="C159" s="755"/>
      <c r="D159" s="755"/>
      <c r="E159" s="755"/>
      <c r="F159" s="755"/>
      <c r="G159" s="756"/>
      <c r="H159" s="754" t="s">
        <v>430</v>
      </c>
      <c r="I159" s="755"/>
      <c r="J159" s="755"/>
      <c r="K159" s="755"/>
      <c r="L159" s="755"/>
      <c r="M159" s="756"/>
      <c r="N159" s="753" t="e">
        <f>Calcu!$J$103&amp;"의 출력값 (영점보정)"</f>
        <v>#N/A</v>
      </c>
      <c r="O159" s="753"/>
      <c r="P159" s="753"/>
      <c r="Q159" s="753"/>
      <c r="R159" s="753"/>
      <c r="S159" s="753"/>
      <c r="T159" s="753"/>
      <c r="U159" s="753"/>
      <c r="V159" s="753"/>
      <c r="W159" s="753"/>
      <c r="X159" s="753"/>
      <c r="Y159" s="753"/>
      <c r="Z159" s="753"/>
      <c r="AA159" s="753"/>
      <c r="AB159" s="753"/>
      <c r="AC159" s="753"/>
      <c r="AD159" s="753"/>
      <c r="AE159" s="753"/>
      <c r="AF159" s="753"/>
      <c r="AG159" s="753"/>
      <c r="AH159" s="753"/>
      <c r="AI159" s="753"/>
      <c r="AJ159" s="753"/>
      <c r="AK159" s="753"/>
      <c r="AL159" s="753"/>
      <c r="AM159" s="753"/>
      <c r="AN159" s="753"/>
      <c r="AO159" s="753"/>
      <c r="AP159" s="753"/>
      <c r="AQ159" s="753"/>
      <c r="AR159" s="753"/>
      <c r="AS159" s="753"/>
      <c r="AT159" s="94"/>
    </row>
    <row r="160" spans="1:46" s="95" customFormat="1" ht="18" customHeight="1">
      <c r="A160" s="132"/>
      <c r="B160" s="789"/>
      <c r="C160" s="790"/>
      <c r="D160" s="790"/>
      <c r="E160" s="790"/>
      <c r="F160" s="790"/>
      <c r="G160" s="791"/>
      <c r="H160" s="757"/>
      <c r="I160" s="758"/>
      <c r="J160" s="758"/>
      <c r="K160" s="758"/>
      <c r="L160" s="758"/>
      <c r="M160" s="759"/>
      <c r="N160" s="753" t="s">
        <v>403</v>
      </c>
      <c r="O160" s="753"/>
      <c r="P160" s="753"/>
      <c r="Q160" s="753"/>
      <c r="R160" s="753"/>
      <c r="S160" s="753"/>
      <c r="T160" s="753" t="s">
        <v>66</v>
      </c>
      <c r="U160" s="753"/>
      <c r="V160" s="753"/>
      <c r="W160" s="753"/>
      <c r="X160" s="753"/>
      <c r="Y160" s="753"/>
      <c r="Z160" s="753" t="s">
        <v>404</v>
      </c>
      <c r="AA160" s="753"/>
      <c r="AB160" s="753"/>
      <c r="AC160" s="753"/>
      <c r="AD160" s="753"/>
      <c r="AE160" s="753"/>
      <c r="AF160" s="763" t="s">
        <v>435</v>
      </c>
      <c r="AG160" s="764"/>
      <c r="AH160" s="764"/>
      <c r="AI160" s="764"/>
      <c r="AJ160" s="764"/>
      <c r="AK160" s="764"/>
      <c r="AL160" s="764"/>
      <c r="AM160" s="764"/>
      <c r="AN160" s="764"/>
      <c r="AO160" s="764"/>
      <c r="AP160" s="764"/>
      <c r="AQ160" s="764"/>
      <c r="AR160" s="764"/>
      <c r="AS160" s="765"/>
      <c r="AT160" s="94"/>
    </row>
    <row r="161" spans="1:92" s="95" customFormat="1" ht="18" customHeight="1">
      <c r="A161" s="132"/>
      <c r="B161" s="757"/>
      <c r="C161" s="758"/>
      <c r="D161" s="758"/>
      <c r="E161" s="758"/>
      <c r="F161" s="758"/>
      <c r="G161" s="759"/>
      <c r="H161" s="783">
        <f>G154</f>
        <v>0</v>
      </c>
      <c r="I161" s="784"/>
      <c r="J161" s="784"/>
      <c r="K161" s="784"/>
      <c r="L161" s="784"/>
      <c r="M161" s="785"/>
      <c r="N161" s="783">
        <f>M154</f>
        <v>0</v>
      </c>
      <c r="O161" s="784"/>
      <c r="P161" s="784"/>
      <c r="Q161" s="784"/>
      <c r="R161" s="784"/>
      <c r="S161" s="785"/>
      <c r="T161" s="783">
        <f>R154</f>
        <v>0</v>
      </c>
      <c r="U161" s="784"/>
      <c r="V161" s="784"/>
      <c r="W161" s="784"/>
      <c r="X161" s="784"/>
      <c r="Y161" s="785"/>
      <c r="Z161" s="783">
        <f>W154</f>
        <v>0</v>
      </c>
      <c r="AA161" s="784"/>
      <c r="AB161" s="784"/>
      <c r="AC161" s="784"/>
      <c r="AD161" s="784"/>
      <c r="AE161" s="785"/>
      <c r="AF161" s="783">
        <f>AB154</f>
        <v>0</v>
      </c>
      <c r="AG161" s="784"/>
      <c r="AH161" s="784"/>
      <c r="AI161" s="784"/>
      <c r="AJ161" s="784"/>
      <c r="AK161" s="784"/>
      <c r="AL161" s="785"/>
      <c r="AM161" s="783">
        <f>H161</f>
        <v>0</v>
      </c>
      <c r="AN161" s="781"/>
      <c r="AO161" s="781"/>
      <c r="AP161" s="781"/>
      <c r="AQ161" s="781"/>
      <c r="AR161" s="781"/>
      <c r="AS161" s="782"/>
      <c r="AT161" s="94"/>
    </row>
    <row r="162" spans="1:92" s="95" customFormat="1" ht="18" customHeight="1">
      <c r="A162" s="132"/>
      <c r="B162" s="786" t="e">
        <f>B155</f>
        <v>#N/A</v>
      </c>
      <c r="C162" s="787"/>
      <c r="D162" s="787"/>
      <c r="E162" s="787"/>
      <c r="F162" s="787"/>
      <c r="G162" s="788"/>
      <c r="H162" s="776" t="e">
        <f ca="1">G155</f>
        <v>#N/A</v>
      </c>
      <c r="I162" s="777"/>
      <c r="J162" s="777"/>
      <c r="K162" s="777"/>
      <c r="L162" s="777"/>
      <c r="M162" s="778"/>
      <c r="N162" s="776" t="e">
        <f ca="1">OFFSET(Calcu!AA8,B162,0)</f>
        <v>#N/A</v>
      </c>
      <c r="O162" s="777"/>
      <c r="P162" s="777"/>
      <c r="Q162" s="777"/>
      <c r="R162" s="777"/>
      <c r="S162" s="778"/>
      <c r="T162" s="776" t="e">
        <f ca="1">OFFSET(Calcu!AB8,B162,0)</f>
        <v>#N/A</v>
      </c>
      <c r="U162" s="777"/>
      <c r="V162" s="777"/>
      <c r="W162" s="777"/>
      <c r="X162" s="777"/>
      <c r="Y162" s="778"/>
      <c r="Z162" s="776" t="e">
        <f ca="1">OFFSET(Calcu!AC8,B162,0)</f>
        <v>#N/A</v>
      </c>
      <c r="AA162" s="777"/>
      <c r="AB162" s="777"/>
      <c r="AC162" s="777"/>
      <c r="AD162" s="777"/>
      <c r="AE162" s="778"/>
      <c r="AF162" s="776" t="e">
        <f ca="1">OFFSET(Calcu!AD8,B162,0)</f>
        <v>#N/A</v>
      </c>
      <c r="AG162" s="777"/>
      <c r="AH162" s="777"/>
      <c r="AI162" s="777"/>
      <c r="AJ162" s="777"/>
      <c r="AK162" s="777"/>
      <c r="AL162" s="778"/>
      <c r="AM162" s="776" t="e">
        <f ca="1">AF162*AJ$59</f>
        <v>#N/A</v>
      </c>
      <c r="AN162" s="777"/>
      <c r="AO162" s="777"/>
      <c r="AP162" s="777"/>
      <c r="AQ162" s="777"/>
      <c r="AR162" s="777"/>
      <c r="AS162" s="778"/>
      <c r="AT162" s="94"/>
    </row>
    <row r="163" spans="1:92" s="95" customFormat="1" ht="18" customHeight="1">
      <c r="A163" s="132"/>
      <c r="B163" s="811" t="e">
        <f>B156</f>
        <v>#N/A</v>
      </c>
      <c r="C163" s="812"/>
      <c r="D163" s="812"/>
      <c r="E163" s="812"/>
      <c r="F163" s="812"/>
      <c r="G163" s="813"/>
      <c r="H163" s="776" t="e">
        <f ca="1">G156</f>
        <v>#N/A</v>
      </c>
      <c r="I163" s="777"/>
      <c r="J163" s="777"/>
      <c r="K163" s="777"/>
      <c r="L163" s="777"/>
      <c r="M163" s="778"/>
      <c r="N163" s="776" t="e">
        <f ca="1">OFFSET(Calcu!AA23,B163,0)</f>
        <v>#N/A</v>
      </c>
      <c r="O163" s="777"/>
      <c r="P163" s="777"/>
      <c r="Q163" s="777"/>
      <c r="R163" s="777"/>
      <c r="S163" s="778"/>
      <c r="T163" s="776" t="e">
        <f ca="1">OFFSET(Calcu!AB23,B163,0)</f>
        <v>#N/A</v>
      </c>
      <c r="U163" s="777"/>
      <c r="V163" s="777"/>
      <c r="W163" s="777"/>
      <c r="X163" s="777"/>
      <c r="Y163" s="778"/>
      <c r="Z163" s="776" t="e">
        <f ca="1">OFFSET(Calcu!AC23,B163,0)</f>
        <v>#N/A</v>
      </c>
      <c r="AA163" s="777"/>
      <c r="AB163" s="777"/>
      <c r="AC163" s="777"/>
      <c r="AD163" s="777"/>
      <c r="AE163" s="778"/>
      <c r="AF163" s="776" t="e">
        <f ca="1">OFFSET(Calcu!AD23,B163,0)</f>
        <v>#N/A</v>
      </c>
      <c r="AG163" s="777"/>
      <c r="AH163" s="777"/>
      <c r="AI163" s="777"/>
      <c r="AJ163" s="777"/>
      <c r="AK163" s="777"/>
      <c r="AL163" s="778"/>
      <c r="AM163" s="776" t="e">
        <f ca="1">AF163*AJ$59</f>
        <v>#N/A</v>
      </c>
      <c r="AN163" s="777"/>
      <c r="AO163" s="777"/>
      <c r="AP163" s="777"/>
      <c r="AQ163" s="777"/>
      <c r="AR163" s="777"/>
      <c r="AS163" s="778"/>
      <c r="AT163" s="94"/>
    </row>
    <row r="164" spans="1:92" s="95" customFormat="1" ht="18" customHeight="1">
      <c r="A164" s="132"/>
      <c r="B164" s="214"/>
      <c r="C164" s="256"/>
      <c r="D164" s="256"/>
      <c r="E164" s="256"/>
      <c r="F164" s="256"/>
      <c r="G164" s="256"/>
      <c r="H164" s="256"/>
      <c r="I164" s="214"/>
      <c r="J164" s="214"/>
      <c r="K164" s="214"/>
      <c r="L164" s="214"/>
      <c r="M164" s="214"/>
      <c r="N164" s="214"/>
      <c r="O164" s="214"/>
      <c r="P164" s="214"/>
      <c r="Q164" s="214"/>
      <c r="R164" s="214"/>
      <c r="S164" s="214"/>
      <c r="T164" s="214"/>
      <c r="U164" s="214"/>
      <c r="V164" s="214"/>
      <c r="W164" s="214"/>
      <c r="X164" s="214"/>
      <c r="Y164" s="214"/>
      <c r="Z164" s="214"/>
      <c r="AA164" s="214"/>
      <c r="AB164" s="214"/>
      <c r="AC164" s="214"/>
      <c r="AD164" s="214"/>
      <c r="AE164" s="214"/>
      <c r="AF164" s="214"/>
      <c r="AG164" s="214"/>
      <c r="AH164" s="214"/>
      <c r="AI164" s="214"/>
      <c r="AJ164" s="214"/>
      <c r="AK164" s="214"/>
      <c r="AL164" s="214"/>
      <c r="AM164" s="214"/>
      <c r="AN164" s="214"/>
      <c r="AO164" s="214"/>
      <c r="AP164" s="214"/>
      <c r="AQ164" s="214"/>
      <c r="AR164" s="214"/>
      <c r="AS164" s="214"/>
      <c r="AT164" s="94"/>
    </row>
    <row r="165" spans="1:92" ht="18" customHeight="1">
      <c r="A165" s="131" t="s">
        <v>436</v>
      </c>
      <c r="B165" s="251"/>
      <c r="C165" s="251"/>
      <c r="D165" s="251"/>
      <c r="E165" s="251"/>
      <c r="F165" s="251"/>
      <c r="G165" s="251"/>
      <c r="H165" s="251"/>
      <c r="I165" s="251"/>
      <c r="J165" s="251"/>
      <c r="K165" s="251"/>
      <c r="L165" s="251"/>
      <c r="M165" s="251"/>
      <c r="N165" s="251"/>
      <c r="O165" s="251"/>
      <c r="P165" s="251"/>
      <c r="Q165" s="251"/>
      <c r="R165" s="251"/>
      <c r="S165" s="251"/>
      <c r="T165" s="251"/>
      <c r="U165" s="251"/>
      <c r="V165" s="251"/>
      <c r="W165" s="251"/>
      <c r="X165" s="251"/>
      <c r="Y165" s="251"/>
      <c r="Z165" s="251"/>
      <c r="AA165" s="251"/>
      <c r="AB165" s="251"/>
      <c r="AC165" s="251"/>
      <c r="AD165" s="251"/>
      <c r="AE165" s="251"/>
      <c r="AF165" s="251"/>
      <c r="AG165" s="251"/>
      <c r="AH165" s="251"/>
      <c r="AI165" s="251"/>
      <c r="AJ165" s="251"/>
      <c r="AK165" s="251"/>
      <c r="AL165" s="251"/>
      <c r="AM165" s="251"/>
      <c r="AN165" s="251"/>
      <c r="AO165" s="251"/>
      <c r="AP165" s="251"/>
      <c r="AQ165" s="251"/>
      <c r="AR165" s="251"/>
      <c r="AS165" s="251"/>
      <c r="AT165" s="251"/>
    </row>
    <row r="166" spans="1:92" ht="18" customHeight="1">
      <c r="A166" s="387"/>
      <c r="B166" s="798"/>
      <c r="C166" s="799"/>
      <c r="D166" s="802"/>
      <c r="E166" s="803"/>
      <c r="F166" s="803"/>
      <c r="G166" s="803"/>
      <c r="H166" s="804"/>
      <c r="I166" s="802">
        <v>1</v>
      </c>
      <c r="J166" s="803"/>
      <c r="K166" s="803"/>
      <c r="L166" s="803"/>
      <c r="M166" s="803"/>
      <c r="N166" s="803"/>
      <c r="O166" s="804"/>
      <c r="P166" s="802">
        <v>2</v>
      </c>
      <c r="Q166" s="803"/>
      <c r="R166" s="803"/>
      <c r="S166" s="803"/>
      <c r="T166" s="803"/>
      <c r="U166" s="803"/>
      <c r="V166" s="803"/>
      <c r="W166" s="804"/>
      <c r="X166" s="802">
        <v>3</v>
      </c>
      <c r="Y166" s="805"/>
      <c r="Z166" s="805"/>
      <c r="AA166" s="805"/>
      <c r="AB166" s="806"/>
      <c r="AC166" s="802">
        <v>4</v>
      </c>
      <c r="AD166" s="803"/>
      <c r="AE166" s="803"/>
      <c r="AF166" s="803"/>
      <c r="AG166" s="804"/>
      <c r="AH166" s="802">
        <v>5</v>
      </c>
      <c r="AI166" s="803"/>
      <c r="AJ166" s="803"/>
      <c r="AK166" s="803"/>
      <c r="AL166" s="803"/>
      <c r="AM166" s="803"/>
      <c r="AN166" s="803"/>
      <c r="AO166" s="804"/>
      <c r="AP166" s="802">
        <v>6</v>
      </c>
      <c r="AQ166" s="807"/>
      <c r="AR166" s="807"/>
      <c r="AS166" s="806"/>
      <c r="AT166" s="251"/>
    </row>
    <row r="167" spans="1:92" ht="18" customHeight="1">
      <c r="A167" s="387"/>
      <c r="B167" s="800"/>
      <c r="C167" s="801"/>
      <c r="D167" s="792" t="s">
        <v>437</v>
      </c>
      <c r="E167" s="793"/>
      <c r="F167" s="793"/>
      <c r="G167" s="793"/>
      <c r="H167" s="794"/>
      <c r="I167" s="792" t="s">
        <v>438</v>
      </c>
      <c r="J167" s="793"/>
      <c r="K167" s="793"/>
      <c r="L167" s="793"/>
      <c r="M167" s="793"/>
      <c r="N167" s="793"/>
      <c r="O167" s="794"/>
      <c r="P167" s="792" t="s">
        <v>138</v>
      </c>
      <c r="Q167" s="793"/>
      <c r="R167" s="793"/>
      <c r="S167" s="793"/>
      <c r="T167" s="793"/>
      <c r="U167" s="793"/>
      <c r="V167" s="793"/>
      <c r="W167" s="794"/>
      <c r="X167" s="792" t="s">
        <v>439</v>
      </c>
      <c r="Y167" s="795"/>
      <c r="Z167" s="795"/>
      <c r="AA167" s="795"/>
      <c r="AB167" s="796"/>
      <c r="AC167" s="792" t="s">
        <v>440</v>
      </c>
      <c r="AD167" s="793"/>
      <c r="AE167" s="793"/>
      <c r="AF167" s="793"/>
      <c r="AG167" s="794"/>
      <c r="AH167" s="792" t="s">
        <v>441</v>
      </c>
      <c r="AI167" s="793"/>
      <c r="AJ167" s="793"/>
      <c r="AK167" s="793"/>
      <c r="AL167" s="793"/>
      <c r="AM167" s="793"/>
      <c r="AN167" s="793"/>
      <c r="AO167" s="794"/>
      <c r="AP167" s="792" t="s">
        <v>139</v>
      </c>
      <c r="AQ167" s="797"/>
      <c r="AR167" s="797"/>
      <c r="AS167" s="796"/>
      <c r="AT167" s="251"/>
    </row>
    <row r="168" spans="1:92" ht="18" customHeight="1">
      <c r="A168" s="387"/>
      <c r="B168" s="800"/>
      <c r="C168" s="801"/>
      <c r="D168" s="808"/>
      <c r="E168" s="809"/>
      <c r="F168" s="809"/>
      <c r="G168" s="809"/>
      <c r="H168" s="810"/>
      <c r="I168" s="827" t="s">
        <v>442</v>
      </c>
      <c r="J168" s="828"/>
      <c r="K168" s="828"/>
      <c r="L168" s="828"/>
      <c r="M168" s="828"/>
      <c r="N168" s="828"/>
      <c r="O168" s="829"/>
      <c r="P168" s="830" t="s">
        <v>443</v>
      </c>
      <c r="Q168" s="831"/>
      <c r="R168" s="831"/>
      <c r="S168" s="831"/>
      <c r="T168" s="831"/>
      <c r="U168" s="831"/>
      <c r="V168" s="831"/>
      <c r="W168" s="832"/>
      <c r="X168" s="833"/>
      <c r="Y168" s="834"/>
      <c r="Z168" s="834"/>
      <c r="AA168" s="834"/>
      <c r="AB168" s="835"/>
      <c r="AC168" s="830" t="s">
        <v>444</v>
      </c>
      <c r="AD168" s="831"/>
      <c r="AE168" s="831"/>
      <c r="AF168" s="831"/>
      <c r="AG168" s="832"/>
      <c r="AH168" s="827" t="s">
        <v>445</v>
      </c>
      <c r="AI168" s="828"/>
      <c r="AJ168" s="828"/>
      <c r="AK168" s="828"/>
      <c r="AL168" s="828"/>
      <c r="AM168" s="828"/>
      <c r="AN168" s="828"/>
      <c r="AO168" s="829"/>
      <c r="AP168" s="833"/>
      <c r="AQ168" s="836"/>
      <c r="AR168" s="836"/>
      <c r="AS168" s="835"/>
      <c r="AT168" s="251"/>
    </row>
    <row r="169" spans="1:92" ht="18" customHeight="1">
      <c r="A169" s="387"/>
      <c r="B169" s="823" t="s">
        <v>140</v>
      </c>
      <c r="C169" s="824"/>
      <c r="D169" s="818" t="s">
        <v>446</v>
      </c>
      <c r="E169" s="819"/>
      <c r="F169" s="819"/>
      <c r="G169" s="819"/>
      <c r="H169" s="820"/>
      <c r="I169" s="814" t="e">
        <f ca="1">G155</f>
        <v>#N/A</v>
      </c>
      <c r="J169" s="815"/>
      <c r="K169" s="815"/>
      <c r="L169" s="815"/>
      <c r="M169" s="816">
        <f>G154</f>
        <v>0</v>
      </c>
      <c r="N169" s="669"/>
      <c r="O169" s="670"/>
      <c r="P169" s="825" t="e">
        <f ca="1">IF(OR(Z6="% of Reading",Z6="% of F.S"),I169*T6%,T6)/AF6</f>
        <v>#N/A</v>
      </c>
      <c r="Q169" s="826"/>
      <c r="R169" s="826"/>
      <c r="S169" s="826"/>
      <c r="T169" s="826"/>
      <c r="U169" s="816">
        <f>M169</f>
        <v>0</v>
      </c>
      <c r="V169" s="816"/>
      <c r="W169" s="817"/>
      <c r="X169" s="802" t="s">
        <v>447</v>
      </c>
      <c r="Y169" s="807"/>
      <c r="Z169" s="807"/>
      <c r="AA169" s="807"/>
      <c r="AB169" s="806"/>
      <c r="AC169" s="706">
        <v>1</v>
      </c>
      <c r="AD169" s="707"/>
      <c r="AE169" s="707"/>
      <c r="AF169" s="707"/>
      <c r="AG169" s="708"/>
      <c r="AH169" s="814" t="e">
        <f t="shared" ref="AH169:AH173" ca="1" si="17">P169*AC169</f>
        <v>#N/A</v>
      </c>
      <c r="AI169" s="815"/>
      <c r="AJ169" s="815"/>
      <c r="AK169" s="815"/>
      <c r="AL169" s="815"/>
      <c r="AM169" s="816">
        <f>U169</f>
        <v>0</v>
      </c>
      <c r="AN169" s="816"/>
      <c r="AO169" s="817"/>
      <c r="AP169" s="802" t="s">
        <v>448</v>
      </c>
      <c r="AQ169" s="807"/>
      <c r="AR169" s="807"/>
      <c r="AS169" s="806"/>
      <c r="AT169" s="251"/>
    </row>
    <row r="170" spans="1:92" ht="18" customHeight="1">
      <c r="A170" s="387"/>
      <c r="B170" s="798" t="s">
        <v>449</v>
      </c>
      <c r="C170" s="799"/>
      <c r="D170" s="818" t="s">
        <v>450</v>
      </c>
      <c r="E170" s="819"/>
      <c r="F170" s="819"/>
      <c r="G170" s="819"/>
      <c r="H170" s="820"/>
      <c r="I170" s="821" t="e">
        <f ca="1">AH155</f>
        <v>#N/A</v>
      </c>
      <c r="J170" s="822"/>
      <c r="K170" s="822"/>
      <c r="L170" s="822"/>
      <c r="M170" s="816">
        <f>AH154</f>
        <v>0</v>
      </c>
      <c r="N170" s="669"/>
      <c r="O170" s="670"/>
      <c r="P170" s="821" t="e">
        <f ca="1">SQRT(SUMSQ(P171,P172,P173,P174))</f>
        <v>#N/A</v>
      </c>
      <c r="Q170" s="822"/>
      <c r="R170" s="822"/>
      <c r="S170" s="822"/>
      <c r="T170" s="822"/>
      <c r="U170" s="816">
        <f>M170</f>
        <v>0</v>
      </c>
      <c r="V170" s="816"/>
      <c r="W170" s="817"/>
      <c r="X170" s="792" t="s">
        <v>451</v>
      </c>
      <c r="Y170" s="793"/>
      <c r="Z170" s="793"/>
      <c r="AA170" s="793"/>
      <c r="AB170" s="794"/>
      <c r="AC170" s="846">
        <v>-1</v>
      </c>
      <c r="AD170" s="847"/>
      <c r="AE170" s="847"/>
      <c r="AF170" s="847"/>
      <c r="AG170" s="848"/>
      <c r="AH170" s="821" t="e">
        <f ca="1">ABS(P170*AC170)</f>
        <v>#N/A</v>
      </c>
      <c r="AI170" s="822"/>
      <c r="AJ170" s="822"/>
      <c r="AK170" s="822"/>
      <c r="AL170" s="822"/>
      <c r="AM170" s="816">
        <f>U170</f>
        <v>0</v>
      </c>
      <c r="AN170" s="816"/>
      <c r="AO170" s="817"/>
      <c r="AP170" s="792" t="e">
        <f ca="1">IF(AH171/AH170*100&gt;70,AP171,ROUNDDOWN(AH170^4/SUM(AH172^4/AP172,AH173^4/AP173,AH174^4/AP174),0))</f>
        <v>#N/A</v>
      </c>
      <c r="AQ170" s="793"/>
      <c r="AR170" s="793"/>
      <c r="AS170" s="794"/>
      <c r="AT170" s="251"/>
    </row>
    <row r="171" spans="1:92" ht="18" customHeight="1">
      <c r="A171" s="387"/>
      <c r="B171" s="823" t="s">
        <v>142</v>
      </c>
      <c r="C171" s="824"/>
      <c r="D171" s="843" t="s">
        <v>452</v>
      </c>
      <c r="E171" s="844"/>
      <c r="F171" s="844"/>
      <c r="G171" s="844"/>
      <c r="H171" s="845"/>
      <c r="I171" s="698">
        <v>0</v>
      </c>
      <c r="J171" s="699"/>
      <c r="K171" s="699"/>
      <c r="L171" s="699"/>
      <c r="M171" s="699"/>
      <c r="N171" s="699"/>
      <c r="O171" s="700"/>
      <c r="P171" s="814" t="e">
        <f ca="1">N6/2*AJ59</f>
        <v>#N/A</v>
      </c>
      <c r="Q171" s="815"/>
      <c r="R171" s="815"/>
      <c r="S171" s="815"/>
      <c r="T171" s="815"/>
      <c r="U171" s="815"/>
      <c r="V171" s="816">
        <f>U170</f>
        <v>0</v>
      </c>
      <c r="W171" s="817"/>
      <c r="X171" s="840" t="s">
        <v>451</v>
      </c>
      <c r="Y171" s="841"/>
      <c r="Z171" s="841"/>
      <c r="AA171" s="841"/>
      <c r="AB171" s="842"/>
      <c r="AC171" s="837">
        <v>1</v>
      </c>
      <c r="AD171" s="838"/>
      <c r="AE171" s="838"/>
      <c r="AF171" s="838"/>
      <c r="AG171" s="839"/>
      <c r="AH171" s="814" t="e">
        <f t="shared" ca="1" si="17"/>
        <v>#N/A</v>
      </c>
      <c r="AI171" s="815"/>
      <c r="AJ171" s="815"/>
      <c r="AK171" s="815"/>
      <c r="AL171" s="815"/>
      <c r="AM171" s="815"/>
      <c r="AN171" s="816">
        <f>V171</f>
        <v>0</v>
      </c>
      <c r="AO171" s="817"/>
      <c r="AP171" s="840" t="s">
        <v>141</v>
      </c>
      <c r="AQ171" s="841"/>
      <c r="AR171" s="841"/>
      <c r="AS171" s="842"/>
      <c r="AT171" s="251"/>
    </row>
    <row r="172" spans="1:92" ht="18" customHeight="1">
      <c r="A172" s="387"/>
      <c r="B172" s="823" t="s">
        <v>143</v>
      </c>
      <c r="C172" s="824"/>
      <c r="D172" s="843" t="s">
        <v>453</v>
      </c>
      <c r="E172" s="844"/>
      <c r="F172" s="844"/>
      <c r="G172" s="844"/>
      <c r="H172" s="845"/>
      <c r="I172" s="698">
        <v>0</v>
      </c>
      <c r="J172" s="699"/>
      <c r="K172" s="699"/>
      <c r="L172" s="699"/>
      <c r="M172" s="699"/>
      <c r="N172" s="699"/>
      <c r="O172" s="700"/>
      <c r="P172" s="814" t="e">
        <f ca="1">B8/2/SQRT(3)</f>
        <v>#VALUE!</v>
      </c>
      <c r="Q172" s="815"/>
      <c r="R172" s="815"/>
      <c r="S172" s="815"/>
      <c r="T172" s="815"/>
      <c r="U172" s="815"/>
      <c r="V172" s="816">
        <f>V171</f>
        <v>0</v>
      </c>
      <c r="W172" s="817"/>
      <c r="X172" s="840" t="s">
        <v>454</v>
      </c>
      <c r="Y172" s="841"/>
      <c r="Z172" s="841"/>
      <c r="AA172" s="841"/>
      <c r="AB172" s="842"/>
      <c r="AC172" s="837">
        <v>1</v>
      </c>
      <c r="AD172" s="838"/>
      <c r="AE172" s="838"/>
      <c r="AF172" s="838"/>
      <c r="AG172" s="839"/>
      <c r="AH172" s="814" t="e">
        <f t="shared" ca="1" si="17"/>
        <v>#VALUE!</v>
      </c>
      <c r="AI172" s="815"/>
      <c r="AJ172" s="815"/>
      <c r="AK172" s="815"/>
      <c r="AL172" s="815"/>
      <c r="AM172" s="815"/>
      <c r="AN172" s="816">
        <f>V172</f>
        <v>0</v>
      </c>
      <c r="AO172" s="817"/>
      <c r="AP172" s="840">
        <f>1/2*(100/20)^2</f>
        <v>12.5</v>
      </c>
      <c r="AQ172" s="841"/>
      <c r="AR172" s="841"/>
      <c r="AS172" s="842"/>
      <c r="AT172" s="251"/>
    </row>
    <row r="173" spans="1:92" ht="18" customHeight="1">
      <c r="A173" s="387"/>
      <c r="B173" s="823" t="s">
        <v>455</v>
      </c>
      <c r="C173" s="824"/>
      <c r="D173" s="843" t="s">
        <v>456</v>
      </c>
      <c r="E173" s="844"/>
      <c r="F173" s="844"/>
      <c r="G173" s="844"/>
      <c r="H173" s="845"/>
      <c r="I173" s="698">
        <v>0</v>
      </c>
      <c r="J173" s="699"/>
      <c r="K173" s="699"/>
      <c r="L173" s="699"/>
      <c r="M173" s="699"/>
      <c r="N173" s="699"/>
      <c r="O173" s="700"/>
      <c r="P173" s="814" t="e">
        <f ca="1">MAX(AM162:AS163)/2/SQRT(3)</f>
        <v>#N/A</v>
      </c>
      <c r="Q173" s="815"/>
      <c r="R173" s="815"/>
      <c r="S173" s="815"/>
      <c r="T173" s="815"/>
      <c r="U173" s="815"/>
      <c r="V173" s="816">
        <f>V172</f>
        <v>0</v>
      </c>
      <c r="W173" s="817"/>
      <c r="X173" s="840" t="s">
        <v>457</v>
      </c>
      <c r="Y173" s="841"/>
      <c r="Z173" s="841"/>
      <c r="AA173" s="841"/>
      <c r="AB173" s="842"/>
      <c r="AC173" s="837">
        <v>1</v>
      </c>
      <c r="AD173" s="838"/>
      <c r="AE173" s="838"/>
      <c r="AF173" s="838"/>
      <c r="AG173" s="839"/>
      <c r="AH173" s="814" t="e">
        <f t="shared" ca="1" si="17"/>
        <v>#N/A</v>
      </c>
      <c r="AI173" s="815"/>
      <c r="AJ173" s="815"/>
      <c r="AK173" s="815"/>
      <c r="AL173" s="815"/>
      <c r="AM173" s="815"/>
      <c r="AN173" s="816">
        <f>V173</f>
        <v>0</v>
      </c>
      <c r="AO173" s="817"/>
      <c r="AP173" s="840">
        <f>1/2*(100/20)^2</f>
        <v>12.5</v>
      </c>
      <c r="AQ173" s="841"/>
      <c r="AR173" s="841"/>
      <c r="AS173" s="842"/>
      <c r="AT173" s="251"/>
    </row>
    <row r="174" spans="1:92" ht="18" customHeight="1">
      <c r="A174" s="387"/>
      <c r="B174" s="823" t="s">
        <v>458</v>
      </c>
      <c r="C174" s="824"/>
      <c r="D174" s="843" t="s">
        <v>459</v>
      </c>
      <c r="E174" s="844"/>
      <c r="F174" s="844"/>
      <c r="G174" s="844"/>
      <c r="H174" s="845"/>
      <c r="I174" s="698">
        <v>0</v>
      </c>
      <c r="J174" s="699"/>
      <c r="K174" s="699"/>
      <c r="L174" s="699"/>
      <c r="M174" s="699"/>
      <c r="N174" s="699"/>
      <c r="O174" s="700"/>
      <c r="P174" s="814" t="e">
        <f ca="1">ABS(H8/2/SQRT(3))</f>
        <v>#N/A</v>
      </c>
      <c r="Q174" s="815"/>
      <c r="R174" s="815"/>
      <c r="S174" s="815"/>
      <c r="T174" s="815"/>
      <c r="U174" s="815"/>
      <c r="V174" s="816">
        <f>V173</f>
        <v>0</v>
      </c>
      <c r="W174" s="817"/>
      <c r="X174" s="840" t="s">
        <v>457</v>
      </c>
      <c r="Y174" s="841"/>
      <c r="Z174" s="841"/>
      <c r="AA174" s="841"/>
      <c r="AB174" s="842"/>
      <c r="AC174" s="837">
        <v>1</v>
      </c>
      <c r="AD174" s="838"/>
      <c r="AE174" s="838"/>
      <c r="AF174" s="838"/>
      <c r="AG174" s="839"/>
      <c r="AH174" s="814" t="e">
        <f ca="1">ABS(P174*AC174)</f>
        <v>#N/A</v>
      </c>
      <c r="AI174" s="815"/>
      <c r="AJ174" s="815"/>
      <c r="AK174" s="815"/>
      <c r="AL174" s="815"/>
      <c r="AM174" s="815"/>
      <c r="AN174" s="816">
        <f>V174</f>
        <v>0</v>
      </c>
      <c r="AO174" s="817"/>
      <c r="AP174" s="840">
        <f>1/2*(100/20)^2</f>
        <v>12.5</v>
      </c>
      <c r="AQ174" s="841"/>
      <c r="AR174" s="841"/>
      <c r="AS174" s="842"/>
      <c r="AT174" s="251"/>
    </row>
    <row r="175" spans="1:92" ht="18" customHeight="1">
      <c r="A175" s="387"/>
      <c r="B175" s="823" t="s">
        <v>460</v>
      </c>
      <c r="C175" s="824"/>
      <c r="D175" s="818" t="s">
        <v>461</v>
      </c>
      <c r="E175" s="819"/>
      <c r="F175" s="819"/>
      <c r="G175" s="819"/>
      <c r="H175" s="820"/>
      <c r="I175" s="825" t="e">
        <f ca="1">AN155</f>
        <v>#N/A</v>
      </c>
      <c r="J175" s="826"/>
      <c r="K175" s="826"/>
      <c r="L175" s="826"/>
      <c r="M175" s="816">
        <f>AN154</f>
        <v>0</v>
      </c>
      <c r="N175" s="669"/>
      <c r="O175" s="670"/>
      <c r="P175" s="849" t="s">
        <v>462</v>
      </c>
      <c r="Q175" s="850"/>
      <c r="R175" s="850"/>
      <c r="S175" s="850"/>
      <c r="T175" s="850"/>
      <c r="U175" s="850"/>
      <c r="V175" s="850"/>
      <c r="W175" s="851"/>
      <c r="X175" s="802" t="s">
        <v>463</v>
      </c>
      <c r="Y175" s="807"/>
      <c r="Z175" s="807"/>
      <c r="AA175" s="807"/>
      <c r="AB175" s="806"/>
      <c r="AC175" s="706" t="s">
        <v>462</v>
      </c>
      <c r="AD175" s="707"/>
      <c r="AE175" s="707"/>
      <c r="AF175" s="707"/>
      <c r="AG175" s="708"/>
      <c r="AH175" s="814" t="e">
        <f ca="1">SQRT(SUMSQ(AH169,AH170))</f>
        <v>#N/A</v>
      </c>
      <c r="AI175" s="815"/>
      <c r="AJ175" s="815"/>
      <c r="AK175" s="815"/>
      <c r="AL175" s="815"/>
      <c r="AM175" s="816">
        <f>M175</f>
        <v>0</v>
      </c>
      <c r="AN175" s="816"/>
      <c r="AO175" s="817"/>
      <c r="AP175" s="802" t="s">
        <v>464</v>
      </c>
      <c r="AQ175" s="807"/>
      <c r="AR175" s="807"/>
      <c r="AS175" s="806"/>
      <c r="AT175" s="251"/>
      <c r="BD175" s="96"/>
      <c r="BE175" s="96"/>
      <c r="BF175" s="96"/>
      <c r="BG175" s="96"/>
      <c r="BH175" s="97"/>
      <c r="BI175" s="98"/>
      <c r="BJ175" s="98"/>
      <c r="BK175" s="99"/>
      <c r="BL175" s="99"/>
      <c r="BM175" s="99"/>
      <c r="BN175" s="99"/>
      <c r="BO175" s="99"/>
      <c r="BP175" s="99"/>
      <c r="BQ175" s="99"/>
      <c r="BR175" s="99"/>
      <c r="BS175" s="100"/>
      <c r="BT175" s="254"/>
      <c r="BU175" s="254"/>
      <c r="BV175" s="254"/>
      <c r="BW175" s="260"/>
      <c r="BX175" s="101"/>
      <c r="BY175" s="101"/>
      <c r="BZ175" s="101"/>
      <c r="CA175" s="101"/>
      <c r="CB175" s="101"/>
      <c r="CC175" s="130"/>
      <c r="CD175" s="130"/>
      <c r="CE175" s="130"/>
      <c r="CF175" s="130"/>
      <c r="CG175" s="130"/>
      <c r="CH175" s="97"/>
      <c r="CI175" s="98"/>
      <c r="CJ175" s="98"/>
      <c r="CK175" s="100"/>
      <c r="CL175" s="254"/>
      <c r="CM175" s="254"/>
      <c r="CN175" s="260"/>
    </row>
    <row r="176" spans="1:92" s="251" customFormat="1" ht="18" customHeight="1">
      <c r="A176" s="387"/>
    </row>
    <row r="177" spans="1:46" s="117" customFormat="1" ht="18" customHeight="1">
      <c r="A177" s="102" t="s">
        <v>510</v>
      </c>
      <c r="B177" s="259"/>
      <c r="C177" s="259"/>
      <c r="D177" s="259"/>
      <c r="E177" s="259"/>
      <c r="F177" s="259"/>
      <c r="G177" s="259"/>
      <c r="H177" s="259"/>
      <c r="I177" s="259"/>
      <c r="J177" s="259"/>
      <c r="K177" s="259"/>
      <c r="L177" s="259"/>
      <c r="M177" s="259"/>
      <c r="N177" s="259"/>
      <c r="O177" s="259"/>
      <c r="P177" s="259"/>
      <c r="Q177" s="259"/>
      <c r="R177" s="259"/>
      <c r="S177" s="259"/>
      <c r="T177" s="259"/>
      <c r="U177" s="116"/>
      <c r="V177" s="98"/>
      <c r="W177" s="98"/>
      <c r="X177" s="98"/>
      <c r="Y177" s="98"/>
      <c r="Z177" s="98"/>
      <c r="AA177" s="98"/>
      <c r="AB177" s="98"/>
      <c r="AC177" s="98"/>
      <c r="AD177" s="98"/>
      <c r="AE177" s="98"/>
      <c r="AK177" s="98"/>
      <c r="AL177" s="98"/>
      <c r="AM177" s="98"/>
      <c r="AN177" s="98"/>
      <c r="AO177" s="259"/>
      <c r="AP177" s="259"/>
      <c r="AQ177" s="259"/>
      <c r="AR177" s="259"/>
      <c r="AS177" s="259"/>
      <c r="AT177" s="259"/>
    </row>
    <row r="178" spans="1:46" s="117" customFormat="1" ht="18" customHeight="1">
      <c r="A178" s="259"/>
      <c r="B178" s="259"/>
      <c r="C178" s="259"/>
      <c r="D178" s="259"/>
      <c r="E178" s="259"/>
      <c r="F178" s="259"/>
      <c r="G178" s="259"/>
      <c r="H178" s="259"/>
      <c r="I178" s="259"/>
      <c r="J178" s="259"/>
      <c r="K178" s="259"/>
      <c r="L178" s="259"/>
      <c r="M178" s="259"/>
      <c r="N178" s="259"/>
      <c r="O178" s="259"/>
      <c r="P178" s="259"/>
      <c r="Q178" s="259"/>
      <c r="R178" s="259"/>
      <c r="S178" s="259"/>
      <c r="T178" s="259"/>
      <c r="U178" s="259"/>
      <c r="V178" s="259"/>
      <c r="W178" s="259"/>
      <c r="X178" s="259"/>
      <c r="Y178" s="259"/>
      <c r="Z178" s="259"/>
      <c r="AA178" s="259"/>
      <c r="AB178" s="259"/>
      <c r="AC178" s="259"/>
      <c r="AD178" s="259"/>
      <c r="AE178" s="98"/>
      <c r="AF178" s="259"/>
      <c r="AG178" s="259"/>
      <c r="AH178" s="259"/>
      <c r="AI178" s="259"/>
      <c r="AJ178" s="259"/>
      <c r="AK178" s="259"/>
      <c r="AL178" s="259"/>
      <c r="AM178" s="259"/>
      <c r="AN178" s="259"/>
      <c r="AO178" s="259"/>
      <c r="AP178" s="259"/>
      <c r="AQ178" s="259"/>
      <c r="AR178" s="259"/>
    </row>
    <row r="179" spans="1:46" s="117" customFormat="1" ht="18" customHeight="1">
      <c r="A179" s="98"/>
      <c r="B179" s="98"/>
      <c r="C179" s="259" t="s">
        <v>67</v>
      </c>
      <c r="D179" s="98"/>
      <c r="E179" s="870" t="e">
        <f ca="1">AH169</f>
        <v>#N/A</v>
      </c>
      <c r="F179" s="870"/>
      <c r="G179" s="870"/>
      <c r="H179" s="870"/>
      <c r="I179" s="870"/>
      <c r="J179" s="130"/>
      <c r="K179" s="865" t="s">
        <v>511</v>
      </c>
      <c r="L179" s="865"/>
      <c r="M179" s="870" t="e">
        <f ca="1">AH170</f>
        <v>#N/A</v>
      </c>
      <c r="N179" s="870"/>
      <c r="O179" s="870"/>
      <c r="P179" s="870"/>
      <c r="Q179" s="870"/>
      <c r="R179" s="130"/>
      <c r="S179" s="98"/>
      <c r="T179" s="118"/>
      <c r="U179" s="118"/>
      <c r="V179" s="98"/>
      <c r="W179" s="119"/>
      <c r="X179" s="130"/>
      <c r="Y179" s="130"/>
      <c r="Z179" s="130"/>
      <c r="AA179" s="130"/>
      <c r="AB179" s="130"/>
      <c r="AC179" s="118"/>
      <c r="AD179" s="118"/>
      <c r="AE179" s="118"/>
      <c r="AF179" s="118"/>
      <c r="AG179" s="118"/>
      <c r="AH179" s="118"/>
      <c r="AI179" s="119"/>
      <c r="AJ179" s="118"/>
      <c r="AK179" s="118"/>
      <c r="AL179" s="118"/>
      <c r="AM179" s="118"/>
      <c r="AN179" s="118"/>
      <c r="AO179" s="118"/>
      <c r="AP179" s="118"/>
      <c r="AQ179" s="120"/>
      <c r="AR179" s="98"/>
    </row>
    <row r="180" spans="1:46" s="121" customFormat="1" ht="18" customHeight="1">
      <c r="A180" s="98"/>
      <c r="B180" s="98"/>
      <c r="C180" s="259" t="s">
        <v>506</v>
      </c>
      <c r="D180" s="98"/>
      <c r="E180" s="870" t="e">
        <f ca="1">SQRT(SUMSQ(E179,M179))</f>
        <v>#N/A</v>
      </c>
      <c r="F180" s="870"/>
      <c r="G180" s="870"/>
      <c r="H180" s="870"/>
      <c r="I180" s="870"/>
      <c r="J180" s="130"/>
      <c r="K180" s="98"/>
      <c r="L180" s="259"/>
      <c r="M180" s="259"/>
      <c r="N180" s="259"/>
      <c r="O180" s="259"/>
      <c r="P180" s="259"/>
      <c r="Q180" s="259"/>
      <c r="R180" s="259"/>
      <c r="S180" s="259"/>
      <c r="T180" s="259"/>
      <c r="U180" s="259"/>
      <c r="V180" s="259"/>
      <c r="W180" s="98"/>
      <c r="X180" s="98"/>
      <c r="Y180" s="98"/>
      <c r="Z180" s="98"/>
      <c r="AA180" s="98"/>
      <c r="AB180" s="98"/>
      <c r="AC180" s="259"/>
      <c r="AD180" s="98"/>
      <c r="AE180" s="98"/>
      <c r="AF180" s="98"/>
      <c r="AG180" s="98"/>
      <c r="AH180" s="98"/>
      <c r="AI180" s="98"/>
      <c r="AJ180" s="98"/>
      <c r="AK180" s="98"/>
      <c r="AL180" s="98"/>
      <c r="AM180" s="98"/>
      <c r="AN180" s="98"/>
      <c r="AO180" s="98"/>
      <c r="AP180" s="98"/>
      <c r="AQ180" s="98"/>
      <c r="AR180" s="98"/>
    </row>
    <row r="181" spans="1:46" s="98" customFormat="1" ht="18" customHeight="1">
      <c r="C181" s="259"/>
      <c r="D181" s="122"/>
      <c r="E181" s="122"/>
      <c r="F181" s="122"/>
      <c r="G181" s="122"/>
    </row>
    <row r="182" spans="1:46" s="98" customFormat="1" ht="18" customHeight="1">
      <c r="B182" s="123" t="s">
        <v>461</v>
      </c>
      <c r="C182" s="392" t="s">
        <v>698</v>
      </c>
      <c r="D182" s="871" t="e">
        <f ca="1">E180</f>
        <v>#N/A</v>
      </c>
      <c r="E182" s="871"/>
      <c r="F182" s="871"/>
      <c r="G182" s="871"/>
      <c r="H182" s="852">
        <f>AM175</f>
        <v>0</v>
      </c>
      <c r="I182" s="852"/>
      <c r="J182" s="258"/>
      <c r="K182" s="258"/>
      <c r="N182" s="252"/>
      <c r="O182" s="221"/>
      <c r="P182" s="251"/>
      <c r="Q182" s="251"/>
      <c r="R182" s="251"/>
      <c r="S182" s="251"/>
      <c r="T182" s="251"/>
      <c r="AL182" s="124"/>
      <c r="AM182" s="124"/>
      <c r="AN182" s="124"/>
      <c r="AO182" s="124"/>
      <c r="AP182" s="124"/>
      <c r="AQ182" s="124"/>
    </row>
    <row r="183" spans="1:46" s="98" customFormat="1" ht="18" customHeight="1">
      <c r="E183" s="123"/>
      <c r="F183" s="125"/>
      <c r="G183" s="125"/>
      <c r="H183" s="125"/>
      <c r="I183" s="125"/>
      <c r="J183" s="125"/>
      <c r="K183" s="125"/>
      <c r="L183" s="125"/>
      <c r="M183" s="125"/>
      <c r="AN183" s="124"/>
      <c r="AO183" s="124"/>
      <c r="AP183" s="124"/>
      <c r="AQ183" s="124"/>
      <c r="AR183" s="124"/>
      <c r="AS183" s="124"/>
    </row>
    <row r="184" spans="1:46" ht="18" customHeight="1">
      <c r="A184" s="131" t="s">
        <v>592</v>
      </c>
      <c r="B184" s="251"/>
      <c r="C184" s="251"/>
      <c r="D184" s="251"/>
      <c r="E184" s="251"/>
      <c r="F184" s="251"/>
      <c r="G184" s="251"/>
      <c r="H184" s="251"/>
      <c r="I184" s="251"/>
      <c r="J184" s="251"/>
      <c r="K184" s="251"/>
      <c r="L184" s="251"/>
      <c r="M184" s="251"/>
      <c r="N184" s="251"/>
      <c r="O184" s="251"/>
      <c r="P184" s="251"/>
      <c r="Q184" s="251"/>
      <c r="R184" s="251"/>
      <c r="S184" s="251"/>
      <c r="T184" s="251"/>
      <c r="U184" s="251"/>
      <c r="V184" s="251"/>
      <c r="W184" s="251"/>
      <c r="X184" s="251"/>
      <c r="Y184" s="251"/>
      <c r="Z184" s="251"/>
      <c r="AA184" s="251"/>
      <c r="AB184" s="251"/>
      <c r="AC184" s="251"/>
      <c r="AD184" s="251"/>
      <c r="AE184" s="251"/>
      <c r="AF184" s="251"/>
      <c r="AG184" s="251"/>
      <c r="AH184" s="251"/>
      <c r="AI184" s="251"/>
      <c r="AJ184" s="251"/>
      <c r="AK184" s="251"/>
      <c r="AL184" s="251"/>
      <c r="AM184" s="251"/>
      <c r="AN184" s="251"/>
      <c r="AO184" s="251"/>
      <c r="AP184" s="251"/>
      <c r="AQ184" s="251"/>
      <c r="AR184" s="251"/>
      <c r="AS184" s="251"/>
      <c r="AT184" s="251"/>
    </row>
    <row r="185" spans="1:46" ht="18" customHeight="1">
      <c r="A185" s="387"/>
      <c r="B185" s="878" t="s">
        <v>137</v>
      </c>
      <c r="C185" s="879"/>
      <c r="D185" s="665" t="s">
        <v>600</v>
      </c>
      <c r="E185" s="744"/>
      <c r="F185" s="744"/>
      <c r="G185" s="744"/>
      <c r="H185" s="744"/>
      <c r="I185" s="744"/>
      <c r="J185" s="744"/>
      <c r="K185" s="744"/>
      <c r="L185" s="744"/>
      <c r="M185" s="745"/>
      <c r="N185" s="880" t="s">
        <v>601</v>
      </c>
      <c r="O185" s="880"/>
      <c r="P185" s="880"/>
      <c r="Q185" s="880"/>
      <c r="R185" s="880"/>
      <c r="S185" s="880"/>
      <c r="T185" s="880"/>
      <c r="U185" s="880"/>
      <c r="V185" s="880"/>
      <c r="W185" s="880"/>
      <c r="X185" s="880"/>
      <c r="Y185" s="880"/>
      <c r="Z185" s="880"/>
      <c r="AA185" s="880"/>
      <c r="AB185" s="880"/>
      <c r="AC185" s="880"/>
      <c r="AD185" s="880"/>
      <c r="AE185" s="880"/>
      <c r="AF185" s="880"/>
      <c r="AG185" s="880"/>
      <c r="AH185" s="880"/>
      <c r="AI185" s="880"/>
      <c r="AJ185" s="880"/>
      <c r="AK185" s="880"/>
      <c r="AL185" s="880"/>
      <c r="AM185" s="880" t="s">
        <v>602</v>
      </c>
      <c r="AN185" s="880"/>
      <c r="AO185" s="880"/>
      <c r="AP185" s="880"/>
      <c r="AQ185" s="880"/>
      <c r="AR185" s="880"/>
      <c r="AS185" s="880"/>
    </row>
    <row r="186" spans="1:46" ht="18" customHeight="1">
      <c r="A186" s="387"/>
      <c r="B186" s="718"/>
      <c r="C186" s="742"/>
      <c r="D186" s="881" t="s">
        <v>603</v>
      </c>
      <c r="E186" s="882"/>
      <c r="F186" s="882"/>
      <c r="G186" s="882"/>
      <c r="H186" s="883"/>
      <c r="I186" s="878" t="s">
        <v>604</v>
      </c>
      <c r="J186" s="882"/>
      <c r="K186" s="882"/>
      <c r="L186" s="882"/>
      <c r="M186" s="883"/>
      <c r="N186" s="665" t="s">
        <v>595</v>
      </c>
      <c r="O186" s="744"/>
      <c r="P186" s="744"/>
      <c r="Q186" s="744"/>
      <c r="R186" s="744"/>
      <c r="S186" s="744"/>
      <c r="T186" s="744"/>
      <c r="U186" s="744"/>
      <c r="V186" s="744"/>
      <c r="W186" s="744"/>
      <c r="X186" s="744"/>
      <c r="Y186" s="744"/>
      <c r="Z186" s="744"/>
      <c r="AA186" s="744"/>
      <c r="AB186" s="744"/>
      <c r="AC186" s="744"/>
      <c r="AD186" s="744"/>
      <c r="AE186" s="744"/>
      <c r="AF186" s="744"/>
      <c r="AG186" s="745"/>
      <c r="AH186" s="872" t="s">
        <v>594</v>
      </c>
      <c r="AI186" s="873"/>
      <c r="AJ186" s="873"/>
      <c r="AK186" s="873"/>
      <c r="AL186" s="874"/>
      <c r="AM186" s="878" t="s">
        <v>593</v>
      </c>
      <c r="AN186" s="888"/>
      <c r="AO186" s="888"/>
      <c r="AP186" s="888"/>
      <c r="AQ186" s="879"/>
      <c r="AR186" s="872" t="s">
        <v>605</v>
      </c>
      <c r="AS186" s="874"/>
    </row>
    <row r="187" spans="1:46" ht="18" customHeight="1">
      <c r="A187" s="387"/>
      <c r="B187" s="718"/>
      <c r="C187" s="742"/>
      <c r="D187" s="800"/>
      <c r="E187" s="865"/>
      <c r="F187" s="865"/>
      <c r="G187" s="865"/>
      <c r="H187" s="801"/>
      <c r="I187" s="800"/>
      <c r="J187" s="865"/>
      <c r="K187" s="865"/>
      <c r="L187" s="865"/>
      <c r="M187" s="801"/>
      <c r="N187" s="872" t="s">
        <v>606</v>
      </c>
      <c r="O187" s="873"/>
      <c r="P187" s="873"/>
      <c r="Q187" s="873"/>
      <c r="R187" s="874"/>
      <c r="S187" s="872" t="s">
        <v>351</v>
      </c>
      <c r="T187" s="873"/>
      <c r="U187" s="873"/>
      <c r="V187" s="873"/>
      <c r="W187" s="874"/>
      <c r="X187" s="872" t="s">
        <v>607</v>
      </c>
      <c r="Y187" s="873"/>
      <c r="Z187" s="873"/>
      <c r="AA187" s="873"/>
      <c r="AB187" s="874"/>
      <c r="AC187" s="872" t="s">
        <v>70</v>
      </c>
      <c r="AD187" s="873"/>
      <c r="AE187" s="873"/>
      <c r="AF187" s="873"/>
      <c r="AG187" s="874"/>
      <c r="AH187" s="674"/>
      <c r="AI187" s="712"/>
      <c r="AJ187" s="712"/>
      <c r="AK187" s="712"/>
      <c r="AL187" s="887"/>
      <c r="AM187" s="718"/>
      <c r="AN187" s="719"/>
      <c r="AO187" s="719"/>
      <c r="AP187" s="719"/>
      <c r="AQ187" s="742"/>
      <c r="AR187" s="674"/>
      <c r="AS187" s="887"/>
    </row>
    <row r="188" spans="1:46" ht="18" customHeight="1">
      <c r="A188" s="387"/>
      <c r="B188" s="718"/>
      <c r="C188" s="742"/>
      <c r="D188" s="884"/>
      <c r="E188" s="885"/>
      <c r="F188" s="885"/>
      <c r="G188" s="885"/>
      <c r="H188" s="886"/>
      <c r="I188" s="884"/>
      <c r="J188" s="885"/>
      <c r="K188" s="885"/>
      <c r="L188" s="885"/>
      <c r="M188" s="886"/>
      <c r="N188" s="875"/>
      <c r="O188" s="876"/>
      <c r="P188" s="876"/>
      <c r="Q188" s="876"/>
      <c r="R188" s="877"/>
      <c r="S188" s="875"/>
      <c r="T188" s="876"/>
      <c r="U188" s="876"/>
      <c r="V188" s="876"/>
      <c r="W188" s="877"/>
      <c r="X188" s="875"/>
      <c r="Y188" s="876"/>
      <c r="Z188" s="876"/>
      <c r="AA188" s="876"/>
      <c r="AB188" s="877"/>
      <c r="AC188" s="875"/>
      <c r="AD188" s="876"/>
      <c r="AE188" s="876"/>
      <c r="AF188" s="876"/>
      <c r="AG188" s="877"/>
      <c r="AH188" s="875"/>
      <c r="AI188" s="876"/>
      <c r="AJ188" s="876"/>
      <c r="AK188" s="876"/>
      <c r="AL188" s="877"/>
      <c r="AM188" s="720"/>
      <c r="AN188" s="721"/>
      <c r="AO188" s="721"/>
      <c r="AP188" s="721"/>
      <c r="AQ188" s="743"/>
      <c r="AR188" s="875"/>
      <c r="AS188" s="877"/>
    </row>
    <row r="189" spans="1:46" ht="18" customHeight="1">
      <c r="A189" s="387"/>
      <c r="B189" s="720"/>
      <c r="C189" s="743"/>
      <c r="D189" s="668">
        <f>E119</f>
        <v>0</v>
      </c>
      <c r="E189" s="671"/>
      <c r="F189" s="671"/>
      <c r="G189" s="671"/>
      <c r="H189" s="672"/>
      <c r="I189" s="698">
        <f>D189</f>
        <v>0</v>
      </c>
      <c r="J189" s="699"/>
      <c r="K189" s="699"/>
      <c r="L189" s="699"/>
      <c r="M189" s="700"/>
      <c r="N189" s="698">
        <f t="shared" ref="N189" si="18">I189</f>
        <v>0</v>
      </c>
      <c r="O189" s="699"/>
      <c r="P189" s="699"/>
      <c r="Q189" s="699"/>
      <c r="R189" s="700"/>
      <c r="S189" s="698">
        <f t="shared" ref="S189" si="19">N189</f>
        <v>0</v>
      </c>
      <c r="T189" s="699"/>
      <c r="U189" s="699"/>
      <c r="V189" s="699"/>
      <c r="W189" s="700"/>
      <c r="X189" s="698">
        <f t="shared" ref="X189" si="20">S189</f>
        <v>0</v>
      </c>
      <c r="Y189" s="699"/>
      <c r="Z189" s="699"/>
      <c r="AA189" s="699"/>
      <c r="AB189" s="700"/>
      <c r="AC189" s="698">
        <f t="shared" ref="AC189" si="21">X189</f>
        <v>0</v>
      </c>
      <c r="AD189" s="699"/>
      <c r="AE189" s="699"/>
      <c r="AF189" s="699"/>
      <c r="AG189" s="700"/>
      <c r="AH189" s="698">
        <f t="shared" ref="AH189" si="22">AC189</f>
        <v>0</v>
      </c>
      <c r="AI189" s="699"/>
      <c r="AJ189" s="699"/>
      <c r="AK189" s="699"/>
      <c r="AL189" s="700"/>
      <c r="AM189" s="698">
        <f t="shared" ref="AM189" si="23">AH189</f>
        <v>0</v>
      </c>
      <c r="AN189" s="699"/>
      <c r="AO189" s="699"/>
      <c r="AP189" s="699"/>
      <c r="AQ189" s="700"/>
      <c r="AR189" s="698" t="s">
        <v>608</v>
      </c>
      <c r="AS189" s="700"/>
    </row>
    <row r="190" spans="1:46" ht="18" customHeight="1">
      <c r="A190" s="387"/>
      <c r="B190" s="665">
        <v>1</v>
      </c>
      <c r="C190" s="745"/>
      <c r="D190" s="776" t="str">
        <f>Calcu!D45</f>
        <v/>
      </c>
      <c r="E190" s="777"/>
      <c r="F190" s="777"/>
      <c r="G190" s="777"/>
      <c r="H190" s="778"/>
      <c r="I190" s="776" t="e">
        <f ca="1">Calcu!M45</f>
        <v>#VALUE!</v>
      </c>
      <c r="J190" s="777"/>
      <c r="K190" s="777"/>
      <c r="L190" s="777"/>
      <c r="M190" s="778"/>
      <c r="N190" s="776" t="str">
        <f>Calcu!N45</f>
        <v/>
      </c>
      <c r="O190" s="777"/>
      <c r="P190" s="777"/>
      <c r="Q190" s="777"/>
      <c r="R190" s="778"/>
      <c r="S190" s="776" t="str">
        <f>Calcu!O45</f>
        <v/>
      </c>
      <c r="T190" s="777"/>
      <c r="U190" s="777"/>
      <c r="V190" s="777"/>
      <c r="W190" s="778"/>
      <c r="X190" s="776" t="str">
        <f>Calcu!P45</f>
        <v/>
      </c>
      <c r="Y190" s="777"/>
      <c r="Z190" s="777"/>
      <c r="AA190" s="777"/>
      <c r="AB190" s="778"/>
      <c r="AC190" s="776" t="str">
        <f>Calcu!Q45</f>
        <v/>
      </c>
      <c r="AD190" s="777"/>
      <c r="AE190" s="777"/>
      <c r="AF190" s="777"/>
      <c r="AG190" s="778"/>
      <c r="AH190" s="776" t="str">
        <f>Calcu!R45</f>
        <v/>
      </c>
      <c r="AI190" s="777"/>
      <c r="AJ190" s="777"/>
      <c r="AK190" s="777"/>
      <c r="AL190" s="778"/>
      <c r="AM190" s="776" t="str">
        <f>Calcu!S45</f>
        <v/>
      </c>
      <c r="AN190" s="777"/>
      <c r="AO190" s="777"/>
      <c r="AP190" s="777"/>
      <c r="AQ190" s="778"/>
      <c r="AR190" s="698" t="str">
        <f>IF(AM190="","",IF(N190/AH190*100&gt;70,"∞",AM190^4/SUM(S190^4/12.5,X190^4/12.5,AC190^4/12.5)))</f>
        <v/>
      </c>
      <c r="AS190" s="700"/>
    </row>
    <row r="191" spans="1:46" ht="18" customHeight="1">
      <c r="A191" s="387"/>
      <c r="B191" s="665">
        <v>2</v>
      </c>
      <c r="C191" s="745"/>
      <c r="D191" s="776" t="str">
        <f>Calcu!D46</f>
        <v/>
      </c>
      <c r="E191" s="777"/>
      <c r="F191" s="777"/>
      <c r="G191" s="777"/>
      <c r="H191" s="778"/>
      <c r="I191" s="776" t="e">
        <f ca="1">Calcu!M46</f>
        <v>#VALUE!</v>
      </c>
      <c r="J191" s="777"/>
      <c r="K191" s="777"/>
      <c r="L191" s="777"/>
      <c r="M191" s="778"/>
      <c r="N191" s="776" t="str">
        <f>Calcu!N46</f>
        <v/>
      </c>
      <c r="O191" s="777"/>
      <c r="P191" s="777"/>
      <c r="Q191" s="777"/>
      <c r="R191" s="778"/>
      <c r="S191" s="776" t="str">
        <f>Calcu!O46</f>
        <v/>
      </c>
      <c r="T191" s="777"/>
      <c r="U191" s="777"/>
      <c r="V191" s="777"/>
      <c r="W191" s="778"/>
      <c r="X191" s="776" t="str">
        <f>Calcu!P46</f>
        <v/>
      </c>
      <c r="Y191" s="777"/>
      <c r="Z191" s="777"/>
      <c r="AA191" s="777"/>
      <c r="AB191" s="778"/>
      <c r="AC191" s="776" t="str">
        <f>Calcu!Q46</f>
        <v/>
      </c>
      <c r="AD191" s="777"/>
      <c r="AE191" s="777"/>
      <c r="AF191" s="777"/>
      <c r="AG191" s="778"/>
      <c r="AH191" s="776" t="str">
        <f>Calcu!R46</f>
        <v/>
      </c>
      <c r="AI191" s="777"/>
      <c r="AJ191" s="777"/>
      <c r="AK191" s="777"/>
      <c r="AL191" s="778"/>
      <c r="AM191" s="776" t="str">
        <f>Calcu!S46</f>
        <v/>
      </c>
      <c r="AN191" s="777"/>
      <c r="AO191" s="777"/>
      <c r="AP191" s="777"/>
      <c r="AQ191" s="778"/>
      <c r="AR191" s="698" t="str">
        <f t="shared" ref="AR191:AR204" si="24">IF(AM191="","",IF(N191/AH191*100&gt;70,"∞",AM191^4/SUM(S191^4/12.5,X191^4/12.5,AC191^4/12.5)))</f>
        <v/>
      </c>
      <c r="AS191" s="700"/>
    </row>
    <row r="192" spans="1:46" ht="18" customHeight="1">
      <c r="A192" s="387"/>
      <c r="B192" s="665">
        <v>3</v>
      </c>
      <c r="C192" s="745"/>
      <c r="D192" s="776" t="str">
        <f>Calcu!D47</f>
        <v/>
      </c>
      <c r="E192" s="777"/>
      <c r="F192" s="777"/>
      <c r="G192" s="777"/>
      <c r="H192" s="778"/>
      <c r="I192" s="776" t="e">
        <f ca="1">Calcu!M47</f>
        <v>#VALUE!</v>
      </c>
      <c r="J192" s="777"/>
      <c r="K192" s="777"/>
      <c r="L192" s="777"/>
      <c r="M192" s="778"/>
      <c r="N192" s="776" t="str">
        <f>Calcu!N47</f>
        <v/>
      </c>
      <c r="O192" s="777"/>
      <c r="P192" s="777"/>
      <c r="Q192" s="777"/>
      <c r="R192" s="778"/>
      <c r="S192" s="776" t="str">
        <f>Calcu!O47</f>
        <v/>
      </c>
      <c r="T192" s="777"/>
      <c r="U192" s="777"/>
      <c r="V192" s="777"/>
      <c r="W192" s="778"/>
      <c r="X192" s="776" t="str">
        <f>Calcu!P47</f>
        <v/>
      </c>
      <c r="Y192" s="777"/>
      <c r="Z192" s="777"/>
      <c r="AA192" s="777"/>
      <c r="AB192" s="778"/>
      <c r="AC192" s="776" t="str">
        <f>Calcu!Q47</f>
        <v/>
      </c>
      <c r="AD192" s="777"/>
      <c r="AE192" s="777"/>
      <c r="AF192" s="777"/>
      <c r="AG192" s="778"/>
      <c r="AH192" s="776" t="str">
        <f>Calcu!R47</f>
        <v/>
      </c>
      <c r="AI192" s="777"/>
      <c r="AJ192" s="777"/>
      <c r="AK192" s="777"/>
      <c r="AL192" s="778"/>
      <c r="AM192" s="776" t="str">
        <f>Calcu!S47</f>
        <v/>
      </c>
      <c r="AN192" s="777"/>
      <c r="AO192" s="777"/>
      <c r="AP192" s="777"/>
      <c r="AQ192" s="778"/>
      <c r="AR192" s="698" t="str">
        <f t="shared" si="24"/>
        <v/>
      </c>
      <c r="AS192" s="700"/>
    </row>
    <row r="193" spans="1:48" ht="18" customHeight="1">
      <c r="A193" s="387"/>
      <c r="B193" s="665">
        <v>4</v>
      </c>
      <c r="C193" s="745"/>
      <c r="D193" s="776" t="str">
        <f>Calcu!D48</f>
        <v/>
      </c>
      <c r="E193" s="777"/>
      <c r="F193" s="777"/>
      <c r="G193" s="777"/>
      <c r="H193" s="778"/>
      <c r="I193" s="776" t="e">
        <f ca="1">Calcu!M48</f>
        <v>#VALUE!</v>
      </c>
      <c r="J193" s="777"/>
      <c r="K193" s="777"/>
      <c r="L193" s="777"/>
      <c r="M193" s="778"/>
      <c r="N193" s="776" t="str">
        <f>Calcu!N48</f>
        <v/>
      </c>
      <c r="O193" s="777"/>
      <c r="P193" s="777"/>
      <c r="Q193" s="777"/>
      <c r="R193" s="778"/>
      <c r="S193" s="776" t="str">
        <f>Calcu!O48</f>
        <v/>
      </c>
      <c r="T193" s="777"/>
      <c r="U193" s="777"/>
      <c r="V193" s="777"/>
      <c r="W193" s="778"/>
      <c r="X193" s="776" t="str">
        <f>Calcu!P48</f>
        <v/>
      </c>
      <c r="Y193" s="777"/>
      <c r="Z193" s="777"/>
      <c r="AA193" s="777"/>
      <c r="AB193" s="778"/>
      <c r="AC193" s="776" t="str">
        <f>Calcu!Q48</f>
        <v/>
      </c>
      <c r="AD193" s="777"/>
      <c r="AE193" s="777"/>
      <c r="AF193" s="777"/>
      <c r="AG193" s="778"/>
      <c r="AH193" s="776" t="str">
        <f>Calcu!R48</f>
        <v/>
      </c>
      <c r="AI193" s="777"/>
      <c r="AJ193" s="777"/>
      <c r="AK193" s="777"/>
      <c r="AL193" s="778"/>
      <c r="AM193" s="776" t="str">
        <f>Calcu!S48</f>
        <v/>
      </c>
      <c r="AN193" s="777"/>
      <c r="AO193" s="777"/>
      <c r="AP193" s="777"/>
      <c r="AQ193" s="778"/>
      <c r="AR193" s="698" t="str">
        <f t="shared" si="24"/>
        <v/>
      </c>
      <c r="AS193" s="700"/>
    </row>
    <row r="194" spans="1:48" ht="18" customHeight="1">
      <c r="A194" s="387"/>
      <c r="B194" s="665">
        <v>5</v>
      </c>
      <c r="C194" s="745"/>
      <c r="D194" s="776" t="str">
        <f>Calcu!D49</f>
        <v/>
      </c>
      <c r="E194" s="777"/>
      <c r="F194" s="777"/>
      <c r="G194" s="777"/>
      <c r="H194" s="778"/>
      <c r="I194" s="776" t="e">
        <f ca="1">Calcu!M49</f>
        <v>#VALUE!</v>
      </c>
      <c r="J194" s="777"/>
      <c r="K194" s="777"/>
      <c r="L194" s="777"/>
      <c r="M194" s="778"/>
      <c r="N194" s="776" t="str">
        <f>Calcu!N49</f>
        <v/>
      </c>
      <c r="O194" s="777"/>
      <c r="P194" s="777"/>
      <c r="Q194" s="777"/>
      <c r="R194" s="778"/>
      <c r="S194" s="776" t="str">
        <f>Calcu!O49</f>
        <v/>
      </c>
      <c r="T194" s="777"/>
      <c r="U194" s="777"/>
      <c r="V194" s="777"/>
      <c r="W194" s="778"/>
      <c r="X194" s="776" t="str">
        <f>Calcu!P49</f>
        <v/>
      </c>
      <c r="Y194" s="777"/>
      <c r="Z194" s="777"/>
      <c r="AA194" s="777"/>
      <c r="AB194" s="778"/>
      <c r="AC194" s="776" t="str">
        <f>Calcu!Q49</f>
        <v/>
      </c>
      <c r="AD194" s="777"/>
      <c r="AE194" s="777"/>
      <c r="AF194" s="777"/>
      <c r="AG194" s="778"/>
      <c r="AH194" s="776" t="str">
        <f>Calcu!R49</f>
        <v/>
      </c>
      <c r="AI194" s="777"/>
      <c r="AJ194" s="777"/>
      <c r="AK194" s="777"/>
      <c r="AL194" s="778"/>
      <c r="AM194" s="776" t="str">
        <f>Calcu!S49</f>
        <v/>
      </c>
      <c r="AN194" s="777"/>
      <c r="AO194" s="777"/>
      <c r="AP194" s="777"/>
      <c r="AQ194" s="778"/>
      <c r="AR194" s="698" t="str">
        <f t="shared" si="24"/>
        <v/>
      </c>
      <c r="AS194" s="700"/>
    </row>
    <row r="195" spans="1:48" ht="18" customHeight="1">
      <c r="A195" s="387"/>
      <c r="B195" s="665">
        <v>6</v>
      </c>
      <c r="C195" s="745"/>
      <c r="D195" s="776" t="str">
        <f>Calcu!D50</f>
        <v/>
      </c>
      <c r="E195" s="777"/>
      <c r="F195" s="777"/>
      <c r="G195" s="777"/>
      <c r="H195" s="778"/>
      <c r="I195" s="776" t="e">
        <f ca="1">Calcu!M50</f>
        <v>#VALUE!</v>
      </c>
      <c r="J195" s="777"/>
      <c r="K195" s="777"/>
      <c r="L195" s="777"/>
      <c r="M195" s="778"/>
      <c r="N195" s="776" t="str">
        <f>Calcu!N50</f>
        <v/>
      </c>
      <c r="O195" s="777"/>
      <c r="P195" s="777"/>
      <c r="Q195" s="777"/>
      <c r="R195" s="778"/>
      <c r="S195" s="776" t="str">
        <f>Calcu!O50</f>
        <v/>
      </c>
      <c r="T195" s="777"/>
      <c r="U195" s="777"/>
      <c r="V195" s="777"/>
      <c r="W195" s="778"/>
      <c r="X195" s="776" t="str">
        <f>Calcu!P50</f>
        <v/>
      </c>
      <c r="Y195" s="777"/>
      <c r="Z195" s="777"/>
      <c r="AA195" s="777"/>
      <c r="AB195" s="778"/>
      <c r="AC195" s="776" t="str">
        <f>Calcu!Q50</f>
        <v/>
      </c>
      <c r="AD195" s="777"/>
      <c r="AE195" s="777"/>
      <c r="AF195" s="777"/>
      <c r="AG195" s="778"/>
      <c r="AH195" s="776" t="str">
        <f>Calcu!R50</f>
        <v/>
      </c>
      <c r="AI195" s="777"/>
      <c r="AJ195" s="777"/>
      <c r="AK195" s="777"/>
      <c r="AL195" s="778"/>
      <c r="AM195" s="776" t="str">
        <f>Calcu!S50</f>
        <v/>
      </c>
      <c r="AN195" s="777"/>
      <c r="AO195" s="777"/>
      <c r="AP195" s="777"/>
      <c r="AQ195" s="778"/>
      <c r="AR195" s="698" t="str">
        <f t="shared" si="24"/>
        <v/>
      </c>
      <c r="AS195" s="700"/>
    </row>
    <row r="196" spans="1:48" ht="18" customHeight="1">
      <c r="A196" s="387"/>
      <c r="B196" s="665">
        <v>7</v>
      </c>
      <c r="C196" s="745"/>
      <c r="D196" s="776" t="str">
        <f>Calcu!D51</f>
        <v/>
      </c>
      <c r="E196" s="777"/>
      <c r="F196" s="777"/>
      <c r="G196" s="777"/>
      <c r="H196" s="778"/>
      <c r="I196" s="776" t="e">
        <f ca="1">Calcu!M51</f>
        <v>#VALUE!</v>
      </c>
      <c r="J196" s="777"/>
      <c r="K196" s="777"/>
      <c r="L196" s="777"/>
      <c r="M196" s="778"/>
      <c r="N196" s="776" t="str">
        <f>Calcu!N51</f>
        <v/>
      </c>
      <c r="O196" s="777"/>
      <c r="P196" s="777"/>
      <c r="Q196" s="777"/>
      <c r="R196" s="778"/>
      <c r="S196" s="776" t="str">
        <f>Calcu!O51</f>
        <v/>
      </c>
      <c r="T196" s="777"/>
      <c r="U196" s="777"/>
      <c r="V196" s="777"/>
      <c r="W196" s="778"/>
      <c r="X196" s="776" t="str">
        <f>Calcu!P51</f>
        <v/>
      </c>
      <c r="Y196" s="777"/>
      <c r="Z196" s="777"/>
      <c r="AA196" s="777"/>
      <c r="AB196" s="778"/>
      <c r="AC196" s="776" t="str">
        <f>Calcu!Q51</f>
        <v/>
      </c>
      <c r="AD196" s="777"/>
      <c r="AE196" s="777"/>
      <c r="AF196" s="777"/>
      <c r="AG196" s="778"/>
      <c r="AH196" s="776" t="str">
        <f>Calcu!R51</f>
        <v/>
      </c>
      <c r="AI196" s="777"/>
      <c r="AJ196" s="777"/>
      <c r="AK196" s="777"/>
      <c r="AL196" s="778"/>
      <c r="AM196" s="776" t="str">
        <f>Calcu!S51</f>
        <v/>
      </c>
      <c r="AN196" s="777"/>
      <c r="AO196" s="777"/>
      <c r="AP196" s="777"/>
      <c r="AQ196" s="778"/>
      <c r="AR196" s="698" t="str">
        <f t="shared" si="24"/>
        <v/>
      </c>
      <c r="AS196" s="700"/>
    </row>
    <row r="197" spans="1:48" ht="18" customHeight="1">
      <c r="A197" s="387"/>
      <c r="B197" s="665">
        <v>8</v>
      </c>
      <c r="C197" s="745"/>
      <c r="D197" s="776" t="str">
        <f>Calcu!D52</f>
        <v/>
      </c>
      <c r="E197" s="777"/>
      <c r="F197" s="777"/>
      <c r="G197" s="777"/>
      <c r="H197" s="778"/>
      <c r="I197" s="776" t="e">
        <f ca="1">Calcu!M52</f>
        <v>#VALUE!</v>
      </c>
      <c r="J197" s="777"/>
      <c r="K197" s="777"/>
      <c r="L197" s="777"/>
      <c r="M197" s="778"/>
      <c r="N197" s="776" t="str">
        <f>Calcu!N52</f>
        <v/>
      </c>
      <c r="O197" s="777"/>
      <c r="P197" s="777"/>
      <c r="Q197" s="777"/>
      <c r="R197" s="778"/>
      <c r="S197" s="776" t="str">
        <f>Calcu!O52</f>
        <v/>
      </c>
      <c r="T197" s="777"/>
      <c r="U197" s="777"/>
      <c r="V197" s="777"/>
      <c r="W197" s="778"/>
      <c r="X197" s="776" t="str">
        <f>Calcu!P52</f>
        <v/>
      </c>
      <c r="Y197" s="777"/>
      <c r="Z197" s="777"/>
      <c r="AA197" s="777"/>
      <c r="AB197" s="778"/>
      <c r="AC197" s="776" t="str">
        <f>Calcu!Q52</f>
        <v/>
      </c>
      <c r="AD197" s="777"/>
      <c r="AE197" s="777"/>
      <c r="AF197" s="777"/>
      <c r="AG197" s="778"/>
      <c r="AH197" s="776" t="str">
        <f>Calcu!R52</f>
        <v/>
      </c>
      <c r="AI197" s="777"/>
      <c r="AJ197" s="777"/>
      <c r="AK197" s="777"/>
      <c r="AL197" s="778"/>
      <c r="AM197" s="776" t="str">
        <f>Calcu!S52</f>
        <v/>
      </c>
      <c r="AN197" s="777"/>
      <c r="AO197" s="777"/>
      <c r="AP197" s="777"/>
      <c r="AQ197" s="778"/>
      <c r="AR197" s="698" t="str">
        <f t="shared" si="24"/>
        <v/>
      </c>
      <c r="AS197" s="700"/>
    </row>
    <row r="198" spans="1:48" ht="18" customHeight="1">
      <c r="A198" s="387"/>
      <c r="B198" s="665">
        <v>9</v>
      </c>
      <c r="C198" s="745"/>
      <c r="D198" s="776" t="str">
        <f>Calcu!D53</f>
        <v/>
      </c>
      <c r="E198" s="777"/>
      <c r="F198" s="777"/>
      <c r="G198" s="777"/>
      <c r="H198" s="778"/>
      <c r="I198" s="776" t="e">
        <f ca="1">Calcu!M53</f>
        <v>#VALUE!</v>
      </c>
      <c r="J198" s="777"/>
      <c r="K198" s="777"/>
      <c r="L198" s="777"/>
      <c r="M198" s="778"/>
      <c r="N198" s="776" t="str">
        <f>Calcu!N53</f>
        <v/>
      </c>
      <c r="O198" s="777"/>
      <c r="P198" s="777"/>
      <c r="Q198" s="777"/>
      <c r="R198" s="778"/>
      <c r="S198" s="776" t="str">
        <f>Calcu!O53</f>
        <v/>
      </c>
      <c r="T198" s="777"/>
      <c r="U198" s="777"/>
      <c r="V198" s="777"/>
      <c r="W198" s="778"/>
      <c r="X198" s="776" t="str">
        <f>Calcu!P53</f>
        <v/>
      </c>
      <c r="Y198" s="777"/>
      <c r="Z198" s="777"/>
      <c r="AA198" s="777"/>
      <c r="AB198" s="778"/>
      <c r="AC198" s="776" t="str">
        <f>Calcu!Q53</f>
        <v/>
      </c>
      <c r="AD198" s="777"/>
      <c r="AE198" s="777"/>
      <c r="AF198" s="777"/>
      <c r="AG198" s="778"/>
      <c r="AH198" s="776" t="str">
        <f>Calcu!R53</f>
        <v/>
      </c>
      <c r="AI198" s="777"/>
      <c r="AJ198" s="777"/>
      <c r="AK198" s="777"/>
      <c r="AL198" s="778"/>
      <c r="AM198" s="776" t="str">
        <f>Calcu!S53</f>
        <v/>
      </c>
      <c r="AN198" s="777"/>
      <c r="AO198" s="777"/>
      <c r="AP198" s="777"/>
      <c r="AQ198" s="778"/>
      <c r="AR198" s="698" t="str">
        <f t="shared" si="24"/>
        <v/>
      </c>
      <c r="AS198" s="700"/>
    </row>
    <row r="199" spans="1:48" ht="18" customHeight="1">
      <c r="A199" s="387"/>
      <c r="B199" s="665">
        <v>10</v>
      </c>
      <c r="C199" s="745"/>
      <c r="D199" s="776" t="str">
        <f>Calcu!D54</f>
        <v/>
      </c>
      <c r="E199" s="777"/>
      <c r="F199" s="777"/>
      <c r="G199" s="777"/>
      <c r="H199" s="778"/>
      <c r="I199" s="776" t="e">
        <f ca="1">Calcu!M54</f>
        <v>#VALUE!</v>
      </c>
      <c r="J199" s="777"/>
      <c r="K199" s="777"/>
      <c r="L199" s="777"/>
      <c r="M199" s="778"/>
      <c r="N199" s="776" t="str">
        <f>Calcu!N54</f>
        <v/>
      </c>
      <c r="O199" s="777"/>
      <c r="P199" s="777"/>
      <c r="Q199" s="777"/>
      <c r="R199" s="778"/>
      <c r="S199" s="776" t="str">
        <f>Calcu!O54</f>
        <v/>
      </c>
      <c r="T199" s="777"/>
      <c r="U199" s="777"/>
      <c r="V199" s="777"/>
      <c r="W199" s="778"/>
      <c r="X199" s="776" t="str">
        <f>Calcu!P54</f>
        <v/>
      </c>
      <c r="Y199" s="777"/>
      <c r="Z199" s="777"/>
      <c r="AA199" s="777"/>
      <c r="AB199" s="778"/>
      <c r="AC199" s="776" t="str">
        <f>Calcu!Q54</f>
        <v/>
      </c>
      <c r="AD199" s="777"/>
      <c r="AE199" s="777"/>
      <c r="AF199" s="777"/>
      <c r="AG199" s="778"/>
      <c r="AH199" s="776" t="str">
        <f>Calcu!R54</f>
        <v/>
      </c>
      <c r="AI199" s="777"/>
      <c r="AJ199" s="777"/>
      <c r="AK199" s="777"/>
      <c r="AL199" s="778"/>
      <c r="AM199" s="776" t="str">
        <f>Calcu!S54</f>
        <v/>
      </c>
      <c r="AN199" s="777"/>
      <c r="AO199" s="777"/>
      <c r="AP199" s="777"/>
      <c r="AQ199" s="778"/>
      <c r="AR199" s="698" t="str">
        <f t="shared" si="24"/>
        <v/>
      </c>
      <c r="AS199" s="700"/>
    </row>
    <row r="200" spans="1:48" ht="18" customHeight="1">
      <c r="A200" s="387"/>
      <c r="B200" s="665">
        <v>11</v>
      </c>
      <c r="C200" s="745"/>
      <c r="D200" s="776" t="str">
        <f>Calcu!D55</f>
        <v/>
      </c>
      <c r="E200" s="777"/>
      <c r="F200" s="777"/>
      <c r="G200" s="777"/>
      <c r="H200" s="778"/>
      <c r="I200" s="776" t="e">
        <f ca="1">Calcu!M55</f>
        <v>#VALUE!</v>
      </c>
      <c r="J200" s="777"/>
      <c r="K200" s="777"/>
      <c r="L200" s="777"/>
      <c r="M200" s="778"/>
      <c r="N200" s="776" t="str">
        <f>Calcu!N55</f>
        <v/>
      </c>
      <c r="O200" s="777"/>
      <c r="P200" s="777"/>
      <c r="Q200" s="777"/>
      <c r="R200" s="778"/>
      <c r="S200" s="776" t="str">
        <f>Calcu!O55</f>
        <v/>
      </c>
      <c r="T200" s="777"/>
      <c r="U200" s="777"/>
      <c r="V200" s="777"/>
      <c r="W200" s="778"/>
      <c r="X200" s="776" t="str">
        <f>Calcu!P55</f>
        <v/>
      </c>
      <c r="Y200" s="777"/>
      <c r="Z200" s="777"/>
      <c r="AA200" s="777"/>
      <c r="AB200" s="778"/>
      <c r="AC200" s="776" t="str">
        <f>Calcu!Q55</f>
        <v/>
      </c>
      <c r="AD200" s="777"/>
      <c r="AE200" s="777"/>
      <c r="AF200" s="777"/>
      <c r="AG200" s="778"/>
      <c r="AH200" s="776" t="str">
        <f>Calcu!R55</f>
        <v/>
      </c>
      <c r="AI200" s="777"/>
      <c r="AJ200" s="777"/>
      <c r="AK200" s="777"/>
      <c r="AL200" s="778"/>
      <c r="AM200" s="776" t="str">
        <f>Calcu!S55</f>
        <v/>
      </c>
      <c r="AN200" s="777"/>
      <c r="AO200" s="777"/>
      <c r="AP200" s="777"/>
      <c r="AQ200" s="778"/>
      <c r="AR200" s="698" t="str">
        <f t="shared" si="24"/>
        <v/>
      </c>
      <c r="AS200" s="700"/>
    </row>
    <row r="201" spans="1:48" ht="18" customHeight="1">
      <c r="A201" s="387"/>
      <c r="B201" s="665">
        <v>12</v>
      </c>
      <c r="C201" s="745"/>
      <c r="D201" s="776" t="str">
        <f>Calcu!D56</f>
        <v/>
      </c>
      <c r="E201" s="777"/>
      <c r="F201" s="777"/>
      <c r="G201" s="777"/>
      <c r="H201" s="778"/>
      <c r="I201" s="776" t="e">
        <f ca="1">Calcu!M56</f>
        <v>#VALUE!</v>
      </c>
      <c r="J201" s="777"/>
      <c r="K201" s="777"/>
      <c r="L201" s="777"/>
      <c r="M201" s="778"/>
      <c r="N201" s="776" t="str">
        <f>Calcu!N56</f>
        <v/>
      </c>
      <c r="O201" s="777"/>
      <c r="P201" s="777"/>
      <c r="Q201" s="777"/>
      <c r="R201" s="778"/>
      <c r="S201" s="776" t="str">
        <f>Calcu!O56</f>
        <v/>
      </c>
      <c r="T201" s="777"/>
      <c r="U201" s="777"/>
      <c r="V201" s="777"/>
      <c r="W201" s="778"/>
      <c r="X201" s="776" t="str">
        <f>Calcu!P56</f>
        <v/>
      </c>
      <c r="Y201" s="777"/>
      <c r="Z201" s="777"/>
      <c r="AA201" s="777"/>
      <c r="AB201" s="778"/>
      <c r="AC201" s="776" t="str">
        <f>Calcu!Q56</f>
        <v/>
      </c>
      <c r="AD201" s="777"/>
      <c r="AE201" s="777"/>
      <c r="AF201" s="777"/>
      <c r="AG201" s="778"/>
      <c r="AH201" s="776" t="str">
        <f>Calcu!R56</f>
        <v/>
      </c>
      <c r="AI201" s="777"/>
      <c r="AJ201" s="777"/>
      <c r="AK201" s="777"/>
      <c r="AL201" s="778"/>
      <c r="AM201" s="776" t="str">
        <f>Calcu!S56</f>
        <v/>
      </c>
      <c r="AN201" s="777"/>
      <c r="AO201" s="777"/>
      <c r="AP201" s="777"/>
      <c r="AQ201" s="778"/>
      <c r="AR201" s="698" t="str">
        <f t="shared" si="24"/>
        <v/>
      </c>
      <c r="AS201" s="700"/>
    </row>
    <row r="202" spans="1:48" ht="18" customHeight="1">
      <c r="A202" s="387"/>
      <c r="B202" s="665">
        <v>13</v>
      </c>
      <c r="C202" s="745"/>
      <c r="D202" s="776" t="str">
        <f>Calcu!D57</f>
        <v/>
      </c>
      <c r="E202" s="777"/>
      <c r="F202" s="777"/>
      <c r="G202" s="777"/>
      <c r="H202" s="778"/>
      <c r="I202" s="776" t="e">
        <f ca="1">Calcu!M57</f>
        <v>#VALUE!</v>
      </c>
      <c r="J202" s="777"/>
      <c r="K202" s="777"/>
      <c r="L202" s="777"/>
      <c r="M202" s="778"/>
      <c r="N202" s="776" t="str">
        <f>Calcu!N57</f>
        <v/>
      </c>
      <c r="O202" s="777"/>
      <c r="P202" s="777"/>
      <c r="Q202" s="777"/>
      <c r="R202" s="778"/>
      <c r="S202" s="776" t="str">
        <f>Calcu!O57</f>
        <v/>
      </c>
      <c r="T202" s="777"/>
      <c r="U202" s="777"/>
      <c r="V202" s="777"/>
      <c r="W202" s="778"/>
      <c r="X202" s="776" t="str">
        <f>Calcu!P57</f>
        <v/>
      </c>
      <c r="Y202" s="777"/>
      <c r="Z202" s="777"/>
      <c r="AA202" s="777"/>
      <c r="AB202" s="778"/>
      <c r="AC202" s="776" t="str">
        <f>Calcu!Q57</f>
        <v/>
      </c>
      <c r="AD202" s="777"/>
      <c r="AE202" s="777"/>
      <c r="AF202" s="777"/>
      <c r="AG202" s="778"/>
      <c r="AH202" s="776" t="str">
        <f>Calcu!R57</f>
        <v/>
      </c>
      <c r="AI202" s="777"/>
      <c r="AJ202" s="777"/>
      <c r="AK202" s="777"/>
      <c r="AL202" s="778"/>
      <c r="AM202" s="776" t="str">
        <f>Calcu!S57</f>
        <v/>
      </c>
      <c r="AN202" s="777"/>
      <c r="AO202" s="777"/>
      <c r="AP202" s="777"/>
      <c r="AQ202" s="778"/>
      <c r="AR202" s="698" t="str">
        <f t="shared" si="24"/>
        <v/>
      </c>
      <c r="AS202" s="700"/>
    </row>
    <row r="203" spans="1:48" ht="18" customHeight="1">
      <c r="A203" s="387"/>
      <c r="B203" s="665">
        <v>14</v>
      </c>
      <c r="C203" s="745"/>
      <c r="D203" s="776" t="str">
        <f>Calcu!D58</f>
        <v/>
      </c>
      <c r="E203" s="777"/>
      <c r="F203" s="777"/>
      <c r="G203" s="777"/>
      <c r="H203" s="778"/>
      <c r="I203" s="776" t="e">
        <f ca="1">Calcu!M58</f>
        <v>#VALUE!</v>
      </c>
      <c r="J203" s="777"/>
      <c r="K203" s="777"/>
      <c r="L203" s="777"/>
      <c r="M203" s="778"/>
      <c r="N203" s="776" t="str">
        <f>Calcu!N58</f>
        <v/>
      </c>
      <c r="O203" s="777"/>
      <c r="P203" s="777"/>
      <c r="Q203" s="777"/>
      <c r="R203" s="778"/>
      <c r="S203" s="776" t="str">
        <f>Calcu!O58</f>
        <v/>
      </c>
      <c r="T203" s="777"/>
      <c r="U203" s="777"/>
      <c r="V203" s="777"/>
      <c r="W203" s="778"/>
      <c r="X203" s="776" t="str">
        <f>Calcu!P58</f>
        <v/>
      </c>
      <c r="Y203" s="777"/>
      <c r="Z203" s="777"/>
      <c r="AA203" s="777"/>
      <c r="AB203" s="778"/>
      <c r="AC203" s="776" t="str">
        <f>Calcu!Q58</f>
        <v/>
      </c>
      <c r="AD203" s="777"/>
      <c r="AE203" s="777"/>
      <c r="AF203" s="777"/>
      <c r="AG203" s="778"/>
      <c r="AH203" s="776" t="str">
        <f>Calcu!R58</f>
        <v/>
      </c>
      <c r="AI203" s="777"/>
      <c r="AJ203" s="777"/>
      <c r="AK203" s="777"/>
      <c r="AL203" s="778"/>
      <c r="AM203" s="776" t="str">
        <f>Calcu!S58</f>
        <v/>
      </c>
      <c r="AN203" s="777"/>
      <c r="AO203" s="777"/>
      <c r="AP203" s="777"/>
      <c r="AQ203" s="778"/>
      <c r="AR203" s="698" t="str">
        <f t="shared" si="24"/>
        <v/>
      </c>
      <c r="AS203" s="700"/>
    </row>
    <row r="204" spans="1:48" ht="18" customHeight="1">
      <c r="A204" s="387"/>
      <c r="B204" s="665">
        <v>15</v>
      </c>
      <c r="C204" s="745"/>
      <c r="D204" s="776" t="str">
        <f>Calcu!D59</f>
        <v/>
      </c>
      <c r="E204" s="777"/>
      <c r="F204" s="777"/>
      <c r="G204" s="777"/>
      <c r="H204" s="778"/>
      <c r="I204" s="776" t="e">
        <f ca="1">Calcu!M59</f>
        <v>#VALUE!</v>
      </c>
      <c r="J204" s="777"/>
      <c r="K204" s="777"/>
      <c r="L204" s="777"/>
      <c r="M204" s="778"/>
      <c r="N204" s="776" t="str">
        <f>Calcu!N59</f>
        <v/>
      </c>
      <c r="O204" s="777"/>
      <c r="P204" s="777"/>
      <c r="Q204" s="777"/>
      <c r="R204" s="778"/>
      <c r="S204" s="776" t="str">
        <f>Calcu!O59</f>
        <v/>
      </c>
      <c r="T204" s="777"/>
      <c r="U204" s="777"/>
      <c r="V204" s="777"/>
      <c r="W204" s="778"/>
      <c r="X204" s="776" t="str">
        <f>Calcu!P59</f>
        <v/>
      </c>
      <c r="Y204" s="777"/>
      <c r="Z204" s="777"/>
      <c r="AA204" s="777"/>
      <c r="AB204" s="778"/>
      <c r="AC204" s="776" t="str">
        <f>Calcu!Q59</f>
        <v/>
      </c>
      <c r="AD204" s="777"/>
      <c r="AE204" s="777"/>
      <c r="AF204" s="777"/>
      <c r="AG204" s="778"/>
      <c r="AH204" s="776" t="str">
        <f>Calcu!R59</f>
        <v/>
      </c>
      <c r="AI204" s="777"/>
      <c r="AJ204" s="777"/>
      <c r="AK204" s="777"/>
      <c r="AL204" s="778"/>
      <c r="AM204" s="776" t="str">
        <f>Calcu!S59</f>
        <v/>
      </c>
      <c r="AN204" s="777"/>
      <c r="AO204" s="777"/>
      <c r="AP204" s="777"/>
      <c r="AQ204" s="778"/>
      <c r="AR204" s="698" t="str">
        <f t="shared" si="24"/>
        <v/>
      </c>
      <c r="AS204" s="700"/>
    </row>
    <row r="205" spans="1:48" s="251" customFormat="1" ht="18" customHeight="1">
      <c r="A205" s="387"/>
      <c r="B205" s="214"/>
      <c r="C205" s="214"/>
      <c r="D205" s="214"/>
      <c r="E205" s="214"/>
      <c r="F205" s="214"/>
      <c r="G205" s="214"/>
      <c r="H205" s="214"/>
      <c r="I205" s="214"/>
      <c r="J205" s="214"/>
      <c r="K205" s="214"/>
      <c r="L205" s="214"/>
      <c r="M205" s="214"/>
      <c r="N205" s="214"/>
      <c r="O205" s="214"/>
      <c r="P205" s="214"/>
      <c r="Q205" s="214"/>
      <c r="R205" s="214"/>
      <c r="S205" s="214"/>
      <c r="T205" s="214"/>
      <c r="U205" s="214"/>
      <c r="V205" s="214"/>
      <c r="W205" s="214"/>
      <c r="X205" s="214"/>
      <c r="Y205" s="214"/>
      <c r="Z205" s="214"/>
      <c r="AA205" s="214"/>
      <c r="AB205" s="214"/>
      <c r="AC205" s="214"/>
      <c r="AD205" s="214"/>
      <c r="AE205" s="214"/>
      <c r="AF205" s="214"/>
      <c r="AG205" s="214"/>
      <c r="AH205" s="214"/>
      <c r="AI205" s="214"/>
      <c r="AJ205" s="214"/>
      <c r="AK205" s="214"/>
      <c r="AL205" s="214"/>
      <c r="AM205" s="214"/>
      <c r="AN205" s="214"/>
      <c r="AO205" s="214"/>
      <c r="AP205" s="214"/>
      <c r="AQ205" s="214"/>
      <c r="AR205" s="92"/>
      <c r="AS205" s="92"/>
    </row>
    <row r="206" spans="1:48" s="95" customFormat="1" ht="18" customHeight="1">
      <c r="A206" s="102" t="s">
        <v>512</v>
      </c>
      <c r="B206" s="94"/>
      <c r="C206" s="94"/>
      <c r="D206" s="94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8"/>
      <c r="V206" s="98"/>
      <c r="W206" s="98"/>
      <c r="X206" s="98"/>
      <c r="Y206" s="98"/>
      <c r="Z206" s="98"/>
      <c r="AA206" s="98"/>
      <c r="AB206" s="98"/>
      <c r="AC206" s="98"/>
      <c r="AD206" s="98"/>
      <c r="AE206" s="98"/>
      <c r="AF206" s="98"/>
      <c r="AG206" s="98"/>
      <c r="AH206" s="98"/>
      <c r="AI206" s="98"/>
      <c r="AJ206" s="98"/>
      <c r="AK206" s="98"/>
      <c r="AL206" s="98"/>
      <c r="AM206" s="94"/>
      <c r="AN206" s="94"/>
      <c r="AO206" s="94"/>
      <c r="AP206" s="94"/>
      <c r="AQ206" s="94"/>
      <c r="AR206" s="94"/>
      <c r="AS206" s="94"/>
      <c r="AT206" s="94"/>
    </row>
    <row r="207" spans="1:48" s="95" customFormat="1" ht="18" customHeight="1">
      <c r="A207" s="94"/>
      <c r="B207" s="94"/>
      <c r="C207" s="94"/>
      <c r="D207" s="94"/>
      <c r="E207" s="94"/>
      <c r="F207" s="94"/>
      <c r="G207" s="94"/>
      <c r="H207" s="94"/>
      <c r="I207" s="94"/>
      <c r="J207" s="94"/>
      <c r="K207" s="94"/>
      <c r="L207" s="866" t="e">
        <f ca="1">D182</f>
        <v>#N/A</v>
      </c>
      <c r="M207" s="866"/>
      <c r="N207" s="866"/>
      <c r="O207" s="866"/>
      <c r="P207" s="866"/>
      <c r="Q207" s="866"/>
      <c r="R207" s="866"/>
      <c r="S207" s="866"/>
      <c r="T207" s="866"/>
      <c r="U207" s="866"/>
      <c r="V207" s="866"/>
      <c r="W207" s="865" t="s">
        <v>506</v>
      </c>
      <c r="X207" s="889" t="s">
        <v>513</v>
      </c>
      <c r="Y207" s="889"/>
      <c r="Z207" s="889"/>
      <c r="AA207" s="889"/>
      <c r="AB207" s="889"/>
      <c r="AC207" s="889"/>
      <c r="AD207" s="98"/>
      <c r="AE207" s="98"/>
      <c r="AF207" s="98"/>
      <c r="AG207" s="98"/>
      <c r="AH207" s="98"/>
      <c r="AI207" s="98"/>
      <c r="AJ207" s="98"/>
      <c r="AK207" s="98"/>
      <c r="AL207" s="98"/>
      <c r="AM207" s="98"/>
      <c r="AN207" s="98"/>
      <c r="AO207" s="94"/>
      <c r="AP207" s="94"/>
      <c r="AQ207" s="94"/>
      <c r="AR207" s="94"/>
      <c r="AS207" s="94"/>
      <c r="AT207" s="94"/>
      <c r="AU207" s="94"/>
      <c r="AV207" s="94"/>
    </row>
    <row r="208" spans="1:48" s="95" customFormat="1" ht="18" customHeight="1">
      <c r="A208" s="94"/>
      <c r="B208" s="94"/>
      <c r="C208" s="94"/>
      <c r="D208" s="94"/>
      <c r="E208" s="94"/>
      <c r="F208" s="94"/>
      <c r="G208" s="94"/>
      <c r="H208" s="94"/>
      <c r="I208" s="94"/>
      <c r="J208" s="94"/>
      <c r="K208" s="94"/>
      <c r="L208" s="863" t="e">
        <f ca="1">E179</f>
        <v>#N/A</v>
      </c>
      <c r="M208" s="863"/>
      <c r="N208" s="863"/>
      <c r="O208" s="863"/>
      <c r="P208" s="863"/>
      <c r="Q208" s="864" t="s">
        <v>511</v>
      </c>
      <c r="R208" s="863" t="e">
        <f ca="1">M179</f>
        <v>#N/A</v>
      </c>
      <c r="S208" s="863"/>
      <c r="T208" s="863"/>
      <c r="U208" s="863"/>
      <c r="V208" s="863"/>
      <c r="W208" s="865"/>
      <c r="X208" s="889"/>
      <c r="Y208" s="889"/>
      <c r="Z208" s="889"/>
      <c r="AA208" s="889"/>
      <c r="AB208" s="889"/>
      <c r="AC208" s="889"/>
      <c r="AD208" s="98"/>
      <c r="AE208" s="98"/>
      <c r="AF208" s="98"/>
      <c r="AG208" s="98"/>
      <c r="AH208" s="98"/>
      <c r="AI208" s="98"/>
      <c r="AJ208" s="98"/>
      <c r="AK208" s="98"/>
      <c r="AL208" s="98"/>
      <c r="AM208" s="98"/>
      <c r="AN208" s="98"/>
      <c r="AO208" s="94"/>
      <c r="AP208" s="94"/>
      <c r="AQ208" s="94"/>
      <c r="AR208" s="94"/>
      <c r="AS208" s="94"/>
      <c r="AT208" s="94"/>
      <c r="AU208" s="94"/>
      <c r="AV208" s="94"/>
    </row>
    <row r="209" spans="1:48" s="95" customFormat="1" ht="18" customHeight="1">
      <c r="A209" s="94"/>
      <c r="B209" s="94"/>
      <c r="C209" s="94"/>
      <c r="D209" s="94"/>
      <c r="E209" s="94"/>
      <c r="F209" s="94"/>
      <c r="G209" s="94"/>
      <c r="H209" s="94"/>
      <c r="I209" s="94"/>
      <c r="J209" s="94"/>
      <c r="K209" s="94"/>
      <c r="L209" s="865" t="str">
        <f>AP169</f>
        <v>∞</v>
      </c>
      <c r="M209" s="865"/>
      <c r="N209" s="865"/>
      <c r="O209" s="865"/>
      <c r="P209" s="865"/>
      <c r="Q209" s="865"/>
      <c r="R209" s="865" t="e">
        <f ca="1">AP170</f>
        <v>#N/A</v>
      </c>
      <c r="S209" s="865"/>
      <c r="T209" s="865"/>
      <c r="U209" s="865"/>
      <c r="V209" s="865"/>
      <c r="W209" s="98"/>
      <c r="X209" s="98"/>
      <c r="Y209" s="98"/>
      <c r="Z209" s="98"/>
      <c r="AA209" s="98"/>
      <c r="AB209" s="98"/>
      <c r="AC209" s="98"/>
      <c r="AD209" s="98"/>
      <c r="AE209" s="98"/>
      <c r="AF209" s="98"/>
      <c r="AG209" s="98"/>
      <c r="AH209" s="98"/>
      <c r="AI209" s="98"/>
      <c r="AJ209" s="98"/>
      <c r="AK209" s="98"/>
      <c r="AL209" s="98"/>
      <c r="AM209" s="98"/>
      <c r="AN209" s="98"/>
      <c r="AO209" s="94"/>
      <c r="AP209" s="94"/>
      <c r="AQ209" s="94"/>
      <c r="AR209" s="94"/>
      <c r="AS209" s="94"/>
      <c r="AT209" s="94"/>
      <c r="AU209" s="94"/>
      <c r="AV209" s="94"/>
    </row>
    <row r="210" spans="1:48" s="95" customFormat="1" ht="18" customHeight="1">
      <c r="A210" s="94"/>
      <c r="B210" s="94"/>
      <c r="C210" s="94"/>
      <c r="D210" s="126"/>
      <c r="E210" s="259"/>
      <c r="F210" s="126"/>
      <c r="G210" s="126"/>
      <c r="H210" s="259"/>
      <c r="I210" s="127"/>
      <c r="J210" s="127"/>
      <c r="K210" s="128"/>
      <c r="L210" s="94"/>
      <c r="M210" s="94"/>
      <c r="N210" s="94"/>
      <c r="O210" s="94"/>
      <c r="P210" s="94"/>
      <c r="Q210" s="94"/>
      <c r="R210" s="94"/>
      <c r="S210" s="94"/>
      <c r="T210" s="94"/>
      <c r="U210" s="98"/>
      <c r="V210" s="98"/>
      <c r="W210" s="98"/>
      <c r="X210" s="98"/>
      <c r="Y210" s="98"/>
      <c r="Z210" s="98"/>
      <c r="AA210" s="98"/>
      <c r="AB210" s="98"/>
      <c r="AC210" s="98"/>
      <c r="AD210" s="98"/>
      <c r="AE210" s="98"/>
      <c r="AF210" s="98"/>
      <c r="AG210" s="98"/>
      <c r="AH210" s="98"/>
      <c r="AI210" s="98"/>
      <c r="AJ210" s="98"/>
      <c r="AK210" s="98"/>
      <c r="AL210" s="98"/>
      <c r="AM210" s="94"/>
      <c r="AN210" s="94"/>
      <c r="AO210" s="94"/>
      <c r="AP210" s="94"/>
      <c r="AQ210" s="94"/>
      <c r="AR210" s="94"/>
      <c r="AS210" s="94"/>
      <c r="AT210" s="94"/>
    </row>
    <row r="211" spans="1:48" s="95" customFormat="1" ht="18" customHeight="1">
      <c r="A211" s="102" t="s">
        <v>645</v>
      </c>
      <c r="B211" s="94"/>
      <c r="C211" s="94"/>
      <c r="D211" s="94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4"/>
      <c r="X211" s="94"/>
      <c r="Y211" s="94"/>
      <c r="Z211" s="94"/>
      <c r="AA211" s="94"/>
      <c r="AB211" s="94"/>
      <c r="AC211" s="94"/>
      <c r="AD211" s="94"/>
      <c r="AE211" s="94"/>
      <c r="AF211" s="94"/>
      <c r="AG211" s="94"/>
      <c r="AH211" s="94"/>
      <c r="AI211" s="94"/>
      <c r="AJ211" s="94"/>
      <c r="AK211" s="94"/>
      <c r="AL211" s="94"/>
      <c r="AM211" s="94"/>
      <c r="AN211" s="94"/>
      <c r="AO211" s="94"/>
      <c r="AP211" s="94"/>
      <c r="AQ211" s="94"/>
      <c r="AR211" s="94"/>
      <c r="AS211" s="94"/>
      <c r="AT211" s="94"/>
    </row>
    <row r="212" spans="1:48" s="95" customFormat="1" ht="18" customHeight="1">
      <c r="B212" s="98" t="s">
        <v>647</v>
      </c>
      <c r="C212" s="94"/>
      <c r="D212" s="94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4"/>
      <c r="X212" s="94"/>
      <c r="Y212" s="94"/>
      <c r="Z212" s="94"/>
      <c r="AA212" s="94"/>
      <c r="AB212" s="94"/>
      <c r="AC212" s="94"/>
      <c r="AD212" s="94"/>
      <c r="AE212" s="94"/>
      <c r="AF212" s="94"/>
      <c r="AG212" s="94"/>
      <c r="AH212" s="94"/>
      <c r="AI212" s="94"/>
      <c r="AJ212" s="94"/>
      <c r="AK212" s="94"/>
      <c r="AL212" s="94"/>
      <c r="AM212" s="94"/>
      <c r="AN212" s="94"/>
      <c r="AO212" s="94"/>
      <c r="AP212" s="94"/>
      <c r="AQ212" s="94"/>
      <c r="AR212" s="94"/>
      <c r="AS212" s="94"/>
      <c r="AT212" s="94"/>
    </row>
    <row r="213" spans="1:48" s="95" customFormat="1" ht="18" customHeight="1">
      <c r="A213" s="94"/>
      <c r="B213" s="94"/>
      <c r="C213" s="259"/>
      <c r="D213" s="94"/>
      <c r="E213" s="129"/>
      <c r="F213" s="94"/>
      <c r="G213" s="123" t="s">
        <v>514</v>
      </c>
      <c r="H213" s="896" t="s">
        <v>171</v>
      </c>
      <c r="I213" s="896"/>
      <c r="J213" s="871" t="e">
        <f ca="1">D182</f>
        <v>#N/A</v>
      </c>
      <c r="K213" s="871"/>
      <c r="L213" s="871"/>
      <c r="M213" s="871"/>
      <c r="N213" s="258">
        <f>H182</f>
        <v>0</v>
      </c>
      <c r="O213" s="252"/>
      <c r="P213" s="253" t="s">
        <v>515</v>
      </c>
      <c r="Q213" s="871" t="e">
        <f ca="1">J213*2</f>
        <v>#N/A</v>
      </c>
      <c r="R213" s="871"/>
      <c r="S213" s="871"/>
      <c r="T213" s="871"/>
      <c r="U213" s="258">
        <f>N213</f>
        <v>0</v>
      </c>
      <c r="V213" s="251"/>
      <c r="W213" s="251"/>
      <c r="X213" s="251"/>
      <c r="Y213" s="251"/>
      <c r="Z213" s="94"/>
      <c r="AA213" s="94"/>
      <c r="AB213" s="94"/>
      <c r="AC213" s="94"/>
      <c r="AD213" s="94"/>
      <c r="AE213" s="94"/>
      <c r="AF213" s="94"/>
      <c r="AG213" s="94"/>
      <c r="AH213" s="94"/>
      <c r="AI213" s="94"/>
      <c r="AJ213" s="94"/>
      <c r="AK213" s="94"/>
      <c r="AL213" s="94"/>
      <c r="AM213" s="94"/>
      <c r="AN213" s="94"/>
      <c r="AO213" s="94"/>
      <c r="AP213" s="94"/>
      <c r="AQ213" s="94"/>
      <c r="AR213" s="94"/>
      <c r="AS213" s="94"/>
      <c r="AT213" s="94"/>
    </row>
    <row r="214" spans="1:48" ht="18" customHeight="1">
      <c r="A214" s="387"/>
      <c r="B214" s="251"/>
      <c r="C214" s="251"/>
      <c r="D214" s="251"/>
      <c r="E214" s="251"/>
      <c r="F214" s="251"/>
      <c r="G214" s="251"/>
      <c r="H214" s="251"/>
      <c r="I214" s="251"/>
      <c r="J214" s="251"/>
      <c r="K214" s="251"/>
      <c r="L214" s="251"/>
      <c r="M214" s="251"/>
      <c r="N214" s="251"/>
      <c r="O214" s="251"/>
      <c r="P214" s="251"/>
      <c r="Q214" s="251"/>
      <c r="R214" s="251"/>
      <c r="S214" s="251"/>
      <c r="T214" s="251"/>
      <c r="U214" s="251"/>
      <c r="V214" s="251"/>
      <c r="W214" s="251"/>
      <c r="X214" s="251"/>
      <c r="Y214" s="251"/>
      <c r="Z214" s="251"/>
      <c r="AA214" s="251"/>
      <c r="AB214" s="251"/>
      <c r="AC214" s="251"/>
      <c r="AD214" s="251"/>
      <c r="AE214" s="251"/>
      <c r="AF214" s="251"/>
      <c r="AG214" s="251"/>
      <c r="AH214" s="251"/>
      <c r="AI214" s="251"/>
      <c r="AJ214" s="251"/>
      <c r="AK214" s="251"/>
      <c r="AL214" s="251"/>
      <c r="AM214" s="251"/>
      <c r="AN214" s="251"/>
      <c r="AO214" s="251"/>
      <c r="AP214" s="251"/>
      <c r="AQ214" s="251"/>
      <c r="AR214" s="251"/>
      <c r="AS214" s="251"/>
      <c r="AT214" s="251"/>
    </row>
    <row r="215" spans="1:48" ht="18" customHeight="1">
      <c r="A215" s="131" t="s">
        <v>596</v>
      </c>
      <c r="B215" s="251"/>
      <c r="C215" s="251"/>
      <c r="D215" s="251"/>
      <c r="E215" s="251"/>
      <c r="F215" s="251"/>
      <c r="G215" s="251"/>
      <c r="H215" s="251"/>
      <c r="I215" s="251"/>
      <c r="J215" s="251"/>
      <c r="K215" s="251"/>
      <c r="L215" s="251"/>
      <c r="M215" s="251"/>
      <c r="N215" s="251"/>
      <c r="O215" s="251"/>
      <c r="P215" s="251"/>
      <c r="Q215" s="251"/>
      <c r="R215" s="251"/>
      <c r="S215" s="251"/>
      <c r="T215" s="251"/>
      <c r="U215" s="251"/>
      <c r="V215" s="251"/>
      <c r="W215" s="251"/>
      <c r="X215" s="251"/>
      <c r="Y215" s="251"/>
      <c r="Z215" s="251"/>
      <c r="AA215" s="251"/>
      <c r="AB215" s="251"/>
      <c r="AC215" s="251"/>
      <c r="AD215" s="251"/>
      <c r="AE215" s="251"/>
      <c r="AF215" s="251"/>
      <c r="AG215" s="251"/>
      <c r="AH215" s="251"/>
      <c r="AI215" s="251"/>
      <c r="AJ215" s="251"/>
      <c r="AK215" s="251"/>
      <c r="AL215" s="251"/>
      <c r="AM215" s="251"/>
      <c r="AN215" s="251"/>
      <c r="AO215" s="251"/>
      <c r="AP215" s="251"/>
      <c r="AQ215" s="251"/>
      <c r="AR215" s="251"/>
      <c r="AS215" s="251"/>
      <c r="AT215" s="251"/>
    </row>
    <row r="216" spans="1:48" ht="18" customHeight="1">
      <c r="A216" s="387"/>
      <c r="B216" s="878" t="s">
        <v>57</v>
      </c>
      <c r="C216" s="888"/>
      <c r="D216" s="888"/>
      <c r="E216" s="879"/>
      <c r="F216" s="665" t="s">
        <v>69</v>
      </c>
      <c r="G216" s="744"/>
      <c r="H216" s="744"/>
      <c r="I216" s="744"/>
      <c r="J216" s="744"/>
      <c r="K216" s="745"/>
      <c r="L216" s="665" t="e">
        <f>Calcu!J103</f>
        <v>#N/A</v>
      </c>
      <c r="M216" s="744"/>
      <c r="N216" s="744"/>
      <c r="O216" s="744"/>
      <c r="P216" s="744"/>
      <c r="Q216" s="744"/>
      <c r="R216" s="744"/>
      <c r="S216" s="744"/>
      <c r="T216" s="744"/>
      <c r="U216" s="744"/>
      <c r="V216" s="744"/>
      <c r="W216" s="744"/>
      <c r="X216" s="744"/>
      <c r="Y216" s="744"/>
      <c r="Z216" s="744"/>
      <c r="AA216" s="744"/>
      <c r="AB216" s="744"/>
      <c r="AC216" s="744"/>
      <c r="AD216" s="744"/>
      <c r="AE216" s="744"/>
      <c r="AF216" s="744"/>
      <c r="AG216" s="744"/>
      <c r="AH216" s="744"/>
      <c r="AI216" s="745"/>
      <c r="AJ216" s="251"/>
      <c r="AK216" s="251"/>
      <c r="AL216" s="251"/>
      <c r="AM216" s="251"/>
      <c r="AN216" s="251"/>
      <c r="AO216" s="251"/>
      <c r="AP216" s="251"/>
      <c r="AQ216" s="251"/>
      <c r="AR216" s="251"/>
      <c r="AS216" s="251"/>
    </row>
    <row r="217" spans="1:48" ht="18" customHeight="1">
      <c r="A217" s="387"/>
      <c r="B217" s="718"/>
      <c r="C217" s="719"/>
      <c r="D217" s="719"/>
      <c r="E217" s="742"/>
      <c r="F217" s="878" t="s">
        <v>599</v>
      </c>
      <c r="G217" s="888"/>
      <c r="H217" s="888"/>
      <c r="I217" s="888"/>
      <c r="J217" s="888"/>
      <c r="K217" s="879"/>
      <c r="L217" s="878" t="s">
        <v>597</v>
      </c>
      <c r="M217" s="888"/>
      <c r="N217" s="888"/>
      <c r="O217" s="888"/>
      <c r="P217" s="888"/>
      <c r="Q217" s="888"/>
      <c r="R217" s="888"/>
      <c r="S217" s="888"/>
      <c r="T217" s="888"/>
      <c r="U217" s="888"/>
      <c r="V217" s="888"/>
      <c r="W217" s="879"/>
      <c r="X217" s="878" t="s">
        <v>121</v>
      </c>
      <c r="Y217" s="888"/>
      <c r="Z217" s="888"/>
      <c r="AA217" s="888"/>
      <c r="AB217" s="888"/>
      <c r="AC217" s="879"/>
      <c r="AD217" s="878" t="s">
        <v>598</v>
      </c>
      <c r="AE217" s="888"/>
      <c r="AF217" s="888"/>
      <c r="AG217" s="888"/>
      <c r="AH217" s="888"/>
      <c r="AI217" s="879"/>
      <c r="AJ217" s="251"/>
      <c r="AK217" s="251"/>
      <c r="AL217" s="251"/>
      <c r="AM217" s="251"/>
      <c r="AN217" s="251"/>
      <c r="AO217" s="251"/>
      <c r="AP217" s="251"/>
      <c r="AQ217" s="251"/>
      <c r="AR217" s="251"/>
      <c r="AS217" s="251"/>
    </row>
    <row r="218" spans="1:48" ht="18" customHeight="1">
      <c r="A218" s="387"/>
      <c r="B218" s="718"/>
      <c r="C218" s="719"/>
      <c r="D218" s="719"/>
      <c r="E218" s="742"/>
      <c r="F218" s="718"/>
      <c r="G218" s="719"/>
      <c r="H218" s="719"/>
      <c r="I218" s="719"/>
      <c r="J218" s="719"/>
      <c r="K218" s="742"/>
      <c r="L218" s="718"/>
      <c r="M218" s="719"/>
      <c r="N218" s="719"/>
      <c r="O218" s="719"/>
      <c r="P218" s="719"/>
      <c r="Q218" s="719"/>
      <c r="R218" s="719"/>
      <c r="S218" s="719"/>
      <c r="T218" s="719"/>
      <c r="U218" s="719"/>
      <c r="V218" s="719"/>
      <c r="W218" s="742"/>
      <c r="X218" s="718"/>
      <c r="Y218" s="719"/>
      <c r="Z218" s="719"/>
      <c r="AA218" s="719"/>
      <c r="AB218" s="719"/>
      <c r="AC218" s="742"/>
      <c r="AD218" s="718"/>
      <c r="AE218" s="719"/>
      <c r="AF218" s="719"/>
      <c r="AG218" s="719"/>
      <c r="AH218" s="719"/>
      <c r="AI218" s="742"/>
      <c r="AJ218" s="251"/>
      <c r="AK218" s="251"/>
      <c r="AL218" s="251"/>
      <c r="AM218" s="251"/>
      <c r="AN218" s="251"/>
      <c r="AO218" s="251"/>
      <c r="AP218" s="251"/>
      <c r="AQ218" s="251"/>
      <c r="AR218" s="251"/>
      <c r="AS218" s="251"/>
    </row>
    <row r="219" spans="1:48" ht="18" customHeight="1">
      <c r="A219" s="387"/>
      <c r="B219" s="718"/>
      <c r="C219" s="719"/>
      <c r="D219" s="719"/>
      <c r="E219" s="742"/>
      <c r="F219" s="718"/>
      <c r="G219" s="719"/>
      <c r="H219" s="719"/>
      <c r="I219" s="719"/>
      <c r="J219" s="719"/>
      <c r="K219" s="742"/>
      <c r="L219" s="718"/>
      <c r="M219" s="719"/>
      <c r="N219" s="719"/>
      <c r="O219" s="719"/>
      <c r="P219" s="719"/>
      <c r="Q219" s="719"/>
      <c r="R219" s="719"/>
      <c r="S219" s="719"/>
      <c r="T219" s="719"/>
      <c r="U219" s="719"/>
      <c r="V219" s="719"/>
      <c r="W219" s="742"/>
      <c r="X219" s="718"/>
      <c r="Y219" s="719"/>
      <c r="Z219" s="719"/>
      <c r="AA219" s="719"/>
      <c r="AB219" s="719"/>
      <c r="AC219" s="742"/>
      <c r="AD219" s="718"/>
      <c r="AE219" s="719"/>
      <c r="AF219" s="719"/>
      <c r="AG219" s="719"/>
      <c r="AH219" s="719"/>
      <c r="AI219" s="742"/>
      <c r="AJ219" s="251"/>
      <c r="AK219" s="251"/>
      <c r="AL219" s="251"/>
      <c r="AM219" s="251"/>
      <c r="AN219" s="251"/>
      <c r="AO219" s="251"/>
      <c r="AP219" s="251"/>
      <c r="AQ219" s="251"/>
      <c r="AR219" s="251"/>
      <c r="AS219" s="251"/>
    </row>
    <row r="220" spans="1:48" ht="18" customHeight="1">
      <c r="A220" s="387"/>
      <c r="B220" s="718"/>
      <c r="C220" s="719"/>
      <c r="D220" s="719"/>
      <c r="E220" s="742"/>
      <c r="F220" s="718"/>
      <c r="G220" s="719"/>
      <c r="H220" s="719"/>
      <c r="I220" s="719"/>
      <c r="J220" s="719"/>
      <c r="K220" s="742"/>
      <c r="L220" s="277"/>
      <c r="N220" s="890" t="e">
        <f>TEXT($AJ$59,"0.000 000 0 ")&amp;$AJ$60</f>
        <v>#DIV/0!</v>
      </c>
      <c r="O220" s="890"/>
      <c r="P220" s="890"/>
      <c r="Q220" s="890"/>
      <c r="R220" s="890"/>
      <c r="S220" s="890"/>
      <c r="T220" s="890"/>
      <c r="U220" s="890"/>
      <c r="V220" s="890"/>
      <c r="W220" s="891"/>
      <c r="X220" s="718"/>
      <c r="Y220" s="719"/>
      <c r="Z220" s="719"/>
      <c r="AA220" s="719"/>
      <c r="AB220" s="719"/>
      <c r="AC220" s="742"/>
      <c r="AD220" s="718"/>
      <c r="AE220" s="719"/>
      <c r="AF220" s="719"/>
      <c r="AG220" s="719"/>
      <c r="AH220" s="719"/>
      <c r="AI220" s="742"/>
      <c r="AJ220" s="251"/>
      <c r="AK220" s="251"/>
      <c r="AL220" s="251"/>
      <c r="AM220" s="251"/>
      <c r="AN220" s="251"/>
      <c r="AO220" s="251"/>
      <c r="AP220" s="251"/>
      <c r="AQ220" s="251"/>
      <c r="AR220" s="251"/>
      <c r="AS220" s="251"/>
    </row>
    <row r="221" spans="1:48" ht="18" customHeight="1">
      <c r="A221" s="387"/>
      <c r="B221" s="718"/>
      <c r="C221" s="719"/>
      <c r="D221" s="719"/>
      <c r="E221" s="742"/>
      <c r="F221" s="718"/>
      <c r="G221" s="719"/>
      <c r="H221" s="719"/>
      <c r="I221" s="719"/>
      <c r="J221" s="719"/>
      <c r="K221" s="742"/>
      <c r="L221" s="276"/>
      <c r="M221" s="278"/>
      <c r="N221" s="892"/>
      <c r="O221" s="892"/>
      <c r="P221" s="892"/>
      <c r="Q221" s="892"/>
      <c r="R221" s="892"/>
      <c r="S221" s="892"/>
      <c r="T221" s="892"/>
      <c r="U221" s="892"/>
      <c r="V221" s="892"/>
      <c r="W221" s="893"/>
      <c r="X221" s="718"/>
      <c r="Y221" s="719"/>
      <c r="Z221" s="719"/>
      <c r="AA221" s="719"/>
      <c r="AB221" s="719"/>
      <c r="AC221" s="742"/>
      <c r="AD221" s="718"/>
      <c r="AE221" s="719"/>
      <c r="AF221" s="719"/>
      <c r="AG221" s="719"/>
      <c r="AH221" s="719"/>
      <c r="AI221" s="742"/>
      <c r="AJ221" s="251"/>
      <c r="AK221" s="251"/>
      <c r="AL221" s="251"/>
      <c r="AM221" s="251"/>
      <c r="AN221" s="251"/>
      <c r="AO221" s="251"/>
      <c r="AP221" s="251"/>
      <c r="AQ221" s="251"/>
    </row>
    <row r="222" spans="1:48" ht="18" customHeight="1">
      <c r="A222" s="387"/>
      <c r="B222" s="718"/>
      <c r="C222" s="719"/>
      <c r="D222" s="719"/>
      <c r="E222" s="742"/>
      <c r="F222" s="720"/>
      <c r="G222" s="721"/>
      <c r="H222" s="721"/>
      <c r="I222" s="721"/>
      <c r="J222" s="721"/>
      <c r="K222" s="743"/>
      <c r="L222" s="665"/>
      <c r="M222" s="744"/>
      <c r="N222" s="744"/>
      <c r="O222" s="744"/>
      <c r="P222" s="744"/>
      <c r="Q222" s="745"/>
      <c r="R222" s="692" t="s">
        <v>426</v>
      </c>
      <c r="S222" s="894"/>
      <c r="T222" s="894"/>
      <c r="U222" s="894"/>
      <c r="V222" s="894"/>
      <c r="W222" s="895"/>
      <c r="X222" s="720"/>
      <c r="Y222" s="721"/>
      <c r="Z222" s="721"/>
      <c r="AA222" s="721"/>
      <c r="AB222" s="721"/>
      <c r="AC222" s="743"/>
      <c r="AD222" s="720"/>
      <c r="AE222" s="721"/>
      <c r="AF222" s="721"/>
      <c r="AG222" s="721"/>
      <c r="AH222" s="721"/>
      <c r="AI222" s="743"/>
      <c r="AJ222" s="251"/>
      <c r="AK222" s="251"/>
      <c r="AL222" s="251"/>
      <c r="AM222" s="251"/>
      <c r="AN222" s="251"/>
      <c r="AO222" s="251"/>
      <c r="AP222" s="251"/>
      <c r="AQ222" s="251"/>
    </row>
    <row r="223" spans="1:48" ht="18" customHeight="1">
      <c r="A223" s="387"/>
      <c r="B223" s="720"/>
      <c r="C223" s="721"/>
      <c r="D223" s="721"/>
      <c r="E223" s="743"/>
      <c r="F223" s="665">
        <f>D189</f>
        <v>0</v>
      </c>
      <c r="G223" s="744"/>
      <c r="H223" s="744"/>
      <c r="I223" s="744"/>
      <c r="J223" s="744"/>
      <c r="K223" s="745"/>
      <c r="L223" s="665">
        <f>P13</f>
        <v>0</v>
      </c>
      <c r="M223" s="744"/>
      <c r="N223" s="744"/>
      <c r="O223" s="744"/>
      <c r="P223" s="744"/>
      <c r="Q223" s="745"/>
      <c r="R223" s="665">
        <f>F223</f>
        <v>0</v>
      </c>
      <c r="S223" s="744"/>
      <c r="T223" s="744"/>
      <c r="U223" s="744"/>
      <c r="V223" s="744"/>
      <c r="W223" s="745"/>
      <c r="X223" s="665">
        <f>R223</f>
        <v>0</v>
      </c>
      <c r="Y223" s="744"/>
      <c r="Z223" s="744"/>
      <c r="AA223" s="744"/>
      <c r="AB223" s="744"/>
      <c r="AC223" s="745"/>
      <c r="AD223" s="665">
        <f>X223</f>
        <v>0</v>
      </c>
      <c r="AE223" s="744"/>
      <c r="AF223" s="744"/>
      <c r="AG223" s="744"/>
      <c r="AH223" s="744"/>
      <c r="AI223" s="745"/>
      <c r="AJ223" s="251"/>
      <c r="AK223" s="251"/>
      <c r="AL223" s="251"/>
      <c r="AM223" s="251"/>
      <c r="AN223" s="251"/>
      <c r="AO223" s="251"/>
      <c r="AP223" s="251"/>
      <c r="AQ223" s="251"/>
      <c r="AR223" s="251"/>
      <c r="AS223" s="251"/>
    </row>
    <row r="224" spans="1:48" ht="18" customHeight="1">
      <c r="A224" s="387"/>
      <c r="B224" s="880">
        <f>B190</f>
        <v>1</v>
      </c>
      <c r="C224" s="880"/>
      <c r="D224" s="880"/>
      <c r="E224" s="880"/>
      <c r="F224" s="776" t="str">
        <f>D190</f>
        <v/>
      </c>
      <c r="G224" s="744"/>
      <c r="H224" s="744"/>
      <c r="I224" s="744"/>
      <c r="J224" s="744"/>
      <c r="K224" s="745"/>
      <c r="L224" s="665" t="str">
        <f>Calcu!H45</f>
        <v/>
      </c>
      <c r="M224" s="744"/>
      <c r="N224" s="744"/>
      <c r="O224" s="744"/>
      <c r="P224" s="744"/>
      <c r="Q224" s="745"/>
      <c r="R224" s="665" t="str">
        <f>Calcu!I45</f>
        <v/>
      </c>
      <c r="S224" s="744"/>
      <c r="T224" s="744"/>
      <c r="U224" s="744"/>
      <c r="V224" s="744"/>
      <c r="W224" s="745"/>
      <c r="X224" s="665" t="str">
        <f>Calcu!J45</f>
        <v/>
      </c>
      <c r="Y224" s="744"/>
      <c r="Z224" s="744"/>
      <c r="AA224" s="744"/>
      <c r="AB224" s="744"/>
      <c r="AC224" s="745"/>
      <c r="AD224" s="665" t="str">
        <f>Calcu!T45</f>
        <v/>
      </c>
      <c r="AE224" s="744"/>
      <c r="AF224" s="744"/>
      <c r="AG224" s="744"/>
      <c r="AH224" s="744"/>
      <c r="AI224" s="745"/>
      <c r="AJ224" s="251"/>
      <c r="AK224" s="251"/>
      <c r="AL224" s="251"/>
      <c r="AM224" s="251"/>
      <c r="AN224" s="251"/>
      <c r="AO224" s="251"/>
      <c r="AP224" s="251"/>
      <c r="AQ224" s="251"/>
      <c r="AR224" s="251"/>
      <c r="AS224" s="251"/>
    </row>
    <row r="225" spans="1:45" ht="18" customHeight="1">
      <c r="A225" s="387"/>
      <c r="B225" s="880">
        <f t="shared" ref="B225:B238" si="25">B191</f>
        <v>2</v>
      </c>
      <c r="C225" s="880"/>
      <c r="D225" s="880"/>
      <c r="E225" s="880"/>
      <c r="F225" s="776" t="str">
        <f t="shared" ref="F225:F238" si="26">D191</f>
        <v/>
      </c>
      <c r="G225" s="744"/>
      <c r="H225" s="744"/>
      <c r="I225" s="744"/>
      <c r="J225" s="744"/>
      <c r="K225" s="745"/>
      <c r="L225" s="665" t="str">
        <f>Calcu!H46</f>
        <v/>
      </c>
      <c r="M225" s="744"/>
      <c r="N225" s="744"/>
      <c r="O225" s="744"/>
      <c r="P225" s="744"/>
      <c r="Q225" s="745"/>
      <c r="R225" s="665" t="str">
        <f>Calcu!I46</f>
        <v/>
      </c>
      <c r="S225" s="744"/>
      <c r="T225" s="744"/>
      <c r="U225" s="744"/>
      <c r="V225" s="744"/>
      <c r="W225" s="745"/>
      <c r="X225" s="665" t="str">
        <f>Calcu!J46</f>
        <v/>
      </c>
      <c r="Y225" s="744"/>
      <c r="Z225" s="744"/>
      <c r="AA225" s="744"/>
      <c r="AB225" s="744"/>
      <c r="AC225" s="745"/>
      <c r="AD225" s="665" t="str">
        <f>Calcu!T46</f>
        <v/>
      </c>
      <c r="AE225" s="744"/>
      <c r="AF225" s="744"/>
      <c r="AG225" s="744"/>
      <c r="AH225" s="744"/>
      <c r="AI225" s="745"/>
      <c r="AJ225" s="251"/>
      <c r="AK225" s="251"/>
      <c r="AL225" s="251"/>
      <c r="AM225" s="251"/>
      <c r="AN225" s="251"/>
      <c r="AO225" s="251"/>
      <c r="AP225" s="251"/>
      <c r="AQ225" s="251"/>
      <c r="AR225" s="251"/>
      <c r="AS225" s="251"/>
    </row>
    <row r="226" spans="1:45" ht="18" customHeight="1">
      <c r="A226" s="387"/>
      <c r="B226" s="880">
        <f t="shared" si="25"/>
        <v>3</v>
      </c>
      <c r="C226" s="880"/>
      <c r="D226" s="880"/>
      <c r="E226" s="880"/>
      <c r="F226" s="776" t="str">
        <f t="shared" si="26"/>
        <v/>
      </c>
      <c r="G226" s="744"/>
      <c r="H226" s="744"/>
      <c r="I226" s="744"/>
      <c r="J226" s="744"/>
      <c r="K226" s="745"/>
      <c r="L226" s="665" t="str">
        <f>Calcu!H47</f>
        <v/>
      </c>
      <c r="M226" s="744"/>
      <c r="N226" s="744"/>
      <c r="O226" s="744"/>
      <c r="P226" s="744"/>
      <c r="Q226" s="745"/>
      <c r="R226" s="665" t="str">
        <f>Calcu!I47</f>
        <v/>
      </c>
      <c r="S226" s="744"/>
      <c r="T226" s="744"/>
      <c r="U226" s="744"/>
      <c r="V226" s="744"/>
      <c r="W226" s="745"/>
      <c r="X226" s="665" t="str">
        <f>Calcu!J47</f>
        <v/>
      </c>
      <c r="Y226" s="744"/>
      <c r="Z226" s="744"/>
      <c r="AA226" s="744"/>
      <c r="AB226" s="744"/>
      <c r="AC226" s="745"/>
      <c r="AD226" s="665" t="str">
        <f>Calcu!T47</f>
        <v/>
      </c>
      <c r="AE226" s="744"/>
      <c r="AF226" s="744"/>
      <c r="AG226" s="744"/>
      <c r="AH226" s="744"/>
      <c r="AI226" s="745"/>
      <c r="AJ226" s="251"/>
      <c r="AK226" s="251"/>
      <c r="AL226" s="251"/>
      <c r="AM226" s="251"/>
      <c r="AN226" s="251"/>
      <c r="AO226" s="251"/>
      <c r="AP226" s="251"/>
      <c r="AQ226" s="251"/>
      <c r="AR226" s="251"/>
      <c r="AS226" s="251"/>
    </row>
    <row r="227" spans="1:45" ht="18" customHeight="1">
      <c r="A227" s="387"/>
      <c r="B227" s="880">
        <f t="shared" si="25"/>
        <v>4</v>
      </c>
      <c r="C227" s="880"/>
      <c r="D227" s="880"/>
      <c r="E227" s="880"/>
      <c r="F227" s="776" t="str">
        <f t="shared" si="26"/>
        <v/>
      </c>
      <c r="G227" s="744"/>
      <c r="H227" s="744"/>
      <c r="I227" s="744"/>
      <c r="J227" s="744"/>
      <c r="K227" s="745"/>
      <c r="L227" s="665" t="str">
        <f>Calcu!H48</f>
        <v/>
      </c>
      <c r="M227" s="744"/>
      <c r="N227" s="744"/>
      <c r="O227" s="744"/>
      <c r="P227" s="744"/>
      <c r="Q227" s="745"/>
      <c r="R227" s="665" t="str">
        <f>Calcu!I48</f>
        <v/>
      </c>
      <c r="S227" s="744"/>
      <c r="T227" s="744"/>
      <c r="U227" s="744"/>
      <c r="V227" s="744"/>
      <c r="W227" s="745"/>
      <c r="X227" s="665" t="str">
        <f>Calcu!J48</f>
        <v/>
      </c>
      <c r="Y227" s="744"/>
      <c r="Z227" s="744"/>
      <c r="AA227" s="744"/>
      <c r="AB227" s="744"/>
      <c r="AC227" s="745"/>
      <c r="AD227" s="665" t="str">
        <f>Calcu!T48</f>
        <v/>
      </c>
      <c r="AE227" s="744"/>
      <c r="AF227" s="744"/>
      <c r="AG227" s="744"/>
      <c r="AH227" s="744"/>
      <c r="AI227" s="745"/>
      <c r="AJ227" s="251"/>
      <c r="AK227" s="251"/>
      <c r="AL227" s="251"/>
      <c r="AM227" s="251"/>
      <c r="AN227" s="251"/>
      <c r="AO227" s="251"/>
      <c r="AP227" s="251"/>
      <c r="AQ227" s="251"/>
      <c r="AR227" s="251"/>
      <c r="AS227" s="251"/>
    </row>
    <row r="228" spans="1:45" ht="18" customHeight="1">
      <c r="A228" s="387"/>
      <c r="B228" s="880">
        <f t="shared" si="25"/>
        <v>5</v>
      </c>
      <c r="C228" s="880"/>
      <c r="D228" s="880"/>
      <c r="E228" s="880"/>
      <c r="F228" s="776" t="str">
        <f t="shared" si="26"/>
        <v/>
      </c>
      <c r="G228" s="744"/>
      <c r="H228" s="744"/>
      <c r="I228" s="744"/>
      <c r="J228" s="744"/>
      <c r="K228" s="745"/>
      <c r="L228" s="665" t="str">
        <f>Calcu!H49</f>
        <v/>
      </c>
      <c r="M228" s="744"/>
      <c r="N228" s="744"/>
      <c r="O228" s="744"/>
      <c r="P228" s="744"/>
      <c r="Q228" s="745"/>
      <c r="R228" s="665" t="str">
        <f>Calcu!I49</f>
        <v/>
      </c>
      <c r="S228" s="744"/>
      <c r="T228" s="744"/>
      <c r="U228" s="744"/>
      <c r="V228" s="744"/>
      <c r="W228" s="745"/>
      <c r="X228" s="665" t="str">
        <f>Calcu!J49</f>
        <v/>
      </c>
      <c r="Y228" s="744"/>
      <c r="Z228" s="744"/>
      <c r="AA228" s="744"/>
      <c r="AB228" s="744"/>
      <c r="AC228" s="745"/>
      <c r="AD228" s="665" t="str">
        <f>Calcu!T49</f>
        <v/>
      </c>
      <c r="AE228" s="744"/>
      <c r="AF228" s="744"/>
      <c r="AG228" s="744"/>
      <c r="AH228" s="744"/>
      <c r="AI228" s="745"/>
      <c r="AJ228" s="251"/>
      <c r="AK228" s="251"/>
      <c r="AL228" s="251"/>
      <c r="AM228" s="251"/>
      <c r="AN228" s="251"/>
      <c r="AO228" s="251"/>
      <c r="AP228" s="251"/>
      <c r="AQ228" s="251"/>
      <c r="AR228" s="251"/>
      <c r="AS228" s="251"/>
    </row>
    <row r="229" spans="1:45" ht="18" customHeight="1">
      <c r="A229" s="387"/>
      <c r="B229" s="880">
        <f t="shared" si="25"/>
        <v>6</v>
      </c>
      <c r="C229" s="880"/>
      <c r="D229" s="880"/>
      <c r="E229" s="880"/>
      <c r="F229" s="776" t="str">
        <f t="shared" si="26"/>
        <v/>
      </c>
      <c r="G229" s="744"/>
      <c r="H229" s="744"/>
      <c r="I229" s="744"/>
      <c r="J229" s="744"/>
      <c r="K229" s="745"/>
      <c r="L229" s="665" t="str">
        <f>Calcu!H50</f>
        <v/>
      </c>
      <c r="M229" s="744"/>
      <c r="N229" s="744"/>
      <c r="O229" s="744"/>
      <c r="P229" s="744"/>
      <c r="Q229" s="745"/>
      <c r="R229" s="665" t="str">
        <f>Calcu!I50</f>
        <v/>
      </c>
      <c r="S229" s="744"/>
      <c r="T229" s="744"/>
      <c r="U229" s="744"/>
      <c r="V229" s="744"/>
      <c r="W229" s="745"/>
      <c r="X229" s="665" t="str">
        <f>Calcu!J50</f>
        <v/>
      </c>
      <c r="Y229" s="744"/>
      <c r="Z229" s="744"/>
      <c r="AA229" s="744"/>
      <c r="AB229" s="744"/>
      <c r="AC229" s="745"/>
      <c r="AD229" s="665" t="str">
        <f>Calcu!T50</f>
        <v/>
      </c>
      <c r="AE229" s="744"/>
      <c r="AF229" s="744"/>
      <c r="AG229" s="744"/>
      <c r="AH229" s="744"/>
      <c r="AI229" s="745"/>
      <c r="AJ229" s="251"/>
      <c r="AK229" s="251"/>
      <c r="AL229" s="251"/>
      <c r="AM229" s="251"/>
      <c r="AN229" s="251"/>
      <c r="AO229" s="251"/>
      <c r="AP229" s="251"/>
      <c r="AQ229" s="251"/>
      <c r="AR229" s="251"/>
      <c r="AS229" s="251"/>
    </row>
    <row r="230" spans="1:45" ht="18" customHeight="1">
      <c r="A230" s="387"/>
      <c r="B230" s="880">
        <f t="shared" si="25"/>
        <v>7</v>
      </c>
      <c r="C230" s="880"/>
      <c r="D230" s="880"/>
      <c r="E230" s="880"/>
      <c r="F230" s="776" t="str">
        <f t="shared" si="26"/>
        <v/>
      </c>
      <c r="G230" s="744"/>
      <c r="H230" s="744"/>
      <c r="I230" s="744"/>
      <c r="J230" s="744"/>
      <c r="K230" s="745"/>
      <c r="L230" s="665" t="str">
        <f>Calcu!H51</f>
        <v/>
      </c>
      <c r="M230" s="744"/>
      <c r="N230" s="744"/>
      <c r="O230" s="744"/>
      <c r="P230" s="744"/>
      <c r="Q230" s="745"/>
      <c r="R230" s="665" t="str">
        <f>Calcu!I51</f>
        <v/>
      </c>
      <c r="S230" s="744"/>
      <c r="T230" s="744"/>
      <c r="U230" s="744"/>
      <c r="V230" s="744"/>
      <c r="W230" s="745"/>
      <c r="X230" s="665" t="str">
        <f>Calcu!J51</f>
        <v/>
      </c>
      <c r="Y230" s="744"/>
      <c r="Z230" s="744"/>
      <c r="AA230" s="744"/>
      <c r="AB230" s="744"/>
      <c r="AC230" s="745"/>
      <c r="AD230" s="665" t="str">
        <f>Calcu!T51</f>
        <v/>
      </c>
      <c r="AE230" s="744"/>
      <c r="AF230" s="744"/>
      <c r="AG230" s="744"/>
      <c r="AH230" s="744"/>
      <c r="AI230" s="745"/>
      <c r="AJ230" s="251"/>
      <c r="AK230" s="251"/>
      <c r="AL230" s="251"/>
      <c r="AM230" s="251"/>
      <c r="AN230" s="251"/>
      <c r="AO230" s="251"/>
      <c r="AP230" s="251"/>
      <c r="AQ230" s="251"/>
      <c r="AR230" s="251"/>
      <c r="AS230" s="251"/>
    </row>
    <row r="231" spans="1:45" ht="18" customHeight="1">
      <c r="A231" s="387"/>
      <c r="B231" s="880">
        <f t="shared" si="25"/>
        <v>8</v>
      </c>
      <c r="C231" s="880"/>
      <c r="D231" s="880"/>
      <c r="E231" s="880"/>
      <c r="F231" s="776" t="str">
        <f t="shared" si="26"/>
        <v/>
      </c>
      <c r="G231" s="744"/>
      <c r="H231" s="744"/>
      <c r="I231" s="744"/>
      <c r="J231" s="744"/>
      <c r="K231" s="745"/>
      <c r="L231" s="665" t="str">
        <f>Calcu!H52</f>
        <v/>
      </c>
      <c r="M231" s="744"/>
      <c r="N231" s="744"/>
      <c r="O231" s="744"/>
      <c r="P231" s="744"/>
      <c r="Q231" s="745"/>
      <c r="R231" s="665" t="str">
        <f>Calcu!I52</f>
        <v/>
      </c>
      <c r="S231" s="744"/>
      <c r="T231" s="744"/>
      <c r="U231" s="744"/>
      <c r="V231" s="744"/>
      <c r="W231" s="745"/>
      <c r="X231" s="665" t="str">
        <f>Calcu!J52</f>
        <v/>
      </c>
      <c r="Y231" s="744"/>
      <c r="Z231" s="744"/>
      <c r="AA231" s="744"/>
      <c r="AB231" s="744"/>
      <c r="AC231" s="745"/>
      <c r="AD231" s="665" t="str">
        <f>Calcu!T52</f>
        <v/>
      </c>
      <c r="AE231" s="744"/>
      <c r="AF231" s="744"/>
      <c r="AG231" s="744"/>
      <c r="AH231" s="744"/>
      <c r="AI231" s="745"/>
      <c r="AJ231" s="251"/>
      <c r="AK231" s="251"/>
      <c r="AL231" s="251"/>
      <c r="AM231" s="251"/>
      <c r="AN231" s="251"/>
      <c r="AO231" s="251"/>
      <c r="AP231" s="251"/>
      <c r="AQ231" s="251"/>
      <c r="AR231" s="251"/>
      <c r="AS231" s="251"/>
    </row>
    <row r="232" spans="1:45" ht="18" customHeight="1">
      <c r="A232" s="387"/>
      <c r="B232" s="880">
        <f t="shared" si="25"/>
        <v>9</v>
      </c>
      <c r="C232" s="880"/>
      <c r="D232" s="880"/>
      <c r="E232" s="880"/>
      <c r="F232" s="776" t="str">
        <f t="shared" si="26"/>
        <v/>
      </c>
      <c r="G232" s="744"/>
      <c r="H232" s="744"/>
      <c r="I232" s="744"/>
      <c r="J232" s="744"/>
      <c r="K232" s="745"/>
      <c r="L232" s="665" t="str">
        <f>Calcu!H53</f>
        <v/>
      </c>
      <c r="M232" s="744"/>
      <c r="N232" s="744"/>
      <c r="O232" s="744"/>
      <c r="P232" s="744"/>
      <c r="Q232" s="745"/>
      <c r="R232" s="665" t="str">
        <f>Calcu!I53</f>
        <v/>
      </c>
      <c r="S232" s="744"/>
      <c r="T232" s="744"/>
      <c r="U232" s="744"/>
      <c r="V232" s="744"/>
      <c r="W232" s="745"/>
      <c r="X232" s="665" t="str">
        <f>Calcu!J53</f>
        <v/>
      </c>
      <c r="Y232" s="744"/>
      <c r="Z232" s="744"/>
      <c r="AA232" s="744"/>
      <c r="AB232" s="744"/>
      <c r="AC232" s="745"/>
      <c r="AD232" s="665" t="str">
        <f>Calcu!T53</f>
        <v/>
      </c>
      <c r="AE232" s="744"/>
      <c r="AF232" s="744"/>
      <c r="AG232" s="744"/>
      <c r="AH232" s="744"/>
      <c r="AI232" s="745"/>
      <c r="AJ232" s="251"/>
      <c r="AK232" s="251"/>
      <c r="AL232" s="251"/>
      <c r="AM232" s="251"/>
      <c r="AN232" s="251"/>
      <c r="AO232" s="251"/>
      <c r="AP232" s="251"/>
      <c r="AQ232" s="251"/>
      <c r="AR232" s="251"/>
      <c r="AS232" s="251"/>
    </row>
    <row r="233" spans="1:45" ht="18" customHeight="1">
      <c r="A233" s="387"/>
      <c r="B233" s="880">
        <f t="shared" si="25"/>
        <v>10</v>
      </c>
      <c r="C233" s="880"/>
      <c r="D233" s="880"/>
      <c r="E233" s="880"/>
      <c r="F233" s="776" t="str">
        <f t="shared" si="26"/>
        <v/>
      </c>
      <c r="G233" s="744"/>
      <c r="H233" s="744"/>
      <c r="I233" s="744"/>
      <c r="J233" s="744"/>
      <c r="K233" s="745"/>
      <c r="L233" s="665" t="str">
        <f>Calcu!H54</f>
        <v/>
      </c>
      <c r="M233" s="744"/>
      <c r="N233" s="744"/>
      <c r="O233" s="744"/>
      <c r="P233" s="744"/>
      <c r="Q233" s="745"/>
      <c r="R233" s="665" t="str">
        <f>Calcu!I54</f>
        <v/>
      </c>
      <c r="S233" s="744"/>
      <c r="T233" s="744"/>
      <c r="U233" s="744"/>
      <c r="V233" s="744"/>
      <c r="W233" s="745"/>
      <c r="X233" s="665" t="str">
        <f>Calcu!J54</f>
        <v/>
      </c>
      <c r="Y233" s="744"/>
      <c r="Z233" s="744"/>
      <c r="AA233" s="744"/>
      <c r="AB233" s="744"/>
      <c r="AC233" s="745"/>
      <c r="AD233" s="665" t="str">
        <f>Calcu!T54</f>
        <v/>
      </c>
      <c r="AE233" s="744"/>
      <c r="AF233" s="744"/>
      <c r="AG233" s="744"/>
      <c r="AH233" s="744"/>
      <c r="AI233" s="745"/>
      <c r="AJ233" s="251"/>
      <c r="AK233" s="251"/>
      <c r="AL233" s="251"/>
      <c r="AM233" s="251"/>
      <c r="AN233" s="251"/>
      <c r="AO233" s="251"/>
      <c r="AP233" s="251"/>
      <c r="AQ233" s="251"/>
      <c r="AR233" s="251"/>
      <c r="AS233" s="251"/>
    </row>
    <row r="234" spans="1:45" ht="18" customHeight="1">
      <c r="A234" s="387"/>
      <c r="B234" s="880">
        <f t="shared" si="25"/>
        <v>11</v>
      </c>
      <c r="C234" s="880"/>
      <c r="D234" s="880"/>
      <c r="E234" s="880"/>
      <c r="F234" s="776" t="str">
        <f t="shared" si="26"/>
        <v/>
      </c>
      <c r="G234" s="744"/>
      <c r="H234" s="744"/>
      <c r="I234" s="744"/>
      <c r="J234" s="744"/>
      <c r="K234" s="745"/>
      <c r="L234" s="665" t="str">
        <f>Calcu!H55</f>
        <v/>
      </c>
      <c r="M234" s="744"/>
      <c r="N234" s="744"/>
      <c r="O234" s="744"/>
      <c r="P234" s="744"/>
      <c r="Q234" s="745"/>
      <c r="R234" s="665" t="str">
        <f>Calcu!I55</f>
        <v/>
      </c>
      <c r="S234" s="744"/>
      <c r="T234" s="744"/>
      <c r="U234" s="744"/>
      <c r="V234" s="744"/>
      <c r="W234" s="745"/>
      <c r="X234" s="665" t="str">
        <f>Calcu!J55</f>
        <v/>
      </c>
      <c r="Y234" s="744"/>
      <c r="Z234" s="744"/>
      <c r="AA234" s="744"/>
      <c r="AB234" s="744"/>
      <c r="AC234" s="745"/>
      <c r="AD234" s="665" t="str">
        <f>Calcu!T55</f>
        <v/>
      </c>
      <c r="AE234" s="744"/>
      <c r="AF234" s="744"/>
      <c r="AG234" s="744"/>
      <c r="AH234" s="744"/>
      <c r="AI234" s="745"/>
      <c r="AJ234" s="251"/>
      <c r="AK234" s="251"/>
      <c r="AL234" s="251"/>
      <c r="AM234" s="251"/>
      <c r="AN234" s="251"/>
      <c r="AO234" s="251"/>
      <c r="AP234" s="251"/>
      <c r="AQ234" s="251"/>
      <c r="AR234" s="251"/>
      <c r="AS234" s="251"/>
    </row>
    <row r="235" spans="1:45" ht="18" customHeight="1">
      <c r="B235" s="880">
        <f t="shared" si="25"/>
        <v>12</v>
      </c>
      <c r="C235" s="880"/>
      <c r="D235" s="880"/>
      <c r="E235" s="880"/>
      <c r="F235" s="776" t="str">
        <f t="shared" si="26"/>
        <v/>
      </c>
      <c r="G235" s="744"/>
      <c r="H235" s="744"/>
      <c r="I235" s="744"/>
      <c r="J235" s="744"/>
      <c r="K235" s="745"/>
      <c r="L235" s="665" t="str">
        <f>Calcu!H56</f>
        <v/>
      </c>
      <c r="M235" s="744"/>
      <c r="N235" s="744"/>
      <c r="O235" s="744"/>
      <c r="P235" s="744"/>
      <c r="Q235" s="745"/>
      <c r="R235" s="665" t="str">
        <f>Calcu!I56</f>
        <v/>
      </c>
      <c r="S235" s="744"/>
      <c r="T235" s="744"/>
      <c r="U235" s="744"/>
      <c r="V235" s="744"/>
      <c r="W235" s="745"/>
      <c r="X235" s="665" t="str">
        <f>Calcu!J56</f>
        <v/>
      </c>
      <c r="Y235" s="744"/>
      <c r="Z235" s="744"/>
      <c r="AA235" s="744"/>
      <c r="AB235" s="744"/>
      <c r="AC235" s="745"/>
      <c r="AD235" s="665" t="str">
        <f>Calcu!T56</f>
        <v/>
      </c>
      <c r="AE235" s="744"/>
      <c r="AF235" s="744"/>
      <c r="AG235" s="744"/>
      <c r="AH235" s="744"/>
      <c r="AI235" s="745"/>
      <c r="AJ235" s="251"/>
      <c r="AK235" s="251"/>
      <c r="AL235" s="251"/>
      <c r="AM235" s="251"/>
      <c r="AN235" s="251"/>
      <c r="AO235" s="251"/>
      <c r="AP235" s="251"/>
      <c r="AQ235" s="251"/>
      <c r="AR235" s="251"/>
      <c r="AS235" s="251"/>
    </row>
    <row r="236" spans="1:45" ht="18" customHeight="1">
      <c r="B236" s="880">
        <f t="shared" si="25"/>
        <v>13</v>
      </c>
      <c r="C236" s="880"/>
      <c r="D236" s="880"/>
      <c r="E236" s="880"/>
      <c r="F236" s="776" t="str">
        <f t="shared" si="26"/>
        <v/>
      </c>
      <c r="G236" s="744"/>
      <c r="H236" s="744"/>
      <c r="I236" s="744"/>
      <c r="J236" s="744"/>
      <c r="K236" s="745"/>
      <c r="L236" s="665" t="str">
        <f>Calcu!H57</f>
        <v/>
      </c>
      <c r="M236" s="744"/>
      <c r="N236" s="744"/>
      <c r="O236" s="744"/>
      <c r="P236" s="744"/>
      <c r="Q236" s="745"/>
      <c r="R236" s="665" t="str">
        <f>Calcu!I57</f>
        <v/>
      </c>
      <c r="S236" s="744"/>
      <c r="T236" s="744"/>
      <c r="U236" s="744"/>
      <c r="V236" s="744"/>
      <c r="W236" s="745"/>
      <c r="X236" s="665" t="str">
        <f>Calcu!J57</f>
        <v/>
      </c>
      <c r="Y236" s="744"/>
      <c r="Z236" s="744"/>
      <c r="AA236" s="744"/>
      <c r="AB236" s="744"/>
      <c r="AC236" s="745"/>
      <c r="AD236" s="665" t="str">
        <f>Calcu!T57</f>
        <v/>
      </c>
      <c r="AE236" s="744"/>
      <c r="AF236" s="744"/>
      <c r="AG236" s="744"/>
      <c r="AH236" s="744"/>
      <c r="AI236" s="745"/>
    </row>
    <row r="237" spans="1:45" ht="18" customHeight="1">
      <c r="B237" s="880">
        <f t="shared" si="25"/>
        <v>14</v>
      </c>
      <c r="C237" s="880"/>
      <c r="D237" s="880"/>
      <c r="E237" s="880"/>
      <c r="F237" s="776" t="str">
        <f t="shared" si="26"/>
        <v/>
      </c>
      <c r="G237" s="744"/>
      <c r="H237" s="744"/>
      <c r="I237" s="744"/>
      <c r="J237" s="744"/>
      <c r="K237" s="745"/>
      <c r="L237" s="665" t="str">
        <f>Calcu!H58</f>
        <v/>
      </c>
      <c r="M237" s="744"/>
      <c r="N237" s="744"/>
      <c r="O237" s="744"/>
      <c r="P237" s="744"/>
      <c r="Q237" s="745"/>
      <c r="R237" s="665" t="str">
        <f>Calcu!I58</f>
        <v/>
      </c>
      <c r="S237" s="744"/>
      <c r="T237" s="744"/>
      <c r="U237" s="744"/>
      <c r="V237" s="744"/>
      <c r="W237" s="745"/>
      <c r="X237" s="665" t="str">
        <f>Calcu!J58</f>
        <v/>
      </c>
      <c r="Y237" s="744"/>
      <c r="Z237" s="744"/>
      <c r="AA237" s="744"/>
      <c r="AB237" s="744"/>
      <c r="AC237" s="745"/>
      <c r="AD237" s="665" t="str">
        <f>Calcu!T58</f>
        <v/>
      </c>
      <c r="AE237" s="744"/>
      <c r="AF237" s="744"/>
      <c r="AG237" s="744"/>
      <c r="AH237" s="744"/>
      <c r="AI237" s="745"/>
    </row>
    <row r="238" spans="1:45" ht="18" customHeight="1">
      <c r="B238" s="880">
        <f t="shared" si="25"/>
        <v>15</v>
      </c>
      <c r="C238" s="880"/>
      <c r="D238" s="880"/>
      <c r="E238" s="880"/>
      <c r="F238" s="776" t="str">
        <f t="shared" si="26"/>
        <v/>
      </c>
      <c r="G238" s="744"/>
      <c r="H238" s="744"/>
      <c r="I238" s="744"/>
      <c r="J238" s="744"/>
      <c r="K238" s="745"/>
      <c r="L238" s="665" t="str">
        <f>Calcu!H59</f>
        <v/>
      </c>
      <c r="M238" s="744"/>
      <c r="N238" s="744"/>
      <c r="O238" s="744"/>
      <c r="P238" s="744"/>
      <c r="Q238" s="745"/>
      <c r="R238" s="665" t="str">
        <f>Calcu!I59</f>
        <v/>
      </c>
      <c r="S238" s="744"/>
      <c r="T238" s="744"/>
      <c r="U238" s="744"/>
      <c r="V238" s="744"/>
      <c r="W238" s="745"/>
      <c r="X238" s="665" t="str">
        <f>Calcu!J59</f>
        <v/>
      </c>
      <c r="Y238" s="744"/>
      <c r="Z238" s="744"/>
      <c r="AA238" s="744"/>
      <c r="AB238" s="744"/>
      <c r="AC238" s="745"/>
      <c r="AD238" s="665" t="str">
        <f>Calcu!T59</f>
        <v/>
      </c>
      <c r="AE238" s="744"/>
      <c r="AF238" s="744"/>
      <c r="AG238" s="744"/>
      <c r="AH238" s="744"/>
      <c r="AI238" s="745"/>
    </row>
    <row r="244" spans="1:61" ht="31.5">
      <c r="A244" s="133" t="s">
        <v>693</v>
      </c>
    </row>
    <row r="245" spans="1:61" s="95" customFormat="1" ht="18.75" customHeight="1">
      <c r="A245" s="94"/>
      <c r="B245" s="94"/>
      <c r="C245" s="94"/>
      <c r="D245" s="94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S245" s="94"/>
      <c r="T245" s="94"/>
      <c r="U245" s="94"/>
      <c r="V245" s="94"/>
      <c r="W245" s="94"/>
      <c r="X245" s="94"/>
      <c r="Y245" s="94"/>
      <c r="Z245" s="94"/>
      <c r="AA245" s="94"/>
      <c r="AB245" s="94"/>
      <c r="AC245" s="94"/>
      <c r="AD245" s="94"/>
      <c r="AE245" s="94"/>
      <c r="AF245" s="94"/>
      <c r="AG245" s="94"/>
      <c r="AH245" s="94"/>
      <c r="AI245" s="94"/>
      <c r="AJ245" s="94"/>
      <c r="AK245" s="94"/>
      <c r="AL245" s="94"/>
      <c r="AM245" s="94"/>
      <c r="AN245" s="94"/>
      <c r="AO245" s="94"/>
      <c r="AP245" s="94"/>
      <c r="AQ245" s="94"/>
      <c r="AR245" s="94"/>
      <c r="AS245" s="94"/>
      <c r="AT245" s="94"/>
    </row>
    <row r="246" spans="1:61" s="95" customFormat="1" ht="18.75" customHeight="1">
      <c r="A246" s="217" t="s">
        <v>136</v>
      </c>
      <c r="B246" s="94"/>
      <c r="C246" s="94"/>
      <c r="D246" s="94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4"/>
      <c r="X246" s="94"/>
      <c r="Y246" s="94"/>
      <c r="Z246" s="94"/>
      <c r="AA246" s="94"/>
      <c r="AB246" s="94"/>
      <c r="AC246" s="94"/>
      <c r="AD246" s="94"/>
      <c r="AE246" s="94"/>
      <c r="AF246" s="94"/>
      <c r="AG246" s="94"/>
      <c r="AH246" s="94"/>
      <c r="AI246" s="94"/>
      <c r="AJ246" s="94"/>
      <c r="AK246" s="94"/>
      <c r="AL246" s="94"/>
      <c r="AM246" s="94"/>
      <c r="AN246" s="94"/>
      <c r="AO246" s="94"/>
      <c r="AP246" s="94"/>
      <c r="AQ246" s="94"/>
      <c r="AR246" s="94"/>
      <c r="AS246" s="94"/>
      <c r="AT246" s="94"/>
    </row>
    <row r="247" spans="1:61" ht="18.75" customHeight="1">
      <c r="A247" s="131" t="s">
        <v>387</v>
      </c>
    </row>
    <row r="248" spans="1:61" ht="18.75" customHeight="1">
      <c r="B248" s="702" t="s">
        <v>388</v>
      </c>
      <c r="C248" s="702"/>
      <c r="D248" s="702"/>
      <c r="E248" s="702"/>
      <c r="F248" s="702"/>
      <c r="G248" s="702"/>
      <c r="H248" s="696" t="s">
        <v>71</v>
      </c>
      <c r="I248" s="696"/>
      <c r="J248" s="696"/>
      <c r="K248" s="696"/>
      <c r="L248" s="696"/>
      <c r="M248" s="696"/>
      <c r="N248" s="702" t="s">
        <v>389</v>
      </c>
      <c r="O248" s="702"/>
      <c r="P248" s="702"/>
      <c r="Q248" s="702"/>
      <c r="R248" s="702"/>
      <c r="S248" s="702"/>
      <c r="T248" s="703" t="s">
        <v>646</v>
      </c>
      <c r="U248" s="704"/>
      <c r="V248" s="704"/>
      <c r="W248" s="704"/>
      <c r="X248" s="704"/>
      <c r="Y248" s="704"/>
      <c r="Z248" s="704"/>
      <c r="AA248" s="704"/>
      <c r="AB248" s="704"/>
      <c r="AC248" s="704"/>
      <c r="AD248" s="704"/>
      <c r="AE248" s="705"/>
      <c r="AF248" s="695" t="s">
        <v>391</v>
      </c>
      <c r="AG248" s="695"/>
      <c r="AH248" s="695"/>
      <c r="AI248" s="695"/>
      <c r="AJ248" s="695"/>
      <c r="AK248" s="695"/>
      <c r="AL248" s="696" t="s">
        <v>47</v>
      </c>
      <c r="AM248" s="696"/>
      <c r="AN248" s="696"/>
      <c r="AO248" s="696"/>
      <c r="AP248" s="696"/>
      <c r="AQ248" s="696"/>
      <c r="AR248" s="696" t="s">
        <v>358</v>
      </c>
      <c r="AS248" s="696"/>
      <c r="AT248" s="696"/>
      <c r="AU248" s="696"/>
      <c r="AV248" s="696"/>
      <c r="AW248" s="696"/>
    </row>
    <row r="249" spans="1:61" ht="18.75" customHeight="1">
      <c r="B249" s="697" t="e">
        <f ca="1">OFFSET(Calcu_ADJ!D8,AL249,0)</f>
        <v>#N/A</v>
      </c>
      <c r="C249" s="697"/>
      <c r="D249" s="697"/>
      <c r="E249" s="697"/>
      <c r="F249" s="697"/>
      <c r="G249" s="697"/>
      <c r="H249" s="682">
        <f>Calcu_ADJ!D8</f>
        <v>0</v>
      </c>
      <c r="I249" s="682"/>
      <c r="J249" s="682"/>
      <c r="K249" s="682"/>
      <c r="L249" s="682"/>
      <c r="M249" s="682"/>
      <c r="N249" s="698" t="e">
        <f ca="1">OFFSET(Pressure_2_R1!F135,AL249,0)</f>
        <v>#N/A</v>
      </c>
      <c r="O249" s="699"/>
      <c r="P249" s="699"/>
      <c r="Q249" s="699"/>
      <c r="R249" s="699" t="e">
        <f ca="1">OFFSET(Pressure_2_R1!G135,AL249,0)</f>
        <v>#N/A</v>
      </c>
      <c r="S249" s="700"/>
      <c r="T249" s="673" t="e">
        <f ca="1">T6</f>
        <v>#N/A</v>
      </c>
      <c r="U249" s="673"/>
      <c r="V249" s="673"/>
      <c r="W249" s="673"/>
      <c r="X249" s="673"/>
      <c r="Y249" s="673"/>
      <c r="Z249" s="673" t="e">
        <f ca="1">Z6</f>
        <v>#N/A</v>
      </c>
      <c r="AA249" s="673"/>
      <c r="AB249" s="673"/>
      <c r="AC249" s="673"/>
      <c r="AD249" s="673"/>
      <c r="AE249" s="673"/>
      <c r="AF249" s="682">
        <v>2</v>
      </c>
      <c r="AG249" s="682"/>
      <c r="AH249" s="682"/>
      <c r="AI249" s="682"/>
      <c r="AJ249" s="682"/>
      <c r="AK249" s="682"/>
      <c r="AL249" s="682" t="e">
        <f>MATCH(TRUE,Calcu_ADJ!I9:I38,0)</f>
        <v>#N/A</v>
      </c>
      <c r="AM249" s="682"/>
      <c r="AN249" s="682"/>
      <c r="AO249" s="682"/>
      <c r="AP249" s="682"/>
      <c r="AQ249" s="682"/>
      <c r="AR249" s="682">
        <f>COUNT(I257:O286)/2</f>
        <v>0</v>
      </c>
      <c r="AS249" s="682"/>
      <c r="AT249" s="682"/>
      <c r="AU249" s="682"/>
      <c r="AV249" s="682"/>
      <c r="AW249" s="682"/>
    </row>
    <row r="250" spans="1:61" ht="18.75" customHeight="1">
      <c r="B250" s="696" t="s">
        <v>390</v>
      </c>
      <c r="C250" s="696"/>
      <c r="D250" s="696"/>
      <c r="E250" s="696"/>
      <c r="F250" s="696"/>
      <c r="G250" s="696"/>
      <c r="H250" s="696" t="s">
        <v>70</v>
      </c>
      <c r="I250" s="696"/>
      <c r="J250" s="696"/>
      <c r="K250" s="696"/>
      <c r="L250" s="696"/>
      <c r="M250" s="696"/>
      <c r="N250" s="703" t="s">
        <v>752</v>
      </c>
      <c r="O250" s="704"/>
      <c r="P250" s="704"/>
      <c r="Q250" s="704"/>
      <c r="R250" s="704"/>
      <c r="S250" s="704"/>
      <c r="T250" s="704"/>
      <c r="U250" s="704"/>
      <c r="V250" s="704"/>
      <c r="W250" s="704"/>
      <c r="X250" s="704"/>
      <c r="Y250" s="704"/>
      <c r="Z250" s="704"/>
      <c r="AA250" s="704"/>
      <c r="AB250" s="704"/>
      <c r="AC250" s="704"/>
      <c r="AD250" s="704"/>
      <c r="AE250" s="704"/>
      <c r="AF250" s="704"/>
      <c r="AG250" s="704"/>
      <c r="AH250" s="704"/>
      <c r="AI250" s="704"/>
      <c r="AJ250" s="704"/>
      <c r="AK250" s="705"/>
      <c r="AL250" s="703" t="s">
        <v>753</v>
      </c>
      <c r="AM250" s="704"/>
      <c r="AN250" s="704"/>
      <c r="AO250" s="704"/>
      <c r="AP250" s="704"/>
      <c r="AQ250" s="704"/>
      <c r="AR250" s="704"/>
      <c r="AS250" s="704"/>
      <c r="AT250" s="704"/>
      <c r="AU250" s="704"/>
      <c r="AV250" s="704"/>
      <c r="AW250" s="705"/>
      <c r="AX250" s="101"/>
      <c r="AY250" s="101"/>
      <c r="AZ250" s="101"/>
      <c r="BA250" s="101"/>
      <c r="BB250" s="101"/>
      <c r="BC250" s="101"/>
      <c r="BD250" s="101"/>
      <c r="BE250" s="101"/>
      <c r="BF250" s="101"/>
      <c r="BG250" s="101"/>
      <c r="BH250" s="101"/>
      <c r="BI250" s="101"/>
    </row>
    <row r="251" spans="1:61" ht="18.75" customHeight="1">
      <c r="B251" s="701" t="e">
        <f ca="1">MAX(ABS(Calcu_ADJ!V$24-Calcu_ADJ!V$9),ABS(Calcu_ADJ!W$24-Calcu_ADJ!W$9),ABS(Calcu_ADJ!X$24-Calcu_ADJ!X$9))*AJ302</f>
        <v>#VALUE!</v>
      </c>
      <c r="C251" s="682"/>
      <c r="D251" s="682"/>
      <c r="E251" s="682"/>
      <c r="F251" s="682"/>
      <c r="G251" s="682"/>
      <c r="H251" s="682" t="e">
        <f ca="1">((M421-M420)+(R421-R420)+(W421-W420))/3*AJ302</f>
        <v>#N/A</v>
      </c>
      <c r="I251" s="682"/>
      <c r="J251" s="682"/>
      <c r="K251" s="682"/>
      <c r="L251" s="682"/>
      <c r="M251" s="682"/>
      <c r="N251" s="706" t="str">
        <f ca="1">N8</f>
        <v/>
      </c>
      <c r="O251" s="707"/>
      <c r="P251" s="707"/>
      <c r="Q251" s="707"/>
      <c r="R251" s="707"/>
      <c r="S251" s="707"/>
      <c r="T251" s="707" t="str">
        <f t="shared" ref="T251" ca="1" si="27">T8</f>
        <v/>
      </c>
      <c r="U251" s="707"/>
      <c r="V251" s="707"/>
      <c r="W251" s="707"/>
      <c r="X251" s="707"/>
      <c r="Y251" s="708"/>
      <c r="Z251" s="706" t="str">
        <f t="shared" ref="Z251" ca="1" si="28">Z8</f>
        <v/>
      </c>
      <c r="AA251" s="707"/>
      <c r="AB251" s="707"/>
      <c r="AC251" s="707"/>
      <c r="AD251" s="707"/>
      <c r="AE251" s="707"/>
      <c r="AF251" s="707" t="str">
        <f t="shared" ref="AF251" ca="1" si="29">AF8</f>
        <v/>
      </c>
      <c r="AG251" s="707"/>
      <c r="AH251" s="707"/>
      <c r="AI251" s="707"/>
      <c r="AJ251" s="707"/>
      <c r="AK251" s="708"/>
      <c r="AL251" s="663" t="e">
        <f t="shared" ref="AL251" ca="1" si="30">AL8</f>
        <v>#N/A</v>
      </c>
      <c r="AM251" s="663"/>
      <c r="AN251" s="663"/>
      <c r="AO251" s="663"/>
      <c r="AP251" s="663"/>
      <c r="AQ251" s="663"/>
      <c r="AR251" s="663" t="e">
        <f t="shared" ref="AR251" ca="1" si="31">AR8</f>
        <v>#N/A</v>
      </c>
      <c r="AS251" s="663"/>
      <c r="AT251" s="663"/>
      <c r="AU251" s="663"/>
      <c r="AV251" s="663"/>
      <c r="AW251" s="663"/>
      <c r="AX251" s="101"/>
      <c r="AY251" s="101"/>
      <c r="AZ251" s="101"/>
      <c r="BA251" s="101"/>
      <c r="BB251" s="101"/>
      <c r="BC251" s="101"/>
      <c r="BD251" s="101"/>
      <c r="BE251" s="101"/>
      <c r="BF251" s="101"/>
      <c r="BG251" s="101"/>
      <c r="BH251" s="101"/>
      <c r="BI251" s="101"/>
    </row>
    <row r="252" spans="1:61" ht="18" customHeight="1">
      <c r="A252" s="387"/>
      <c r="B252" s="374"/>
      <c r="C252" s="374"/>
      <c r="D252" s="374"/>
      <c r="E252" s="374"/>
      <c r="F252" s="374"/>
      <c r="G252" s="374"/>
      <c r="H252" s="374"/>
      <c r="I252" s="374"/>
      <c r="J252" s="374"/>
      <c r="K252" s="374"/>
      <c r="L252" s="374"/>
      <c r="M252" s="374"/>
      <c r="N252" s="374"/>
      <c r="O252" s="374"/>
      <c r="P252" s="374"/>
      <c r="Q252" s="374"/>
      <c r="R252" s="374"/>
      <c r="S252" s="374"/>
      <c r="T252" s="374"/>
      <c r="U252" s="374"/>
      <c r="V252" s="374"/>
      <c r="W252" s="374"/>
      <c r="X252" s="374"/>
      <c r="Y252" s="374"/>
      <c r="Z252" s="374"/>
      <c r="AA252" s="374"/>
      <c r="AB252" s="374"/>
      <c r="AC252" s="374"/>
      <c r="AD252" s="374"/>
      <c r="AE252" s="374"/>
      <c r="AF252" s="374"/>
      <c r="AG252" s="374"/>
      <c r="AH252" s="374"/>
      <c r="AI252" s="374"/>
      <c r="AJ252" s="374"/>
      <c r="AK252" s="374"/>
      <c r="AL252" s="374"/>
      <c r="AM252" s="374"/>
      <c r="AN252" s="374"/>
      <c r="AO252" s="374"/>
      <c r="AP252" s="374"/>
      <c r="AQ252" s="374"/>
      <c r="AR252" s="374"/>
      <c r="AS252" s="374"/>
      <c r="AT252" s="374"/>
    </row>
    <row r="253" spans="1:61" ht="18" customHeight="1">
      <c r="A253" s="131" t="s">
        <v>392</v>
      </c>
      <c r="B253" s="374"/>
      <c r="C253" s="374"/>
      <c r="D253" s="374"/>
      <c r="E253" s="374"/>
      <c r="F253" s="374"/>
      <c r="G253" s="374"/>
      <c r="H253" s="374"/>
      <c r="I253" s="374"/>
      <c r="J253" s="374"/>
      <c r="K253" s="374"/>
      <c r="L253" s="374"/>
      <c r="M253" s="374"/>
      <c r="N253" s="374"/>
      <c r="O253" s="374"/>
      <c r="P253" s="374"/>
      <c r="Q253" s="374"/>
      <c r="R253" s="374"/>
      <c r="S253" s="374"/>
      <c r="T253" s="374"/>
      <c r="U253" s="374"/>
      <c r="V253" s="374"/>
      <c r="W253" s="374"/>
      <c r="X253" s="374"/>
      <c r="Y253" s="374"/>
      <c r="Z253" s="374"/>
      <c r="AA253" s="374"/>
      <c r="AB253" s="374"/>
      <c r="AC253" s="374"/>
      <c r="AD253" s="374"/>
      <c r="AE253" s="374"/>
      <c r="AF253" s="374"/>
      <c r="AG253" s="374"/>
      <c r="AH253" s="374"/>
      <c r="AI253" s="374"/>
      <c r="AJ253" s="374"/>
      <c r="AK253" s="374"/>
      <c r="AL253" s="374"/>
      <c r="AM253" s="374"/>
      <c r="AN253" s="374"/>
      <c r="AO253" s="374"/>
      <c r="AP253" s="374"/>
      <c r="AQ253" s="374"/>
      <c r="AR253" s="374"/>
      <c r="AS253" s="374"/>
      <c r="AT253" s="374"/>
    </row>
    <row r="254" spans="1:61" ht="18" customHeight="1">
      <c r="A254" s="387"/>
      <c r="B254" s="683" t="s">
        <v>137</v>
      </c>
      <c r="C254" s="684"/>
      <c r="D254" s="684"/>
      <c r="E254" s="684"/>
      <c r="F254" s="684"/>
      <c r="G254" s="684"/>
      <c r="H254" s="685"/>
      <c r="I254" s="683" t="s">
        <v>393</v>
      </c>
      <c r="J254" s="684"/>
      <c r="K254" s="684"/>
      <c r="L254" s="684"/>
      <c r="M254" s="684"/>
      <c r="N254" s="684"/>
      <c r="O254" s="685"/>
      <c r="P254" s="692" t="s">
        <v>394</v>
      </c>
      <c r="Q254" s="693"/>
      <c r="R254" s="693"/>
      <c r="S254" s="693"/>
      <c r="T254" s="693"/>
      <c r="U254" s="693"/>
      <c r="V254" s="693"/>
      <c r="W254" s="693"/>
      <c r="X254" s="693"/>
      <c r="Y254" s="693"/>
      <c r="Z254" s="693"/>
      <c r="AA254" s="693"/>
      <c r="AB254" s="693"/>
      <c r="AC254" s="693"/>
      <c r="AD254" s="693"/>
      <c r="AE254" s="693"/>
      <c r="AF254" s="693"/>
      <c r="AG254" s="693"/>
      <c r="AH254" s="693"/>
      <c r="AI254" s="693"/>
      <c r="AJ254" s="693"/>
      <c r="AK254" s="693"/>
      <c r="AL254" s="693"/>
      <c r="AM254" s="693"/>
      <c r="AN254" s="693"/>
      <c r="AO254" s="693"/>
      <c r="AP254" s="693"/>
      <c r="AQ254" s="694"/>
      <c r="AR254" s="92"/>
      <c r="AS254" s="92"/>
      <c r="AT254" s="374"/>
    </row>
    <row r="255" spans="1:61" ht="18" customHeight="1">
      <c r="A255" s="387"/>
      <c r="B255" s="686"/>
      <c r="C255" s="687"/>
      <c r="D255" s="687"/>
      <c r="E255" s="687"/>
      <c r="F255" s="687"/>
      <c r="G255" s="687"/>
      <c r="H255" s="688"/>
      <c r="I255" s="689"/>
      <c r="J255" s="690"/>
      <c r="K255" s="690"/>
      <c r="L255" s="690"/>
      <c r="M255" s="690"/>
      <c r="N255" s="690"/>
      <c r="O255" s="691"/>
      <c r="P255" s="665" t="s">
        <v>395</v>
      </c>
      <c r="Q255" s="666"/>
      <c r="R255" s="666"/>
      <c r="S255" s="666"/>
      <c r="T255" s="666"/>
      <c r="U255" s="666"/>
      <c r="V255" s="667"/>
      <c r="W255" s="665" t="s">
        <v>396</v>
      </c>
      <c r="X255" s="666"/>
      <c r="Y255" s="666"/>
      <c r="Z255" s="666"/>
      <c r="AA255" s="666"/>
      <c r="AB255" s="666"/>
      <c r="AC255" s="667"/>
      <c r="AD255" s="665" t="s">
        <v>94</v>
      </c>
      <c r="AE255" s="666"/>
      <c r="AF255" s="666"/>
      <c r="AG255" s="666"/>
      <c r="AH255" s="666"/>
      <c r="AI255" s="666"/>
      <c r="AJ255" s="667"/>
      <c r="AK255" s="665" t="s">
        <v>399</v>
      </c>
      <c r="AL255" s="666"/>
      <c r="AM255" s="666"/>
      <c r="AN255" s="666"/>
      <c r="AO255" s="666"/>
      <c r="AP255" s="666"/>
      <c r="AQ255" s="667"/>
      <c r="AR255" s="92"/>
      <c r="AS255" s="92"/>
      <c r="AT255" s="374"/>
    </row>
    <row r="256" spans="1:61" ht="18" customHeight="1">
      <c r="A256" s="387"/>
      <c r="B256" s="689"/>
      <c r="C256" s="690"/>
      <c r="D256" s="690"/>
      <c r="E256" s="690"/>
      <c r="F256" s="690"/>
      <c r="G256" s="690"/>
      <c r="H256" s="691"/>
      <c r="I256" s="668">
        <f>Calcu_ADJ!E8</f>
        <v>0</v>
      </c>
      <c r="J256" s="669"/>
      <c r="K256" s="669"/>
      <c r="L256" s="669"/>
      <c r="M256" s="669"/>
      <c r="N256" s="669"/>
      <c r="O256" s="670"/>
      <c r="P256" s="668">
        <f>Calcu_ADJ!K8</f>
        <v>0</v>
      </c>
      <c r="Q256" s="671"/>
      <c r="R256" s="671"/>
      <c r="S256" s="671"/>
      <c r="T256" s="671"/>
      <c r="U256" s="671"/>
      <c r="V256" s="672"/>
      <c r="W256" s="668">
        <f>Calcu_ADJ!L8</f>
        <v>0</v>
      </c>
      <c r="X256" s="671"/>
      <c r="Y256" s="671"/>
      <c r="Z256" s="671"/>
      <c r="AA256" s="671"/>
      <c r="AB256" s="671"/>
      <c r="AC256" s="672"/>
      <c r="AD256" s="668">
        <f>Calcu_ADJ!M8</f>
        <v>0</v>
      </c>
      <c r="AE256" s="671"/>
      <c r="AF256" s="671"/>
      <c r="AG256" s="671"/>
      <c r="AH256" s="671"/>
      <c r="AI256" s="671"/>
      <c r="AJ256" s="672"/>
      <c r="AK256" s="668">
        <f>Calcu_ADJ!Y8</f>
        <v>0</v>
      </c>
      <c r="AL256" s="671"/>
      <c r="AM256" s="671"/>
      <c r="AN256" s="671"/>
      <c r="AO256" s="671"/>
      <c r="AP256" s="671"/>
      <c r="AQ256" s="672"/>
      <c r="AR256" s="92"/>
      <c r="AS256" s="92"/>
      <c r="AT256" s="374"/>
    </row>
    <row r="257" spans="1:46" ht="18" customHeight="1">
      <c r="A257" s="387"/>
      <c r="B257" s="674">
        <f>Calcu_ADJ!C9</f>
        <v>1</v>
      </c>
      <c r="C257" s="675"/>
      <c r="D257" s="675"/>
      <c r="E257" s="675"/>
      <c r="F257" s="675"/>
      <c r="G257" s="675"/>
      <c r="H257" s="676"/>
      <c r="I257" s="677" t="str">
        <f>Calcu_ADJ!E9</f>
        <v/>
      </c>
      <c r="J257" s="678"/>
      <c r="K257" s="678"/>
      <c r="L257" s="678"/>
      <c r="M257" s="678"/>
      <c r="N257" s="678"/>
      <c r="O257" s="679"/>
      <c r="P257" s="677" t="str">
        <f>Calcu_ADJ!K9</f>
        <v/>
      </c>
      <c r="Q257" s="680"/>
      <c r="R257" s="680"/>
      <c r="S257" s="680"/>
      <c r="T257" s="680"/>
      <c r="U257" s="680"/>
      <c r="V257" s="681"/>
      <c r="W257" s="677" t="str">
        <f>Calcu_ADJ!L9</f>
        <v/>
      </c>
      <c r="X257" s="680"/>
      <c r="Y257" s="680"/>
      <c r="Z257" s="680"/>
      <c r="AA257" s="680"/>
      <c r="AB257" s="680"/>
      <c r="AC257" s="681"/>
      <c r="AD257" s="677" t="str">
        <f>Calcu_ADJ!M9</f>
        <v/>
      </c>
      <c r="AE257" s="680"/>
      <c r="AF257" s="680"/>
      <c r="AG257" s="680"/>
      <c r="AH257" s="680"/>
      <c r="AI257" s="680"/>
      <c r="AJ257" s="681"/>
      <c r="AK257" s="677" t="str">
        <f t="shared" ref="AK257:AK286" si="32">IF(I257="","",AVERAGE(P257:AJ257))</f>
        <v/>
      </c>
      <c r="AL257" s="680"/>
      <c r="AM257" s="680"/>
      <c r="AN257" s="680"/>
      <c r="AO257" s="680"/>
      <c r="AP257" s="680"/>
      <c r="AQ257" s="681"/>
      <c r="AR257" s="92"/>
      <c r="AS257" s="92"/>
      <c r="AT257" s="374"/>
    </row>
    <row r="258" spans="1:46" ht="18" customHeight="1">
      <c r="A258" s="387"/>
      <c r="B258" s="674">
        <f>Calcu_ADJ!C10</f>
        <v>2</v>
      </c>
      <c r="C258" s="675"/>
      <c r="D258" s="675"/>
      <c r="E258" s="675"/>
      <c r="F258" s="675"/>
      <c r="G258" s="675"/>
      <c r="H258" s="676"/>
      <c r="I258" s="677" t="str">
        <f>Calcu_ADJ!E10</f>
        <v/>
      </c>
      <c r="J258" s="678"/>
      <c r="K258" s="678"/>
      <c r="L258" s="678"/>
      <c r="M258" s="678"/>
      <c r="N258" s="678"/>
      <c r="O258" s="679"/>
      <c r="P258" s="677" t="str">
        <f>Calcu_ADJ!K10</f>
        <v/>
      </c>
      <c r="Q258" s="680"/>
      <c r="R258" s="680"/>
      <c r="S258" s="680"/>
      <c r="T258" s="680"/>
      <c r="U258" s="680"/>
      <c r="V258" s="681"/>
      <c r="W258" s="677" t="str">
        <f>Calcu_ADJ!L10</f>
        <v/>
      </c>
      <c r="X258" s="680"/>
      <c r="Y258" s="680"/>
      <c r="Z258" s="680"/>
      <c r="AA258" s="680"/>
      <c r="AB258" s="680"/>
      <c r="AC258" s="681"/>
      <c r="AD258" s="677" t="str">
        <f>Calcu_ADJ!M10</f>
        <v/>
      </c>
      <c r="AE258" s="680"/>
      <c r="AF258" s="680"/>
      <c r="AG258" s="680"/>
      <c r="AH258" s="680"/>
      <c r="AI258" s="680"/>
      <c r="AJ258" s="681"/>
      <c r="AK258" s="677" t="str">
        <f t="shared" si="32"/>
        <v/>
      </c>
      <c r="AL258" s="680"/>
      <c r="AM258" s="680"/>
      <c r="AN258" s="680"/>
      <c r="AO258" s="680"/>
      <c r="AP258" s="680"/>
      <c r="AQ258" s="681"/>
      <c r="AR258" s="92"/>
      <c r="AS258" s="92"/>
      <c r="AT258" s="374"/>
    </row>
    <row r="259" spans="1:46" ht="18" customHeight="1">
      <c r="A259" s="387"/>
      <c r="B259" s="674">
        <f>Calcu_ADJ!C11</f>
        <v>3</v>
      </c>
      <c r="C259" s="675"/>
      <c r="D259" s="675"/>
      <c r="E259" s="675"/>
      <c r="F259" s="675"/>
      <c r="G259" s="675"/>
      <c r="H259" s="676"/>
      <c r="I259" s="677" t="str">
        <f>Calcu_ADJ!E11</f>
        <v/>
      </c>
      <c r="J259" s="678"/>
      <c r="K259" s="678"/>
      <c r="L259" s="678"/>
      <c r="M259" s="678"/>
      <c r="N259" s="678"/>
      <c r="O259" s="679"/>
      <c r="P259" s="677" t="str">
        <f>Calcu_ADJ!K11</f>
        <v/>
      </c>
      <c r="Q259" s="680"/>
      <c r="R259" s="680"/>
      <c r="S259" s="680"/>
      <c r="T259" s="680"/>
      <c r="U259" s="680"/>
      <c r="V259" s="681"/>
      <c r="W259" s="677" t="str">
        <f>Calcu_ADJ!L11</f>
        <v/>
      </c>
      <c r="X259" s="680"/>
      <c r="Y259" s="680"/>
      <c r="Z259" s="680"/>
      <c r="AA259" s="680"/>
      <c r="AB259" s="680"/>
      <c r="AC259" s="681"/>
      <c r="AD259" s="677" t="str">
        <f>Calcu_ADJ!M11</f>
        <v/>
      </c>
      <c r="AE259" s="680"/>
      <c r="AF259" s="680"/>
      <c r="AG259" s="680"/>
      <c r="AH259" s="680"/>
      <c r="AI259" s="680"/>
      <c r="AJ259" s="681"/>
      <c r="AK259" s="677" t="str">
        <f t="shared" si="32"/>
        <v/>
      </c>
      <c r="AL259" s="680"/>
      <c r="AM259" s="680"/>
      <c r="AN259" s="680"/>
      <c r="AO259" s="680"/>
      <c r="AP259" s="680"/>
      <c r="AQ259" s="681"/>
      <c r="AR259" s="92"/>
      <c r="AS259" s="92"/>
      <c r="AT259" s="374"/>
    </row>
    <row r="260" spans="1:46" ht="18" customHeight="1">
      <c r="A260" s="387"/>
      <c r="B260" s="674">
        <f>Calcu_ADJ!C12</f>
        <v>4</v>
      </c>
      <c r="C260" s="675"/>
      <c r="D260" s="675"/>
      <c r="E260" s="675"/>
      <c r="F260" s="675"/>
      <c r="G260" s="675"/>
      <c r="H260" s="676"/>
      <c r="I260" s="677" t="str">
        <f>Calcu_ADJ!E12</f>
        <v/>
      </c>
      <c r="J260" s="678"/>
      <c r="K260" s="678"/>
      <c r="L260" s="678"/>
      <c r="M260" s="678"/>
      <c r="N260" s="678"/>
      <c r="O260" s="679"/>
      <c r="P260" s="677" t="str">
        <f>Calcu_ADJ!K12</f>
        <v/>
      </c>
      <c r="Q260" s="680"/>
      <c r="R260" s="680"/>
      <c r="S260" s="680"/>
      <c r="T260" s="680"/>
      <c r="U260" s="680"/>
      <c r="V260" s="681"/>
      <c r="W260" s="677" t="str">
        <f>Calcu_ADJ!L12</f>
        <v/>
      </c>
      <c r="X260" s="680"/>
      <c r="Y260" s="680"/>
      <c r="Z260" s="680"/>
      <c r="AA260" s="680"/>
      <c r="AB260" s="680"/>
      <c r="AC260" s="681"/>
      <c r="AD260" s="677" t="str">
        <f>Calcu_ADJ!M12</f>
        <v/>
      </c>
      <c r="AE260" s="680"/>
      <c r="AF260" s="680"/>
      <c r="AG260" s="680"/>
      <c r="AH260" s="680"/>
      <c r="AI260" s="680"/>
      <c r="AJ260" s="681"/>
      <c r="AK260" s="677" t="str">
        <f t="shared" si="32"/>
        <v/>
      </c>
      <c r="AL260" s="680"/>
      <c r="AM260" s="680"/>
      <c r="AN260" s="680"/>
      <c r="AO260" s="680"/>
      <c r="AP260" s="680"/>
      <c r="AQ260" s="681"/>
      <c r="AR260" s="92"/>
      <c r="AS260" s="92"/>
      <c r="AT260" s="374"/>
    </row>
    <row r="261" spans="1:46" ht="18" customHeight="1">
      <c r="A261" s="387"/>
      <c r="B261" s="674">
        <f>Calcu_ADJ!C13</f>
        <v>5</v>
      </c>
      <c r="C261" s="675"/>
      <c r="D261" s="675"/>
      <c r="E261" s="675"/>
      <c r="F261" s="675"/>
      <c r="G261" s="675"/>
      <c r="H261" s="676"/>
      <c r="I261" s="677" t="str">
        <f>Calcu_ADJ!E13</f>
        <v/>
      </c>
      <c r="J261" s="678"/>
      <c r="K261" s="678"/>
      <c r="L261" s="678"/>
      <c r="M261" s="678"/>
      <c r="N261" s="678"/>
      <c r="O261" s="679"/>
      <c r="P261" s="677" t="str">
        <f>Calcu_ADJ!K13</f>
        <v/>
      </c>
      <c r="Q261" s="680"/>
      <c r="R261" s="680"/>
      <c r="S261" s="680"/>
      <c r="T261" s="680"/>
      <c r="U261" s="680"/>
      <c r="V261" s="681"/>
      <c r="W261" s="677" t="str">
        <f>Calcu_ADJ!L13</f>
        <v/>
      </c>
      <c r="X261" s="680"/>
      <c r="Y261" s="680"/>
      <c r="Z261" s="680"/>
      <c r="AA261" s="680"/>
      <c r="AB261" s="680"/>
      <c r="AC261" s="681"/>
      <c r="AD261" s="677" t="str">
        <f>Calcu_ADJ!M13</f>
        <v/>
      </c>
      <c r="AE261" s="680"/>
      <c r="AF261" s="680"/>
      <c r="AG261" s="680"/>
      <c r="AH261" s="680"/>
      <c r="AI261" s="680"/>
      <c r="AJ261" s="681"/>
      <c r="AK261" s="677" t="str">
        <f t="shared" si="32"/>
        <v/>
      </c>
      <c r="AL261" s="680"/>
      <c r="AM261" s="680"/>
      <c r="AN261" s="680"/>
      <c r="AO261" s="680"/>
      <c r="AP261" s="680"/>
      <c r="AQ261" s="681"/>
      <c r="AR261" s="92"/>
      <c r="AS261" s="92"/>
      <c r="AT261" s="374"/>
    </row>
    <row r="262" spans="1:46" ht="18" customHeight="1">
      <c r="A262" s="387"/>
      <c r="B262" s="674">
        <f>Calcu_ADJ!C14</f>
        <v>6</v>
      </c>
      <c r="C262" s="675"/>
      <c r="D262" s="675"/>
      <c r="E262" s="675"/>
      <c r="F262" s="675"/>
      <c r="G262" s="675"/>
      <c r="H262" s="676"/>
      <c r="I262" s="677" t="str">
        <f>Calcu_ADJ!E14</f>
        <v/>
      </c>
      <c r="J262" s="678"/>
      <c r="K262" s="678"/>
      <c r="L262" s="678"/>
      <c r="M262" s="678"/>
      <c r="N262" s="678"/>
      <c r="O262" s="679"/>
      <c r="P262" s="677" t="str">
        <f>Calcu_ADJ!K14</f>
        <v/>
      </c>
      <c r="Q262" s="680"/>
      <c r="R262" s="680"/>
      <c r="S262" s="680"/>
      <c r="T262" s="680"/>
      <c r="U262" s="680"/>
      <c r="V262" s="681"/>
      <c r="W262" s="677" t="str">
        <f>Calcu_ADJ!L14</f>
        <v/>
      </c>
      <c r="X262" s="680"/>
      <c r="Y262" s="680"/>
      <c r="Z262" s="680"/>
      <c r="AA262" s="680"/>
      <c r="AB262" s="680"/>
      <c r="AC262" s="681"/>
      <c r="AD262" s="677" t="str">
        <f>Calcu_ADJ!M14</f>
        <v/>
      </c>
      <c r="AE262" s="680"/>
      <c r="AF262" s="680"/>
      <c r="AG262" s="680"/>
      <c r="AH262" s="680"/>
      <c r="AI262" s="680"/>
      <c r="AJ262" s="681"/>
      <c r="AK262" s="677" t="str">
        <f t="shared" si="32"/>
        <v/>
      </c>
      <c r="AL262" s="680"/>
      <c r="AM262" s="680"/>
      <c r="AN262" s="680"/>
      <c r="AO262" s="680"/>
      <c r="AP262" s="680"/>
      <c r="AQ262" s="681"/>
      <c r="AR262" s="92"/>
      <c r="AS262" s="92"/>
      <c r="AT262" s="374"/>
    </row>
    <row r="263" spans="1:46" ht="18" customHeight="1">
      <c r="A263" s="387"/>
      <c r="B263" s="674">
        <f>Calcu_ADJ!C15</f>
        <v>7</v>
      </c>
      <c r="C263" s="675"/>
      <c r="D263" s="675"/>
      <c r="E263" s="675"/>
      <c r="F263" s="675"/>
      <c r="G263" s="675"/>
      <c r="H263" s="676"/>
      <c r="I263" s="677" t="str">
        <f>Calcu_ADJ!E15</f>
        <v/>
      </c>
      <c r="J263" s="678"/>
      <c r="K263" s="678"/>
      <c r="L263" s="678"/>
      <c r="M263" s="678"/>
      <c r="N263" s="678"/>
      <c r="O263" s="679"/>
      <c r="P263" s="677" t="str">
        <f>Calcu_ADJ!K15</f>
        <v/>
      </c>
      <c r="Q263" s="680"/>
      <c r="R263" s="680"/>
      <c r="S263" s="680"/>
      <c r="T263" s="680"/>
      <c r="U263" s="680"/>
      <c r="V263" s="681"/>
      <c r="W263" s="677" t="str">
        <f>Calcu_ADJ!L15</f>
        <v/>
      </c>
      <c r="X263" s="680"/>
      <c r="Y263" s="680"/>
      <c r="Z263" s="680"/>
      <c r="AA263" s="680"/>
      <c r="AB263" s="680"/>
      <c r="AC263" s="681"/>
      <c r="AD263" s="677" t="str">
        <f>Calcu_ADJ!M15</f>
        <v/>
      </c>
      <c r="AE263" s="680"/>
      <c r="AF263" s="680"/>
      <c r="AG263" s="680"/>
      <c r="AH263" s="680"/>
      <c r="AI263" s="680"/>
      <c r="AJ263" s="681"/>
      <c r="AK263" s="677" t="str">
        <f t="shared" si="32"/>
        <v/>
      </c>
      <c r="AL263" s="680"/>
      <c r="AM263" s="680"/>
      <c r="AN263" s="680"/>
      <c r="AO263" s="680"/>
      <c r="AP263" s="680"/>
      <c r="AQ263" s="681"/>
      <c r="AR263" s="92"/>
      <c r="AS263" s="92"/>
      <c r="AT263" s="374"/>
    </row>
    <row r="264" spans="1:46" ht="18" customHeight="1">
      <c r="A264" s="387"/>
      <c r="B264" s="674">
        <f>Calcu_ADJ!C16</f>
        <v>8</v>
      </c>
      <c r="C264" s="675"/>
      <c r="D264" s="675"/>
      <c r="E264" s="675"/>
      <c r="F264" s="675"/>
      <c r="G264" s="675"/>
      <c r="H264" s="676"/>
      <c r="I264" s="677" t="str">
        <f>Calcu_ADJ!E16</f>
        <v/>
      </c>
      <c r="J264" s="678"/>
      <c r="K264" s="678"/>
      <c r="L264" s="678"/>
      <c r="M264" s="678"/>
      <c r="N264" s="678"/>
      <c r="O264" s="679"/>
      <c r="P264" s="677" t="str">
        <f>Calcu_ADJ!K16</f>
        <v/>
      </c>
      <c r="Q264" s="680"/>
      <c r="R264" s="680"/>
      <c r="S264" s="680"/>
      <c r="T264" s="680"/>
      <c r="U264" s="680"/>
      <c r="V264" s="681"/>
      <c r="W264" s="677" t="str">
        <f>Calcu_ADJ!L16</f>
        <v/>
      </c>
      <c r="X264" s="680"/>
      <c r="Y264" s="680"/>
      <c r="Z264" s="680"/>
      <c r="AA264" s="680"/>
      <c r="AB264" s="680"/>
      <c r="AC264" s="681"/>
      <c r="AD264" s="677" t="str">
        <f>Calcu_ADJ!M16</f>
        <v/>
      </c>
      <c r="AE264" s="680"/>
      <c r="AF264" s="680"/>
      <c r="AG264" s="680"/>
      <c r="AH264" s="680"/>
      <c r="AI264" s="680"/>
      <c r="AJ264" s="681"/>
      <c r="AK264" s="677" t="str">
        <f t="shared" si="32"/>
        <v/>
      </c>
      <c r="AL264" s="680"/>
      <c r="AM264" s="680"/>
      <c r="AN264" s="680"/>
      <c r="AO264" s="680"/>
      <c r="AP264" s="680"/>
      <c r="AQ264" s="681"/>
      <c r="AR264" s="92"/>
      <c r="AS264" s="92"/>
      <c r="AT264" s="374"/>
    </row>
    <row r="265" spans="1:46" ht="18" customHeight="1">
      <c r="A265" s="387"/>
      <c r="B265" s="674">
        <f>Calcu_ADJ!C17</f>
        <v>9</v>
      </c>
      <c r="C265" s="675"/>
      <c r="D265" s="675"/>
      <c r="E265" s="675"/>
      <c r="F265" s="675"/>
      <c r="G265" s="675"/>
      <c r="H265" s="676"/>
      <c r="I265" s="677" t="str">
        <f>Calcu_ADJ!E17</f>
        <v/>
      </c>
      <c r="J265" s="678"/>
      <c r="K265" s="678"/>
      <c r="L265" s="678"/>
      <c r="M265" s="678"/>
      <c r="N265" s="678"/>
      <c r="O265" s="679"/>
      <c r="P265" s="677" t="str">
        <f>Calcu_ADJ!K17</f>
        <v/>
      </c>
      <c r="Q265" s="680"/>
      <c r="R265" s="680"/>
      <c r="S265" s="680"/>
      <c r="T265" s="680"/>
      <c r="U265" s="680"/>
      <c r="V265" s="681"/>
      <c r="W265" s="677" t="str">
        <f>Calcu_ADJ!L17</f>
        <v/>
      </c>
      <c r="X265" s="680"/>
      <c r="Y265" s="680"/>
      <c r="Z265" s="680"/>
      <c r="AA265" s="680"/>
      <c r="AB265" s="680"/>
      <c r="AC265" s="681"/>
      <c r="AD265" s="677" t="str">
        <f>Calcu_ADJ!M17</f>
        <v/>
      </c>
      <c r="AE265" s="680"/>
      <c r="AF265" s="680"/>
      <c r="AG265" s="680"/>
      <c r="AH265" s="680"/>
      <c r="AI265" s="680"/>
      <c r="AJ265" s="681"/>
      <c r="AK265" s="677" t="str">
        <f t="shared" si="32"/>
        <v/>
      </c>
      <c r="AL265" s="680"/>
      <c r="AM265" s="680"/>
      <c r="AN265" s="680"/>
      <c r="AO265" s="680"/>
      <c r="AP265" s="680"/>
      <c r="AQ265" s="681"/>
      <c r="AR265" s="92"/>
      <c r="AS265" s="92"/>
      <c r="AT265" s="374"/>
    </row>
    <row r="266" spans="1:46" ht="18" customHeight="1">
      <c r="A266" s="387"/>
      <c r="B266" s="674">
        <f>Calcu_ADJ!C18</f>
        <v>10</v>
      </c>
      <c r="C266" s="675"/>
      <c r="D266" s="675"/>
      <c r="E266" s="675"/>
      <c r="F266" s="675"/>
      <c r="G266" s="675"/>
      <c r="H266" s="676"/>
      <c r="I266" s="677" t="str">
        <f>Calcu_ADJ!E18</f>
        <v/>
      </c>
      <c r="J266" s="678"/>
      <c r="K266" s="678"/>
      <c r="L266" s="678"/>
      <c r="M266" s="678"/>
      <c r="N266" s="678"/>
      <c r="O266" s="679"/>
      <c r="P266" s="677" t="str">
        <f>Calcu_ADJ!K18</f>
        <v/>
      </c>
      <c r="Q266" s="680"/>
      <c r="R266" s="680"/>
      <c r="S266" s="680"/>
      <c r="T266" s="680"/>
      <c r="U266" s="680"/>
      <c r="V266" s="681"/>
      <c r="W266" s="677" t="str">
        <f>Calcu_ADJ!L18</f>
        <v/>
      </c>
      <c r="X266" s="680"/>
      <c r="Y266" s="680"/>
      <c r="Z266" s="680"/>
      <c r="AA266" s="680"/>
      <c r="AB266" s="680"/>
      <c r="AC266" s="681"/>
      <c r="AD266" s="677" t="str">
        <f>Calcu_ADJ!M18</f>
        <v/>
      </c>
      <c r="AE266" s="680"/>
      <c r="AF266" s="680"/>
      <c r="AG266" s="680"/>
      <c r="AH266" s="680"/>
      <c r="AI266" s="680"/>
      <c r="AJ266" s="681"/>
      <c r="AK266" s="677" t="str">
        <f t="shared" si="32"/>
        <v/>
      </c>
      <c r="AL266" s="680"/>
      <c r="AM266" s="680"/>
      <c r="AN266" s="680"/>
      <c r="AO266" s="680"/>
      <c r="AP266" s="680"/>
      <c r="AQ266" s="681"/>
      <c r="AR266" s="92"/>
      <c r="AS266" s="92"/>
      <c r="AT266" s="374"/>
    </row>
    <row r="267" spans="1:46" ht="18" customHeight="1">
      <c r="A267" s="387"/>
      <c r="B267" s="674">
        <f>Calcu_ADJ!C19</f>
        <v>11</v>
      </c>
      <c r="C267" s="675"/>
      <c r="D267" s="675"/>
      <c r="E267" s="675"/>
      <c r="F267" s="675"/>
      <c r="G267" s="675"/>
      <c r="H267" s="676"/>
      <c r="I267" s="677" t="str">
        <f>Calcu_ADJ!E19</f>
        <v/>
      </c>
      <c r="J267" s="678"/>
      <c r="K267" s="678"/>
      <c r="L267" s="678"/>
      <c r="M267" s="678"/>
      <c r="N267" s="678"/>
      <c r="O267" s="679"/>
      <c r="P267" s="677" t="str">
        <f>Calcu_ADJ!K19</f>
        <v/>
      </c>
      <c r="Q267" s="680"/>
      <c r="R267" s="680"/>
      <c r="S267" s="680"/>
      <c r="T267" s="680"/>
      <c r="U267" s="680"/>
      <c r="V267" s="681"/>
      <c r="W267" s="677" t="str">
        <f>Calcu_ADJ!L19</f>
        <v/>
      </c>
      <c r="X267" s="680"/>
      <c r="Y267" s="680"/>
      <c r="Z267" s="680"/>
      <c r="AA267" s="680"/>
      <c r="AB267" s="680"/>
      <c r="AC267" s="681"/>
      <c r="AD267" s="677" t="str">
        <f>Calcu_ADJ!M19</f>
        <v/>
      </c>
      <c r="AE267" s="680"/>
      <c r="AF267" s="680"/>
      <c r="AG267" s="680"/>
      <c r="AH267" s="680"/>
      <c r="AI267" s="680"/>
      <c r="AJ267" s="681"/>
      <c r="AK267" s="677" t="str">
        <f t="shared" si="32"/>
        <v/>
      </c>
      <c r="AL267" s="680"/>
      <c r="AM267" s="680"/>
      <c r="AN267" s="680"/>
      <c r="AO267" s="680"/>
      <c r="AP267" s="680"/>
      <c r="AQ267" s="681"/>
      <c r="AR267" s="92"/>
      <c r="AS267" s="92"/>
      <c r="AT267" s="374"/>
    </row>
    <row r="268" spans="1:46" ht="18" customHeight="1">
      <c r="A268" s="387"/>
      <c r="B268" s="674">
        <f>Calcu_ADJ!C20</f>
        <v>12</v>
      </c>
      <c r="C268" s="675"/>
      <c r="D268" s="675"/>
      <c r="E268" s="675"/>
      <c r="F268" s="675"/>
      <c r="G268" s="675"/>
      <c r="H268" s="676"/>
      <c r="I268" s="677" t="str">
        <f>Calcu_ADJ!E20</f>
        <v/>
      </c>
      <c r="J268" s="678"/>
      <c r="K268" s="678"/>
      <c r="L268" s="678"/>
      <c r="M268" s="678"/>
      <c r="N268" s="678"/>
      <c r="O268" s="679"/>
      <c r="P268" s="677" t="str">
        <f>Calcu_ADJ!K20</f>
        <v/>
      </c>
      <c r="Q268" s="680"/>
      <c r="R268" s="680"/>
      <c r="S268" s="680"/>
      <c r="T268" s="680"/>
      <c r="U268" s="680"/>
      <c r="V268" s="681"/>
      <c r="W268" s="677" t="str">
        <f>Calcu_ADJ!L20</f>
        <v/>
      </c>
      <c r="X268" s="680"/>
      <c r="Y268" s="680"/>
      <c r="Z268" s="680"/>
      <c r="AA268" s="680"/>
      <c r="AB268" s="680"/>
      <c r="AC268" s="681"/>
      <c r="AD268" s="677" t="str">
        <f>Calcu_ADJ!M20</f>
        <v/>
      </c>
      <c r="AE268" s="680"/>
      <c r="AF268" s="680"/>
      <c r="AG268" s="680"/>
      <c r="AH268" s="680"/>
      <c r="AI268" s="680"/>
      <c r="AJ268" s="681"/>
      <c r="AK268" s="677" t="str">
        <f t="shared" si="32"/>
        <v/>
      </c>
      <c r="AL268" s="680"/>
      <c r="AM268" s="680"/>
      <c r="AN268" s="680"/>
      <c r="AO268" s="680"/>
      <c r="AP268" s="680"/>
      <c r="AQ268" s="681"/>
      <c r="AR268" s="92"/>
      <c r="AS268" s="92"/>
      <c r="AT268" s="374"/>
    </row>
    <row r="269" spans="1:46" ht="18" customHeight="1">
      <c r="A269" s="387"/>
      <c r="B269" s="674">
        <f>Calcu_ADJ!C21</f>
        <v>13</v>
      </c>
      <c r="C269" s="675"/>
      <c r="D269" s="675"/>
      <c r="E269" s="675"/>
      <c r="F269" s="675"/>
      <c r="G269" s="675"/>
      <c r="H269" s="676"/>
      <c r="I269" s="677" t="str">
        <f>Calcu_ADJ!E21</f>
        <v/>
      </c>
      <c r="J269" s="678"/>
      <c r="K269" s="678"/>
      <c r="L269" s="678"/>
      <c r="M269" s="678"/>
      <c r="N269" s="678"/>
      <c r="O269" s="679"/>
      <c r="P269" s="677" t="str">
        <f>Calcu_ADJ!K21</f>
        <v/>
      </c>
      <c r="Q269" s="680"/>
      <c r="R269" s="680"/>
      <c r="S269" s="680"/>
      <c r="T269" s="680"/>
      <c r="U269" s="680"/>
      <c r="V269" s="681"/>
      <c r="W269" s="677" t="str">
        <f>Calcu_ADJ!L21</f>
        <v/>
      </c>
      <c r="X269" s="680"/>
      <c r="Y269" s="680"/>
      <c r="Z269" s="680"/>
      <c r="AA269" s="680"/>
      <c r="AB269" s="680"/>
      <c r="AC269" s="681"/>
      <c r="AD269" s="677" t="str">
        <f>Calcu_ADJ!M21</f>
        <v/>
      </c>
      <c r="AE269" s="680"/>
      <c r="AF269" s="680"/>
      <c r="AG269" s="680"/>
      <c r="AH269" s="680"/>
      <c r="AI269" s="680"/>
      <c r="AJ269" s="681"/>
      <c r="AK269" s="677" t="str">
        <f t="shared" si="32"/>
        <v/>
      </c>
      <c r="AL269" s="680"/>
      <c r="AM269" s="680"/>
      <c r="AN269" s="680"/>
      <c r="AO269" s="680"/>
      <c r="AP269" s="680"/>
      <c r="AQ269" s="681"/>
      <c r="AR269" s="92"/>
      <c r="AS269" s="92"/>
      <c r="AT269" s="374"/>
    </row>
    <row r="270" spans="1:46" ht="18" customHeight="1">
      <c r="A270" s="387"/>
      <c r="B270" s="674">
        <f>Calcu_ADJ!C22</f>
        <v>14</v>
      </c>
      <c r="C270" s="675"/>
      <c r="D270" s="675"/>
      <c r="E270" s="675"/>
      <c r="F270" s="675"/>
      <c r="G270" s="675"/>
      <c r="H270" s="676"/>
      <c r="I270" s="677" t="str">
        <f>Calcu_ADJ!E22</f>
        <v/>
      </c>
      <c r="J270" s="678"/>
      <c r="K270" s="678"/>
      <c r="L270" s="678"/>
      <c r="M270" s="678"/>
      <c r="N270" s="678"/>
      <c r="O270" s="679"/>
      <c r="P270" s="677" t="str">
        <f>Calcu_ADJ!K22</f>
        <v/>
      </c>
      <c r="Q270" s="680"/>
      <c r="R270" s="680"/>
      <c r="S270" s="680"/>
      <c r="T270" s="680"/>
      <c r="U270" s="680"/>
      <c r="V270" s="681"/>
      <c r="W270" s="677" t="str">
        <f>Calcu_ADJ!L22</f>
        <v/>
      </c>
      <c r="X270" s="680"/>
      <c r="Y270" s="680"/>
      <c r="Z270" s="680"/>
      <c r="AA270" s="680"/>
      <c r="AB270" s="680"/>
      <c r="AC270" s="681"/>
      <c r="AD270" s="677" t="str">
        <f>Calcu_ADJ!M22</f>
        <v/>
      </c>
      <c r="AE270" s="680"/>
      <c r="AF270" s="680"/>
      <c r="AG270" s="680"/>
      <c r="AH270" s="680"/>
      <c r="AI270" s="680"/>
      <c r="AJ270" s="681"/>
      <c r="AK270" s="677" t="str">
        <f t="shared" si="32"/>
        <v/>
      </c>
      <c r="AL270" s="680"/>
      <c r="AM270" s="680"/>
      <c r="AN270" s="680"/>
      <c r="AO270" s="680"/>
      <c r="AP270" s="680"/>
      <c r="AQ270" s="681"/>
      <c r="AR270" s="92"/>
      <c r="AS270" s="92"/>
      <c r="AT270" s="374"/>
    </row>
    <row r="271" spans="1:46" ht="18" customHeight="1">
      <c r="A271" s="387"/>
      <c r="B271" s="674">
        <f>Calcu_ADJ!C23</f>
        <v>15</v>
      </c>
      <c r="C271" s="675"/>
      <c r="D271" s="675"/>
      <c r="E271" s="675"/>
      <c r="F271" s="675"/>
      <c r="G271" s="675"/>
      <c r="H271" s="676"/>
      <c r="I271" s="677" t="str">
        <f>Calcu_ADJ!E23</f>
        <v/>
      </c>
      <c r="J271" s="678"/>
      <c r="K271" s="678"/>
      <c r="L271" s="678"/>
      <c r="M271" s="678"/>
      <c r="N271" s="678"/>
      <c r="O271" s="679"/>
      <c r="P271" s="677" t="str">
        <f>Calcu_ADJ!K23</f>
        <v/>
      </c>
      <c r="Q271" s="680"/>
      <c r="R271" s="680"/>
      <c r="S271" s="680"/>
      <c r="T271" s="680"/>
      <c r="U271" s="680"/>
      <c r="V271" s="681"/>
      <c r="W271" s="677" t="str">
        <f>Calcu_ADJ!L23</f>
        <v/>
      </c>
      <c r="X271" s="680"/>
      <c r="Y271" s="680"/>
      <c r="Z271" s="680"/>
      <c r="AA271" s="680"/>
      <c r="AB271" s="680"/>
      <c r="AC271" s="681"/>
      <c r="AD271" s="677" t="str">
        <f>Calcu_ADJ!M23</f>
        <v/>
      </c>
      <c r="AE271" s="680"/>
      <c r="AF271" s="680"/>
      <c r="AG271" s="680"/>
      <c r="AH271" s="680"/>
      <c r="AI271" s="680"/>
      <c r="AJ271" s="681"/>
      <c r="AK271" s="677" t="str">
        <f t="shared" si="32"/>
        <v/>
      </c>
      <c r="AL271" s="680"/>
      <c r="AM271" s="680"/>
      <c r="AN271" s="680"/>
      <c r="AO271" s="680"/>
      <c r="AP271" s="680"/>
      <c r="AQ271" s="681"/>
      <c r="AR271" s="92"/>
      <c r="AS271" s="92"/>
      <c r="AT271" s="374"/>
    </row>
    <row r="272" spans="1:46" ht="18" customHeight="1">
      <c r="A272" s="387"/>
      <c r="B272" s="674">
        <f>Calcu_ADJ!C24</f>
        <v>16</v>
      </c>
      <c r="C272" s="675"/>
      <c r="D272" s="675"/>
      <c r="E272" s="675"/>
      <c r="F272" s="675"/>
      <c r="G272" s="675"/>
      <c r="H272" s="676"/>
      <c r="I272" s="677" t="str">
        <f>Calcu_ADJ!E24</f>
        <v/>
      </c>
      <c r="J272" s="678"/>
      <c r="K272" s="678"/>
      <c r="L272" s="678"/>
      <c r="M272" s="678"/>
      <c r="N272" s="678"/>
      <c r="O272" s="679"/>
      <c r="P272" s="677" t="str">
        <f>Calcu_ADJ!K24</f>
        <v/>
      </c>
      <c r="Q272" s="680"/>
      <c r="R272" s="680"/>
      <c r="S272" s="680"/>
      <c r="T272" s="680"/>
      <c r="U272" s="680"/>
      <c r="V272" s="681"/>
      <c r="W272" s="677" t="str">
        <f>Calcu_ADJ!L24</f>
        <v/>
      </c>
      <c r="X272" s="680"/>
      <c r="Y272" s="680"/>
      <c r="Z272" s="680"/>
      <c r="AA272" s="680"/>
      <c r="AB272" s="680"/>
      <c r="AC272" s="681"/>
      <c r="AD272" s="677" t="str">
        <f>Calcu_ADJ!M24</f>
        <v/>
      </c>
      <c r="AE272" s="680"/>
      <c r="AF272" s="680"/>
      <c r="AG272" s="680"/>
      <c r="AH272" s="680"/>
      <c r="AI272" s="680"/>
      <c r="AJ272" s="681"/>
      <c r="AK272" s="677" t="str">
        <f t="shared" si="32"/>
        <v/>
      </c>
      <c r="AL272" s="680"/>
      <c r="AM272" s="680"/>
      <c r="AN272" s="680"/>
      <c r="AO272" s="680"/>
      <c r="AP272" s="680"/>
      <c r="AQ272" s="681"/>
      <c r="AR272" s="92"/>
      <c r="AS272" s="92"/>
      <c r="AT272" s="374"/>
    </row>
    <row r="273" spans="1:46" ht="18" customHeight="1">
      <c r="A273" s="387"/>
      <c r="B273" s="674">
        <f>Calcu_ADJ!C25</f>
        <v>17</v>
      </c>
      <c r="C273" s="675"/>
      <c r="D273" s="675"/>
      <c r="E273" s="675"/>
      <c r="F273" s="675"/>
      <c r="G273" s="675"/>
      <c r="H273" s="676"/>
      <c r="I273" s="677" t="str">
        <f>Calcu_ADJ!E25</f>
        <v/>
      </c>
      <c r="J273" s="678"/>
      <c r="K273" s="678"/>
      <c r="L273" s="678"/>
      <c r="M273" s="678"/>
      <c r="N273" s="678"/>
      <c r="O273" s="679"/>
      <c r="P273" s="677" t="str">
        <f>Calcu_ADJ!K25</f>
        <v/>
      </c>
      <c r="Q273" s="680"/>
      <c r="R273" s="680"/>
      <c r="S273" s="680"/>
      <c r="T273" s="680"/>
      <c r="U273" s="680"/>
      <c r="V273" s="681"/>
      <c r="W273" s="677" t="str">
        <f>Calcu_ADJ!L25</f>
        <v/>
      </c>
      <c r="X273" s="680"/>
      <c r="Y273" s="680"/>
      <c r="Z273" s="680"/>
      <c r="AA273" s="680"/>
      <c r="AB273" s="680"/>
      <c r="AC273" s="681"/>
      <c r="AD273" s="677" t="str">
        <f>Calcu_ADJ!M25</f>
        <v/>
      </c>
      <c r="AE273" s="680"/>
      <c r="AF273" s="680"/>
      <c r="AG273" s="680"/>
      <c r="AH273" s="680"/>
      <c r="AI273" s="680"/>
      <c r="AJ273" s="681"/>
      <c r="AK273" s="677" t="str">
        <f t="shared" si="32"/>
        <v/>
      </c>
      <c r="AL273" s="680"/>
      <c r="AM273" s="680"/>
      <c r="AN273" s="680"/>
      <c r="AO273" s="680"/>
      <c r="AP273" s="680"/>
      <c r="AQ273" s="681"/>
      <c r="AR273" s="92"/>
      <c r="AS273" s="92"/>
      <c r="AT273" s="374"/>
    </row>
    <row r="274" spans="1:46" ht="18" customHeight="1">
      <c r="A274" s="387"/>
      <c r="B274" s="674">
        <f>Calcu_ADJ!C26</f>
        <v>18</v>
      </c>
      <c r="C274" s="675"/>
      <c r="D274" s="675"/>
      <c r="E274" s="675"/>
      <c r="F274" s="675"/>
      <c r="G274" s="675"/>
      <c r="H274" s="676"/>
      <c r="I274" s="677" t="str">
        <f>Calcu_ADJ!E26</f>
        <v/>
      </c>
      <c r="J274" s="678"/>
      <c r="K274" s="678"/>
      <c r="L274" s="678"/>
      <c r="M274" s="678"/>
      <c r="N274" s="678"/>
      <c r="O274" s="679"/>
      <c r="P274" s="677" t="str">
        <f>Calcu_ADJ!K26</f>
        <v/>
      </c>
      <c r="Q274" s="680"/>
      <c r="R274" s="680"/>
      <c r="S274" s="680"/>
      <c r="T274" s="680"/>
      <c r="U274" s="680"/>
      <c r="V274" s="681"/>
      <c r="W274" s="677" t="str">
        <f>Calcu_ADJ!L26</f>
        <v/>
      </c>
      <c r="X274" s="680"/>
      <c r="Y274" s="680"/>
      <c r="Z274" s="680"/>
      <c r="AA274" s="680"/>
      <c r="AB274" s="680"/>
      <c r="AC274" s="681"/>
      <c r="AD274" s="677" t="str">
        <f>Calcu_ADJ!M26</f>
        <v/>
      </c>
      <c r="AE274" s="680"/>
      <c r="AF274" s="680"/>
      <c r="AG274" s="680"/>
      <c r="AH274" s="680"/>
      <c r="AI274" s="680"/>
      <c r="AJ274" s="681"/>
      <c r="AK274" s="677" t="str">
        <f t="shared" si="32"/>
        <v/>
      </c>
      <c r="AL274" s="680"/>
      <c r="AM274" s="680"/>
      <c r="AN274" s="680"/>
      <c r="AO274" s="680"/>
      <c r="AP274" s="680"/>
      <c r="AQ274" s="681"/>
      <c r="AR274" s="92"/>
      <c r="AS274" s="92"/>
      <c r="AT274" s="374"/>
    </row>
    <row r="275" spans="1:46" ht="18" customHeight="1">
      <c r="A275" s="387"/>
      <c r="B275" s="674">
        <f>Calcu_ADJ!C27</f>
        <v>19</v>
      </c>
      <c r="C275" s="675"/>
      <c r="D275" s="675"/>
      <c r="E275" s="675"/>
      <c r="F275" s="675"/>
      <c r="G275" s="675"/>
      <c r="H275" s="676"/>
      <c r="I275" s="677" t="str">
        <f>Calcu_ADJ!E27</f>
        <v/>
      </c>
      <c r="J275" s="678"/>
      <c r="K275" s="678"/>
      <c r="L275" s="678"/>
      <c r="M275" s="678"/>
      <c r="N275" s="678"/>
      <c r="O275" s="679"/>
      <c r="P275" s="677" t="str">
        <f>Calcu_ADJ!K27</f>
        <v/>
      </c>
      <c r="Q275" s="680"/>
      <c r="R275" s="680"/>
      <c r="S275" s="680"/>
      <c r="T275" s="680"/>
      <c r="U275" s="680"/>
      <c r="V275" s="681"/>
      <c r="W275" s="677" t="str">
        <f>Calcu_ADJ!L27</f>
        <v/>
      </c>
      <c r="X275" s="680"/>
      <c r="Y275" s="680"/>
      <c r="Z275" s="680"/>
      <c r="AA275" s="680"/>
      <c r="AB275" s="680"/>
      <c r="AC275" s="681"/>
      <c r="AD275" s="677" t="str">
        <f>Calcu_ADJ!M27</f>
        <v/>
      </c>
      <c r="AE275" s="680"/>
      <c r="AF275" s="680"/>
      <c r="AG275" s="680"/>
      <c r="AH275" s="680"/>
      <c r="AI275" s="680"/>
      <c r="AJ275" s="681"/>
      <c r="AK275" s="677" t="str">
        <f t="shared" si="32"/>
        <v/>
      </c>
      <c r="AL275" s="680"/>
      <c r="AM275" s="680"/>
      <c r="AN275" s="680"/>
      <c r="AO275" s="680"/>
      <c r="AP275" s="680"/>
      <c r="AQ275" s="681"/>
      <c r="AR275" s="92"/>
      <c r="AS275" s="92"/>
      <c r="AT275" s="374"/>
    </row>
    <row r="276" spans="1:46" ht="18" customHeight="1">
      <c r="A276" s="387"/>
      <c r="B276" s="674">
        <f>Calcu_ADJ!C28</f>
        <v>20</v>
      </c>
      <c r="C276" s="675"/>
      <c r="D276" s="675"/>
      <c r="E276" s="675"/>
      <c r="F276" s="675"/>
      <c r="G276" s="675"/>
      <c r="H276" s="676"/>
      <c r="I276" s="677" t="str">
        <f>Calcu_ADJ!E28</f>
        <v/>
      </c>
      <c r="J276" s="678"/>
      <c r="K276" s="678"/>
      <c r="L276" s="678"/>
      <c r="M276" s="678"/>
      <c r="N276" s="678"/>
      <c r="O276" s="679"/>
      <c r="P276" s="677" t="str">
        <f>Calcu_ADJ!K28</f>
        <v/>
      </c>
      <c r="Q276" s="680"/>
      <c r="R276" s="680"/>
      <c r="S276" s="680"/>
      <c r="T276" s="680"/>
      <c r="U276" s="680"/>
      <c r="V276" s="681"/>
      <c r="W276" s="677" t="str">
        <f>Calcu_ADJ!L28</f>
        <v/>
      </c>
      <c r="X276" s="680"/>
      <c r="Y276" s="680"/>
      <c r="Z276" s="680"/>
      <c r="AA276" s="680"/>
      <c r="AB276" s="680"/>
      <c r="AC276" s="681"/>
      <c r="AD276" s="677" t="str">
        <f>Calcu_ADJ!M28</f>
        <v/>
      </c>
      <c r="AE276" s="680"/>
      <c r="AF276" s="680"/>
      <c r="AG276" s="680"/>
      <c r="AH276" s="680"/>
      <c r="AI276" s="680"/>
      <c r="AJ276" s="681"/>
      <c r="AK276" s="677" t="str">
        <f t="shared" si="32"/>
        <v/>
      </c>
      <c r="AL276" s="680"/>
      <c r="AM276" s="680"/>
      <c r="AN276" s="680"/>
      <c r="AO276" s="680"/>
      <c r="AP276" s="680"/>
      <c r="AQ276" s="681"/>
      <c r="AR276" s="92"/>
      <c r="AS276" s="92"/>
      <c r="AT276" s="374"/>
    </row>
    <row r="277" spans="1:46" ht="18" customHeight="1">
      <c r="A277" s="387"/>
      <c r="B277" s="674">
        <f>Calcu_ADJ!C29</f>
        <v>21</v>
      </c>
      <c r="C277" s="675"/>
      <c r="D277" s="675"/>
      <c r="E277" s="675"/>
      <c r="F277" s="675"/>
      <c r="G277" s="675"/>
      <c r="H277" s="676"/>
      <c r="I277" s="677" t="str">
        <f>Calcu_ADJ!E29</f>
        <v/>
      </c>
      <c r="J277" s="678"/>
      <c r="K277" s="678"/>
      <c r="L277" s="678"/>
      <c r="M277" s="678"/>
      <c r="N277" s="678"/>
      <c r="O277" s="679"/>
      <c r="P277" s="677" t="str">
        <f>Calcu_ADJ!K29</f>
        <v/>
      </c>
      <c r="Q277" s="680"/>
      <c r="R277" s="680"/>
      <c r="S277" s="680"/>
      <c r="T277" s="680"/>
      <c r="U277" s="680"/>
      <c r="V277" s="681"/>
      <c r="W277" s="677" t="str">
        <f>Calcu_ADJ!L29</f>
        <v/>
      </c>
      <c r="X277" s="680"/>
      <c r="Y277" s="680"/>
      <c r="Z277" s="680"/>
      <c r="AA277" s="680"/>
      <c r="AB277" s="680"/>
      <c r="AC277" s="681"/>
      <c r="AD277" s="677" t="str">
        <f>Calcu_ADJ!M29</f>
        <v/>
      </c>
      <c r="AE277" s="680"/>
      <c r="AF277" s="680"/>
      <c r="AG277" s="680"/>
      <c r="AH277" s="680"/>
      <c r="AI277" s="680"/>
      <c r="AJ277" s="681"/>
      <c r="AK277" s="677" t="str">
        <f t="shared" si="32"/>
        <v/>
      </c>
      <c r="AL277" s="680"/>
      <c r="AM277" s="680"/>
      <c r="AN277" s="680"/>
      <c r="AO277" s="680"/>
      <c r="AP277" s="680"/>
      <c r="AQ277" s="681"/>
      <c r="AR277" s="92"/>
      <c r="AS277" s="92"/>
      <c r="AT277" s="374"/>
    </row>
    <row r="278" spans="1:46" ht="18" customHeight="1">
      <c r="A278" s="387"/>
      <c r="B278" s="674">
        <f>Calcu_ADJ!C30</f>
        <v>22</v>
      </c>
      <c r="C278" s="675"/>
      <c r="D278" s="675"/>
      <c r="E278" s="675"/>
      <c r="F278" s="675"/>
      <c r="G278" s="675"/>
      <c r="H278" s="676"/>
      <c r="I278" s="677" t="str">
        <f>Calcu_ADJ!E30</f>
        <v/>
      </c>
      <c r="J278" s="678"/>
      <c r="K278" s="678"/>
      <c r="L278" s="678"/>
      <c r="M278" s="678"/>
      <c r="N278" s="678"/>
      <c r="O278" s="679"/>
      <c r="P278" s="677" t="str">
        <f>Calcu_ADJ!K30</f>
        <v/>
      </c>
      <c r="Q278" s="680"/>
      <c r="R278" s="680"/>
      <c r="S278" s="680"/>
      <c r="T278" s="680"/>
      <c r="U278" s="680"/>
      <c r="V278" s="681"/>
      <c r="W278" s="677" t="str">
        <f>Calcu_ADJ!L30</f>
        <v/>
      </c>
      <c r="X278" s="680"/>
      <c r="Y278" s="680"/>
      <c r="Z278" s="680"/>
      <c r="AA278" s="680"/>
      <c r="AB278" s="680"/>
      <c r="AC278" s="681"/>
      <c r="AD278" s="677" t="str">
        <f>Calcu_ADJ!M30</f>
        <v/>
      </c>
      <c r="AE278" s="680"/>
      <c r="AF278" s="680"/>
      <c r="AG278" s="680"/>
      <c r="AH278" s="680"/>
      <c r="AI278" s="680"/>
      <c r="AJ278" s="681"/>
      <c r="AK278" s="677" t="str">
        <f t="shared" si="32"/>
        <v/>
      </c>
      <c r="AL278" s="680"/>
      <c r="AM278" s="680"/>
      <c r="AN278" s="680"/>
      <c r="AO278" s="680"/>
      <c r="AP278" s="680"/>
      <c r="AQ278" s="681"/>
      <c r="AR278" s="92"/>
      <c r="AS278" s="92"/>
      <c r="AT278" s="374"/>
    </row>
    <row r="279" spans="1:46" ht="18" customHeight="1">
      <c r="A279" s="387"/>
      <c r="B279" s="674">
        <f>Calcu_ADJ!C31</f>
        <v>23</v>
      </c>
      <c r="C279" s="675"/>
      <c r="D279" s="675"/>
      <c r="E279" s="675"/>
      <c r="F279" s="675"/>
      <c r="G279" s="675"/>
      <c r="H279" s="676"/>
      <c r="I279" s="677" t="str">
        <f>Calcu_ADJ!E31</f>
        <v/>
      </c>
      <c r="J279" s="678"/>
      <c r="K279" s="678"/>
      <c r="L279" s="678"/>
      <c r="M279" s="678"/>
      <c r="N279" s="678"/>
      <c r="O279" s="679"/>
      <c r="P279" s="677" t="str">
        <f>Calcu_ADJ!K31</f>
        <v/>
      </c>
      <c r="Q279" s="680"/>
      <c r="R279" s="680"/>
      <c r="S279" s="680"/>
      <c r="T279" s="680"/>
      <c r="U279" s="680"/>
      <c r="V279" s="681"/>
      <c r="W279" s="677" t="str">
        <f>Calcu_ADJ!L31</f>
        <v/>
      </c>
      <c r="X279" s="680"/>
      <c r="Y279" s="680"/>
      <c r="Z279" s="680"/>
      <c r="AA279" s="680"/>
      <c r="AB279" s="680"/>
      <c r="AC279" s="681"/>
      <c r="AD279" s="677" t="str">
        <f>Calcu_ADJ!M31</f>
        <v/>
      </c>
      <c r="AE279" s="680"/>
      <c r="AF279" s="680"/>
      <c r="AG279" s="680"/>
      <c r="AH279" s="680"/>
      <c r="AI279" s="680"/>
      <c r="AJ279" s="681"/>
      <c r="AK279" s="677" t="str">
        <f t="shared" si="32"/>
        <v/>
      </c>
      <c r="AL279" s="680"/>
      <c r="AM279" s="680"/>
      <c r="AN279" s="680"/>
      <c r="AO279" s="680"/>
      <c r="AP279" s="680"/>
      <c r="AQ279" s="681"/>
      <c r="AR279" s="92"/>
      <c r="AS279" s="92"/>
      <c r="AT279" s="374"/>
    </row>
    <row r="280" spans="1:46" ht="18" customHeight="1">
      <c r="A280" s="387"/>
      <c r="B280" s="674">
        <f>Calcu_ADJ!C32</f>
        <v>24</v>
      </c>
      <c r="C280" s="675"/>
      <c r="D280" s="675"/>
      <c r="E280" s="675"/>
      <c r="F280" s="675"/>
      <c r="G280" s="675"/>
      <c r="H280" s="676"/>
      <c r="I280" s="677" t="str">
        <f>Calcu_ADJ!E32</f>
        <v/>
      </c>
      <c r="J280" s="678"/>
      <c r="K280" s="678"/>
      <c r="L280" s="678"/>
      <c r="M280" s="678"/>
      <c r="N280" s="678"/>
      <c r="O280" s="679"/>
      <c r="P280" s="677" t="str">
        <f>Calcu_ADJ!K32</f>
        <v/>
      </c>
      <c r="Q280" s="680"/>
      <c r="R280" s="680"/>
      <c r="S280" s="680"/>
      <c r="T280" s="680"/>
      <c r="U280" s="680"/>
      <c r="V280" s="681"/>
      <c r="W280" s="677" t="str">
        <f>Calcu_ADJ!L32</f>
        <v/>
      </c>
      <c r="X280" s="680"/>
      <c r="Y280" s="680"/>
      <c r="Z280" s="680"/>
      <c r="AA280" s="680"/>
      <c r="AB280" s="680"/>
      <c r="AC280" s="681"/>
      <c r="AD280" s="677" t="str">
        <f>Calcu_ADJ!M32</f>
        <v/>
      </c>
      <c r="AE280" s="680"/>
      <c r="AF280" s="680"/>
      <c r="AG280" s="680"/>
      <c r="AH280" s="680"/>
      <c r="AI280" s="680"/>
      <c r="AJ280" s="681"/>
      <c r="AK280" s="677" t="str">
        <f t="shared" si="32"/>
        <v/>
      </c>
      <c r="AL280" s="680"/>
      <c r="AM280" s="680"/>
      <c r="AN280" s="680"/>
      <c r="AO280" s="680"/>
      <c r="AP280" s="680"/>
      <c r="AQ280" s="681"/>
      <c r="AR280" s="92"/>
      <c r="AS280" s="92"/>
      <c r="AT280" s="374"/>
    </row>
    <row r="281" spans="1:46" ht="18" customHeight="1">
      <c r="A281" s="387"/>
      <c r="B281" s="674">
        <f>Calcu_ADJ!C33</f>
        <v>25</v>
      </c>
      <c r="C281" s="675"/>
      <c r="D281" s="675"/>
      <c r="E281" s="675"/>
      <c r="F281" s="675"/>
      <c r="G281" s="675"/>
      <c r="H281" s="676"/>
      <c r="I281" s="677" t="str">
        <f>Calcu_ADJ!E33</f>
        <v/>
      </c>
      <c r="J281" s="678"/>
      <c r="K281" s="678"/>
      <c r="L281" s="678"/>
      <c r="M281" s="678"/>
      <c r="N281" s="678"/>
      <c r="O281" s="679"/>
      <c r="P281" s="677" t="str">
        <f>Calcu_ADJ!K33</f>
        <v/>
      </c>
      <c r="Q281" s="680"/>
      <c r="R281" s="680"/>
      <c r="S281" s="680"/>
      <c r="T281" s="680"/>
      <c r="U281" s="680"/>
      <c r="V281" s="681"/>
      <c r="W281" s="677" t="str">
        <f>Calcu_ADJ!L33</f>
        <v/>
      </c>
      <c r="X281" s="680"/>
      <c r="Y281" s="680"/>
      <c r="Z281" s="680"/>
      <c r="AA281" s="680"/>
      <c r="AB281" s="680"/>
      <c r="AC281" s="681"/>
      <c r="AD281" s="677" t="str">
        <f>Calcu_ADJ!M33</f>
        <v/>
      </c>
      <c r="AE281" s="680"/>
      <c r="AF281" s="680"/>
      <c r="AG281" s="680"/>
      <c r="AH281" s="680"/>
      <c r="AI281" s="680"/>
      <c r="AJ281" s="681"/>
      <c r="AK281" s="677" t="str">
        <f t="shared" si="32"/>
        <v/>
      </c>
      <c r="AL281" s="680"/>
      <c r="AM281" s="680"/>
      <c r="AN281" s="680"/>
      <c r="AO281" s="680"/>
      <c r="AP281" s="680"/>
      <c r="AQ281" s="681"/>
      <c r="AR281" s="92"/>
      <c r="AS281" s="92"/>
      <c r="AT281" s="374"/>
    </row>
    <row r="282" spans="1:46" ht="18" customHeight="1">
      <c r="A282" s="387"/>
      <c r="B282" s="674">
        <f>Calcu_ADJ!C34</f>
        <v>26</v>
      </c>
      <c r="C282" s="675"/>
      <c r="D282" s="675"/>
      <c r="E282" s="675"/>
      <c r="F282" s="675"/>
      <c r="G282" s="675"/>
      <c r="H282" s="676"/>
      <c r="I282" s="677" t="str">
        <f>Calcu_ADJ!E34</f>
        <v/>
      </c>
      <c r="J282" s="678"/>
      <c r="K282" s="678"/>
      <c r="L282" s="678"/>
      <c r="M282" s="678"/>
      <c r="N282" s="678"/>
      <c r="O282" s="679"/>
      <c r="P282" s="677" t="str">
        <f>Calcu_ADJ!K34</f>
        <v/>
      </c>
      <c r="Q282" s="680"/>
      <c r="R282" s="680"/>
      <c r="S282" s="680"/>
      <c r="T282" s="680"/>
      <c r="U282" s="680"/>
      <c r="V282" s="681"/>
      <c r="W282" s="677" t="str">
        <f>Calcu_ADJ!L34</f>
        <v/>
      </c>
      <c r="X282" s="680"/>
      <c r="Y282" s="680"/>
      <c r="Z282" s="680"/>
      <c r="AA282" s="680"/>
      <c r="AB282" s="680"/>
      <c r="AC282" s="681"/>
      <c r="AD282" s="677" t="str">
        <f>Calcu_ADJ!M34</f>
        <v/>
      </c>
      <c r="AE282" s="680"/>
      <c r="AF282" s="680"/>
      <c r="AG282" s="680"/>
      <c r="AH282" s="680"/>
      <c r="AI282" s="680"/>
      <c r="AJ282" s="681"/>
      <c r="AK282" s="677" t="str">
        <f t="shared" si="32"/>
        <v/>
      </c>
      <c r="AL282" s="680"/>
      <c r="AM282" s="680"/>
      <c r="AN282" s="680"/>
      <c r="AO282" s="680"/>
      <c r="AP282" s="680"/>
      <c r="AQ282" s="681"/>
      <c r="AR282" s="92"/>
      <c r="AS282" s="92"/>
      <c r="AT282" s="374"/>
    </row>
    <row r="283" spans="1:46" ht="18" customHeight="1">
      <c r="A283" s="387"/>
      <c r="B283" s="674">
        <f>Calcu_ADJ!C35</f>
        <v>27</v>
      </c>
      <c r="C283" s="675"/>
      <c r="D283" s="675"/>
      <c r="E283" s="675"/>
      <c r="F283" s="675"/>
      <c r="G283" s="675"/>
      <c r="H283" s="676"/>
      <c r="I283" s="677" t="str">
        <f>Calcu_ADJ!E35</f>
        <v/>
      </c>
      <c r="J283" s="678"/>
      <c r="K283" s="678"/>
      <c r="L283" s="678"/>
      <c r="M283" s="678"/>
      <c r="N283" s="678"/>
      <c r="O283" s="679"/>
      <c r="P283" s="677" t="str">
        <f>Calcu_ADJ!K35</f>
        <v/>
      </c>
      <c r="Q283" s="680"/>
      <c r="R283" s="680"/>
      <c r="S283" s="680"/>
      <c r="T283" s="680"/>
      <c r="U283" s="680"/>
      <c r="V283" s="681"/>
      <c r="W283" s="677" t="str">
        <f>Calcu_ADJ!L35</f>
        <v/>
      </c>
      <c r="X283" s="680"/>
      <c r="Y283" s="680"/>
      <c r="Z283" s="680"/>
      <c r="AA283" s="680"/>
      <c r="AB283" s="680"/>
      <c r="AC283" s="681"/>
      <c r="AD283" s="677" t="str">
        <f>Calcu_ADJ!M35</f>
        <v/>
      </c>
      <c r="AE283" s="680"/>
      <c r="AF283" s="680"/>
      <c r="AG283" s="680"/>
      <c r="AH283" s="680"/>
      <c r="AI283" s="680"/>
      <c r="AJ283" s="681"/>
      <c r="AK283" s="677" t="str">
        <f t="shared" si="32"/>
        <v/>
      </c>
      <c r="AL283" s="680"/>
      <c r="AM283" s="680"/>
      <c r="AN283" s="680"/>
      <c r="AO283" s="680"/>
      <c r="AP283" s="680"/>
      <c r="AQ283" s="681"/>
      <c r="AR283" s="92"/>
      <c r="AS283" s="92"/>
      <c r="AT283" s="374"/>
    </row>
    <row r="284" spans="1:46" ht="18" customHeight="1">
      <c r="A284" s="387"/>
      <c r="B284" s="674">
        <f>Calcu_ADJ!C36</f>
        <v>28</v>
      </c>
      <c r="C284" s="675"/>
      <c r="D284" s="675"/>
      <c r="E284" s="675"/>
      <c r="F284" s="675"/>
      <c r="G284" s="675"/>
      <c r="H284" s="676"/>
      <c r="I284" s="677" t="str">
        <f>Calcu_ADJ!E36</f>
        <v/>
      </c>
      <c r="J284" s="678"/>
      <c r="K284" s="678"/>
      <c r="L284" s="678"/>
      <c r="M284" s="678"/>
      <c r="N284" s="678"/>
      <c r="O284" s="679"/>
      <c r="P284" s="677" t="str">
        <f>Calcu_ADJ!K36</f>
        <v/>
      </c>
      <c r="Q284" s="680"/>
      <c r="R284" s="680"/>
      <c r="S284" s="680"/>
      <c r="T284" s="680"/>
      <c r="U284" s="680"/>
      <c r="V284" s="681"/>
      <c r="W284" s="677" t="str">
        <f>Calcu_ADJ!L36</f>
        <v/>
      </c>
      <c r="X284" s="680"/>
      <c r="Y284" s="680"/>
      <c r="Z284" s="680"/>
      <c r="AA284" s="680"/>
      <c r="AB284" s="680"/>
      <c r="AC284" s="681"/>
      <c r="AD284" s="677" t="str">
        <f>Calcu_ADJ!M36</f>
        <v/>
      </c>
      <c r="AE284" s="680"/>
      <c r="AF284" s="680"/>
      <c r="AG284" s="680"/>
      <c r="AH284" s="680"/>
      <c r="AI284" s="680"/>
      <c r="AJ284" s="681"/>
      <c r="AK284" s="677" t="str">
        <f t="shared" si="32"/>
        <v/>
      </c>
      <c r="AL284" s="680"/>
      <c r="AM284" s="680"/>
      <c r="AN284" s="680"/>
      <c r="AO284" s="680"/>
      <c r="AP284" s="680"/>
      <c r="AQ284" s="681"/>
      <c r="AR284" s="92"/>
      <c r="AS284" s="92"/>
      <c r="AT284" s="374"/>
    </row>
    <row r="285" spans="1:46" ht="18" customHeight="1">
      <c r="A285" s="387"/>
      <c r="B285" s="674">
        <f>Calcu_ADJ!C37</f>
        <v>29</v>
      </c>
      <c r="C285" s="675"/>
      <c r="D285" s="675"/>
      <c r="E285" s="675"/>
      <c r="F285" s="675"/>
      <c r="G285" s="675"/>
      <c r="H285" s="676"/>
      <c r="I285" s="677" t="str">
        <f>Calcu_ADJ!E37</f>
        <v/>
      </c>
      <c r="J285" s="678"/>
      <c r="K285" s="678"/>
      <c r="L285" s="678"/>
      <c r="M285" s="678"/>
      <c r="N285" s="678"/>
      <c r="O285" s="679"/>
      <c r="P285" s="677" t="str">
        <f>Calcu_ADJ!K37</f>
        <v/>
      </c>
      <c r="Q285" s="680"/>
      <c r="R285" s="680"/>
      <c r="S285" s="680"/>
      <c r="T285" s="680"/>
      <c r="U285" s="680"/>
      <c r="V285" s="681"/>
      <c r="W285" s="677" t="str">
        <f>Calcu_ADJ!L37</f>
        <v/>
      </c>
      <c r="X285" s="680"/>
      <c r="Y285" s="680"/>
      <c r="Z285" s="680"/>
      <c r="AA285" s="680"/>
      <c r="AB285" s="680"/>
      <c r="AC285" s="681"/>
      <c r="AD285" s="677" t="str">
        <f>Calcu_ADJ!M37</f>
        <v/>
      </c>
      <c r="AE285" s="680"/>
      <c r="AF285" s="680"/>
      <c r="AG285" s="680"/>
      <c r="AH285" s="680"/>
      <c r="AI285" s="680"/>
      <c r="AJ285" s="681"/>
      <c r="AK285" s="677" t="str">
        <f t="shared" si="32"/>
        <v/>
      </c>
      <c r="AL285" s="680"/>
      <c r="AM285" s="680"/>
      <c r="AN285" s="680"/>
      <c r="AO285" s="680"/>
      <c r="AP285" s="680"/>
      <c r="AQ285" s="681"/>
      <c r="AR285" s="92"/>
      <c r="AS285" s="92"/>
      <c r="AT285" s="374"/>
    </row>
    <row r="286" spans="1:46" ht="18" customHeight="1">
      <c r="A286" s="387"/>
      <c r="B286" s="674">
        <f>Calcu_ADJ!C38</f>
        <v>30</v>
      </c>
      <c r="C286" s="675"/>
      <c r="D286" s="675"/>
      <c r="E286" s="675"/>
      <c r="F286" s="675"/>
      <c r="G286" s="675"/>
      <c r="H286" s="676"/>
      <c r="I286" s="677" t="str">
        <f>Calcu_ADJ!E38</f>
        <v/>
      </c>
      <c r="J286" s="678"/>
      <c r="K286" s="678"/>
      <c r="L286" s="678"/>
      <c r="M286" s="678"/>
      <c r="N286" s="678"/>
      <c r="O286" s="679"/>
      <c r="P286" s="677" t="str">
        <f>Calcu_ADJ!K38</f>
        <v/>
      </c>
      <c r="Q286" s="680"/>
      <c r="R286" s="680"/>
      <c r="S286" s="680"/>
      <c r="T286" s="680"/>
      <c r="U286" s="680"/>
      <c r="V286" s="681"/>
      <c r="W286" s="677" t="str">
        <f>Calcu_ADJ!L38</f>
        <v/>
      </c>
      <c r="X286" s="680"/>
      <c r="Y286" s="680"/>
      <c r="Z286" s="680"/>
      <c r="AA286" s="680"/>
      <c r="AB286" s="680"/>
      <c r="AC286" s="681"/>
      <c r="AD286" s="677" t="str">
        <f>Calcu_ADJ!M38</f>
        <v/>
      </c>
      <c r="AE286" s="680"/>
      <c r="AF286" s="680"/>
      <c r="AG286" s="680"/>
      <c r="AH286" s="680"/>
      <c r="AI286" s="680"/>
      <c r="AJ286" s="681"/>
      <c r="AK286" s="677" t="str">
        <f t="shared" si="32"/>
        <v/>
      </c>
      <c r="AL286" s="680"/>
      <c r="AM286" s="680"/>
      <c r="AN286" s="680"/>
      <c r="AO286" s="680"/>
      <c r="AP286" s="680"/>
      <c r="AQ286" s="681"/>
      <c r="AR286" s="92"/>
      <c r="AS286" s="92"/>
      <c r="AT286" s="374"/>
    </row>
    <row r="287" spans="1:46" s="374" customFormat="1" ht="18" customHeight="1">
      <c r="A287" s="387"/>
      <c r="B287" s="403"/>
      <c r="C287" s="403"/>
      <c r="D287" s="403"/>
      <c r="E287" s="403"/>
      <c r="F287" s="403"/>
      <c r="G287" s="403"/>
      <c r="H287" s="403"/>
      <c r="I287" s="403"/>
      <c r="J287" s="403"/>
      <c r="K287" s="403"/>
      <c r="L287" s="403"/>
      <c r="M287" s="403"/>
      <c r="N287" s="403"/>
      <c r="O287" s="403"/>
      <c r="P287" s="403"/>
      <c r="Q287" s="403"/>
      <c r="R287" s="403"/>
      <c r="S287" s="403"/>
      <c r="T287" s="403"/>
      <c r="U287" s="403"/>
      <c r="V287" s="403"/>
      <c r="W287" s="403"/>
      <c r="X287" s="403"/>
      <c r="Y287" s="403"/>
      <c r="Z287" s="403"/>
      <c r="AA287" s="403"/>
      <c r="AB287" s="403"/>
      <c r="AC287" s="403"/>
      <c r="AD287" s="403"/>
      <c r="AE287" s="403"/>
      <c r="AF287" s="403"/>
      <c r="AG287" s="403"/>
      <c r="AH287" s="403"/>
      <c r="AI287" s="403"/>
      <c r="AJ287" s="403"/>
      <c r="AK287" s="403"/>
      <c r="AL287" s="403"/>
      <c r="AM287" s="403"/>
      <c r="AN287" s="403"/>
      <c r="AO287" s="403"/>
      <c r="AP287" s="403"/>
      <c r="AQ287" s="403"/>
      <c r="AR287" s="92"/>
      <c r="AS287" s="92"/>
    </row>
    <row r="288" spans="1:46" ht="18" customHeight="1">
      <c r="A288" s="131" t="s">
        <v>400</v>
      </c>
      <c r="B288" s="374"/>
      <c r="C288" s="374"/>
      <c r="D288" s="374"/>
      <c r="E288" s="374"/>
      <c r="F288" s="374"/>
      <c r="G288" s="374"/>
      <c r="H288" s="374"/>
      <c r="I288" s="374"/>
      <c r="J288" s="374"/>
      <c r="K288" s="374"/>
      <c r="L288" s="374"/>
      <c r="M288" s="374"/>
      <c r="N288" s="374"/>
      <c r="O288" s="374"/>
      <c r="P288" s="374"/>
      <c r="Q288" s="374"/>
      <c r="R288" s="374"/>
      <c r="S288" s="374"/>
      <c r="T288" s="374"/>
      <c r="U288" s="374"/>
      <c r="V288" s="374"/>
      <c r="W288" s="374"/>
      <c r="X288" s="374"/>
      <c r="Y288" s="374"/>
      <c r="Z288" s="374"/>
      <c r="AA288" s="374"/>
      <c r="AB288" s="374"/>
      <c r="AC288" s="374"/>
      <c r="AD288" s="374"/>
      <c r="AE288" s="374"/>
      <c r="AF288" s="374"/>
      <c r="AG288" s="374"/>
      <c r="AH288" s="374"/>
      <c r="AI288" s="374"/>
      <c r="AJ288" s="374"/>
      <c r="AK288" s="374"/>
      <c r="AL288" s="374"/>
      <c r="AM288" s="374"/>
      <c r="AN288" s="374"/>
      <c r="AO288" s="374"/>
      <c r="AP288" s="374"/>
      <c r="AQ288" s="374"/>
      <c r="AR288" s="374"/>
      <c r="AS288" s="374"/>
      <c r="AT288" s="374"/>
    </row>
    <row r="289" spans="1:46" ht="18" customHeight="1">
      <c r="A289" s="387"/>
      <c r="B289" s="683" t="s">
        <v>401</v>
      </c>
      <c r="C289" s="717"/>
      <c r="D289" s="717"/>
      <c r="E289" s="683" t="s">
        <v>393</v>
      </c>
      <c r="F289" s="684"/>
      <c r="G289" s="684"/>
      <c r="H289" s="684"/>
      <c r="I289" s="684"/>
      <c r="J289" s="684"/>
      <c r="K289" s="685"/>
      <c r="L289" s="722" t="s">
        <v>402</v>
      </c>
      <c r="M289" s="722"/>
      <c r="N289" s="722"/>
      <c r="O289" s="722"/>
      <c r="P289" s="722"/>
      <c r="Q289" s="722"/>
      <c r="R289" s="722"/>
      <c r="S289" s="722"/>
      <c r="T289" s="722"/>
      <c r="U289" s="722"/>
      <c r="V289" s="722"/>
      <c r="W289" s="722"/>
      <c r="X289" s="722"/>
      <c r="Y289" s="722"/>
      <c r="Z289" s="722"/>
      <c r="AA289" s="722"/>
      <c r="AB289" s="722"/>
      <c r="AC289" s="722"/>
      <c r="AD289" s="722"/>
      <c r="AE289" s="722"/>
      <c r="AF289" s="722"/>
      <c r="AG289" s="722"/>
      <c r="AH289" s="722"/>
      <c r="AI289" s="722"/>
      <c r="AJ289" s="722"/>
      <c r="AK289" s="722"/>
      <c r="AL289" s="722"/>
      <c r="AM289" s="722"/>
      <c r="AN289" s="722"/>
      <c r="AO289" s="722"/>
      <c r="AP289" s="722"/>
      <c r="AQ289" s="722"/>
      <c r="AR289" s="92"/>
      <c r="AS289" s="92"/>
      <c r="AT289" s="374"/>
    </row>
    <row r="290" spans="1:46" ht="18" customHeight="1">
      <c r="A290" s="387"/>
      <c r="B290" s="718"/>
      <c r="C290" s="719"/>
      <c r="D290" s="719"/>
      <c r="E290" s="689"/>
      <c r="F290" s="690"/>
      <c r="G290" s="690"/>
      <c r="H290" s="690"/>
      <c r="I290" s="690"/>
      <c r="J290" s="690"/>
      <c r="K290" s="691"/>
      <c r="L290" s="720" t="s">
        <v>395</v>
      </c>
      <c r="M290" s="690"/>
      <c r="N290" s="690"/>
      <c r="O290" s="690"/>
      <c r="P290" s="690"/>
      <c r="Q290" s="690"/>
      <c r="R290" s="691"/>
      <c r="S290" s="720" t="s">
        <v>66</v>
      </c>
      <c r="T290" s="690"/>
      <c r="U290" s="690"/>
      <c r="V290" s="690"/>
      <c r="W290" s="690"/>
      <c r="X290" s="690"/>
      <c r="Y290" s="691"/>
      <c r="Z290" s="720" t="s">
        <v>94</v>
      </c>
      <c r="AA290" s="690"/>
      <c r="AB290" s="690"/>
      <c r="AC290" s="690"/>
      <c r="AD290" s="690"/>
      <c r="AE290" s="690"/>
      <c r="AF290" s="691"/>
      <c r="AG290" s="723" t="s">
        <v>405</v>
      </c>
      <c r="AH290" s="724"/>
      <c r="AI290" s="724"/>
      <c r="AJ290" s="724"/>
      <c r="AK290" s="724"/>
      <c r="AL290" s="724"/>
      <c r="AM290" s="724"/>
      <c r="AN290" s="724"/>
      <c r="AO290" s="724"/>
      <c r="AP290" s="724"/>
      <c r="AQ290" s="725"/>
      <c r="AR290" s="92"/>
      <c r="AS290" s="92"/>
      <c r="AT290" s="374"/>
    </row>
    <row r="291" spans="1:46" ht="18" customHeight="1">
      <c r="A291" s="387"/>
      <c r="B291" s="720"/>
      <c r="C291" s="721"/>
      <c r="D291" s="721"/>
      <c r="E291" s="668">
        <f t="shared" ref="E291:E321" si="33">I256</f>
        <v>0</v>
      </c>
      <c r="F291" s="669"/>
      <c r="G291" s="669"/>
      <c r="H291" s="669"/>
      <c r="I291" s="669"/>
      <c r="J291" s="669"/>
      <c r="K291" s="670"/>
      <c r="L291" s="668">
        <f>P256</f>
        <v>0</v>
      </c>
      <c r="M291" s="671"/>
      <c r="N291" s="671"/>
      <c r="O291" s="671"/>
      <c r="P291" s="671"/>
      <c r="Q291" s="671"/>
      <c r="R291" s="672"/>
      <c r="S291" s="668">
        <f t="shared" ref="S291:S321" si="34">W256</f>
        <v>0</v>
      </c>
      <c r="T291" s="671"/>
      <c r="U291" s="671"/>
      <c r="V291" s="671"/>
      <c r="W291" s="671"/>
      <c r="X291" s="671"/>
      <c r="Y291" s="672"/>
      <c r="Z291" s="668">
        <f t="shared" ref="Z291:Z321" si="35">AD256</f>
        <v>0</v>
      </c>
      <c r="AA291" s="671"/>
      <c r="AB291" s="671"/>
      <c r="AC291" s="671"/>
      <c r="AD291" s="671"/>
      <c r="AE291" s="671"/>
      <c r="AF291" s="672"/>
      <c r="AG291" s="726"/>
      <c r="AH291" s="727"/>
      <c r="AI291" s="727"/>
      <c r="AJ291" s="727"/>
      <c r="AK291" s="727"/>
      <c r="AL291" s="727"/>
      <c r="AM291" s="727"/>
      <c r="AN291" s="727"/>
      <c r="AO291" s="727"/>
      <c r="AP291" s="727"/>
      <c r="AQ291" s="728"/>
      <c r="AR291" s="92"/>
      <c r="AS291" s="92"/>
      <c r="AT291" s="374"/>
    </row>
    <row r="292" spans="1:46" ht="18" customHeight="1">
      <c r="A292" s="387"/>
      <c r="B292" s="674">
        <f>B257</f>
        <v>1</v>
      </c>
      <c r="C292" s="712"/>
      <c r="D292" s="712"/>
      <c r="E292" s="677" t="str">
        <f t="shared" si="33"/>
        <v/>
      </c>
      <c r="F292" s="678"/>
      <c r="G292" s="678"/>
      <c r="H292" s="678"/>
      <c r="I292" s="678"/>
      <c r="J292" s="678"/>
      <c r="K292" s="679"/>
      <c r="L292" s="677" t="str">
        <f>Calcu_ADJ!K9</f>
        <v/>
      </c>
      <c r="M292" s="680"/>
      <c r="N292" s="680"/>
      <c r="O292" s="680"/>
      <c r="P292" s="680"/>
      <c r="Q292" s="680"/>
      <c r="R292" s="681"/>
      <c r="S292" s="677" t="str">
        <f t="shared" si="34"/>
        <v/>
      </c>
      <c r="T292" s="680"/>
      <c r="U292" s="680"/>
      <c r="V292" s="680"/>
      <c r="W292" s="680"/>
      <c r="X292" s="680"/>
      <c r="Y292" s="681"/>
      <c r="Z292" s="677" t="str">
        <f t="shared" si="35"/>
        <v/>
      </c>
      <c r="AA292" s="680"/>
      <c r="AB292" s="680"/>
      <c r="AC292" s="680"/>
      <c r="AD292" s="680"/>
      <c r="AE292" s="680"/>
      <c r="AF292" s="681"/>
      <c r="AG292" s="709"/>
      <c r="AH292" s="710"/>
      <c r="AI292" s="710"/>
      <c r="AJ292" s="710"/>
      <c r="AK292" s="710"/>
      <c r="AL292" s="710"/>
      <c r="AM292" s="710"/>
      <c r="AN292" s="710"/>
      <c r="AO292" s="710"/>
      <c r="AP292" s="710"/>
      <c r="AQ292" s="711"/>
      <c r="AR292" s="92"/>
      <c r="AS292" s="92"/>
      <c r="AT292" s="374"/>
    </row>
    <row r="293" spans="1:46" ht="18" customHeight="1">
      <c r="A293" s="387"/>
      <c r="B293" s="674">
        <f t="shared" ref="B293:B321" si="36">B258</f>
        <v>2</v>
      </c>
      <c r="C293" s="712"/>
      <c r="D293" s="712"/>
      <c r="E293" s="677" t="str">
        <f t="shared" si="33"/>
        <v/>
      </c>
      <c r="F293" s="678"/>
      <c r="G293" s="678"/>
      <c r="H293" s="678"/>
      <c r="I293" s="678"/>
      <c r="J293" s="678"/>
      <c r="K293" s="679"/>
      <c r="L293" s="677" t="str">
        <f t="shared" ref="L293:L321" si="37">P258</f>
        <v/>
      </c>
      <c r="M293" s="680"/>
      <c r="N293" s="680"/>
      <c r="O293" s="680"/>
      <c r="P293" s="680"/>
      <c r="Q293" s="680"/>
      <c r="R293" s="681"/>
      <c r="S293" s="677" t="str">
        <f t="shared" si="34"/>
        <v/>
      </c>
      <c r="T293" s="680"/>
      <c r="U293" s="680"/>
      <c r="V293" s="680"/>
      <c r="W293" s="680"/>
      <c r="X293" s="680"/>
      <c r="Y293" s="681"/>
      <c r="Z293" s="677" t="str">
        <f t="shared" si="35"/>
        <v/>
      </c>
      <c r="AA293" s="680"/>
      <c r="AB293" s="680"/>
      <c r="AC293" s="680"/>
      <c r="AD293" s="680"/>
      <c r="AE293" s="680"/>
      <c r="AF293" s="681"/>
      <c r="AG293" s="713" t="s">
        <v>406</v>
      </c>
      <c r="AH293" s="714"/>
      <c r="AI293" s="714"/>
      <c r="AJ293" s="714"/>
      <c r="AK293" s="714"/>
      <c r="AL293" s="715">
        <f>SUM(Calcu_ADJ!O9:Q38)</f>
        <v>0</v>
      </c>
      <c r="AM293" s="715"/>
      <c r="AN293" s="715"/>
      <c r="AO293" s="715"/>
      <c r="AP293" s="715"/>
      <c r="AQ293" s="716"/>
      <c r="AR293" s="92"/>
      <c r="AS293" s="92"/>
      <c r="AT293" s="374"/>
    </row>
    <row r="294" spans="1:46" ht="18" customHeight="1">
      <c r="A294" s="387"/>
      <c r="B294" s="674">
        <f t="shared" si="36"/>
        <v>3</v>
      </c>
      <c r="C294" s="712"/>
      <c r="D294" s="712"/>
      <c r="E294" s="677" t="str">
        <f t="shared" si="33"/>
        <v/>
      </c>
      <c r="F294" s="678"/>
      <c r="G294" s="678"/>
      <c r="H294" s="678"/>
      <c r="I294" s="678"/>
      <c r="J294" s="678"/>
      <c r="K294" s="679"/>
      <c r="L294" s="677" t="str">
        <f t="shared" si="37"/>
        <v/>
      </c>
      <c r="M294" s="680"/>
      <c r="N294" s="680"/>
      <c r="O294" s="680"/>
      <c r="P294" s="680"/>
      <c r="Q294" s="680"/>
      <c r="R294" s="681"/>
      <c r="S294" s="677" t="str">
        <f t="shared" si="34"/>
        <v/>
      </c>
      <c r="T294" s="680"/>
      <c r="U294" s="680"/>
      <c r="V294" s="680"/>
      <c r="W294" s="680"/>
      <c r="X294" s="680"/>
      <c r="Y294" s="681"/>
      <c r="Z294" s="677" t="str">
        <f t="shared" si="35"/>
        <v/>
      </c>
      <c r="AA294" s="680"/>
      <c r="AB294" s="680"/>
      <c r="AC294" s="680"/>
      <c r="AD294" s="680"/>
      <c r="AE294" s="680"/>
      <c r="AF294" s="681"/>
      <c r="AG294" s="713" t="s">
        <v>407</v>
      </c>
      <c r="AH294" s="714"/>
      <c r="AI294" s="714"/>
      <c r="AJ294" s="714"/>
      <c r="AK294" s="714"/>
      <c r="AL294" s="715">
        <f>SUM(Calcu_ADJ!N9:N38)</f>
        <v>0</v>
      </c>
      <c r="AM294" s="715"/>
      <c r="AN294" s="715"/>
      <c r="AO294" s="715"/>
      <c r="AP294" s="715"/>
      <c r="AQ294" s="716"/>
      <c r="AR294" s="92"/>
      <c r="AS294" s="92"/>
      <c r="AT294" s="374"/>
    </row>
    <row r="295" spans="1:46" ht="18" customHeight="1">
      <c r="A295" s="387"/>
      <c r="B295" s="674">
        <f t="shared" si="36"/>
        <v>4</v>
      </c>
      <c r="C295" s="712"/>
      <c r="D295" s="712"/>
      <c r="E295" s="677" t="str">
        <f t="shared" si="33"/>
        <v/>
      </c>
      <c r="F295" s="678"/>
      <c r="G295" s="678"/>
      <c r="H295" s="678"/>
      <c r="I295" s="678"/>
      <c r="J295" s="678"/>
      <c r="K295" s="679"/>
      <c r="L295" s="677" t="str">
        <f t="shared" si="37"/>
        <v/>
      </c>
      <c r="M295" s="680"/>
      <c r="N295" s="680"/>
      <c r="O295" s="680"/>
      <c r="P295" s="680"/>
      <c r="Q295" s="680"/>
      <c r="R295" s="681"/>
      <c r="S295" s="677" t="str">
        <f t="shared" si="34"/>
        <v/>
      </c>
      <c r="T295" s="680"/>
      <c r="U295" s="680"/>
      <c r="V295" s="680"/>
      <c r="W295" s="680"/>
      <c r="X295" s="680"/>
      <c r="Y295" s="681"/>
      <c r="Z295" s="677" t="str">
        <f t="shared" si="35"/>
        <v/>
      </c>
      <c r="AA295" s="680"/>
      <c r="AB295" s="680"/>
      <c r="AC295" s="680"/>
      <c r="AD295" s="680"/>
      <c r="AE295" s="680"/>
      <c r="AF295" s="681"/>
      <c r="AG295" s="732" t="s">
        <v>408</v>
      </c>
      <c r="AH295" s="733"/>
      <c r="AI295" s="733"/>
      <c r="AJ295" s="733"/>
      <c r="AK295" s="733"/>
      <c r="AL295" s="733"/>
      <c r="AM295" s="733"/>
      <c r="AN295" s="733"/>
      <c r="AO295" s="733"/>
      <c r="AP295" s="733"/>
      <c r="AQ295" s="734"/>
      <c r="AR295" s="92"/>
      <c r="AS295" s="92"/>
      <c r="AT295" s="374"/>
    </row>
    <row r="296" spans="1:46" ht="18" customHeight="1">
      <c r="A296" s="387"/>
      <c r="B296" s="674">
        <f t="shared" si="36"/>
        <v>5</v>
      </c>
      <c r="C296" s="712"/>
      <c r="D296" s="712"/>
      <c r="E296" s="677" t="str">
        <f t="shared" si="33"/>
        <v/>
      </c>
      <c r="F296" s="678"/>
      <c r="G296" s="678"/>
      <c r="H296" s="678"/>
      <c r="I296" s="678"/>
      <c r="J296" s="678"/>
      <c r="K296" s="679"/>
      <c r="L296" s="677" t="str">
        <f t="shared" si="37"/>
        <v/>
      </c>
      <c r="M296" s="680"/>
      <c r="N296" s="680"/>
      <c r="O296" s="680"/>
      <c r="P296" s="680"/>
      <c r="Q296" s="680"/>
      <c r="R296" s="681"/>
      <c r="S296" s="677" t="str">
        <f t="shared" si="34"/>
        <v/>
      </c>
      <c r="T296" s="680"/>
      <c r="U296" s="680"/>
      <c r="V296" s="680"/>
      <c r="W296" s="680"/>
      <c r="X296" s="680"/>
      <c r="Y296" s="681"/>
      <c r="Z296" s="677" t="str">
        <f t="shared" si="35"/>
        <v/>
      </c>
      <c r="AA296" s="680"/>
      <c r="AB296" s="680"/>
      <c r="AC296" s="680"/>
      <c r="AD296" s="680"/>
      <c r="AE296" s="680"/>
      <c r="AF296" s="681"/>
      <c r="AG296" s="729"/>
      <c r="AH296" s="730"/>
      <c r="AI296" s="730"/>
      <c r="AJ296" s="730"/>
      <c r="AK296" s="730"/>
      <c r="AL296" s="730"/>
      <c r="AM296" s="730"/>
      <c r="AN296" s="730"/>
      <c r="AO296" s="730"/>
      <c r="AP296" s="730"/>
      <c r="AQ296" s="731"/>
      <c r="AR296" s="92"/>
      <c r="AS296" s="92"/>
      <c r="AT296" s="374"/>
    </row>
    <row r="297" spans="1:46" ht="18" customHeight="1">
      <c r="A297" s="387"/>
      <c r="B297" s="674">
        <f t="shared" si="36"/>
        <v>6</v>
      </c>
      <c r="C297" s="712"/>
      <c r="D297" s="712"/>
      <c r="E297" s="677" t="str">
        <f t="shared" si="33"/>
        <v/>
      </c>
      <c r="F297" s="678"/>
      <c r="G297" s="678"/>
      <c r="H297" s="678"/>
      <c r="I297" s="678"/>
      <c r="J297" s="678"/>
      <c r="K297" s="679"/>
      <c r="L297" s="677" t="str">
        <f t="shared" si="37"/>
        <v/>
      </c>
      <c r="M297" s="680"/>
      <c r="N297" s="680"/>
      <c r="O297" s="680"/>
      <c r="P297" s="680"/>
      <c r="Q297" s="680"/>
      <c r="R297" s="681"/>
      <c r="S297" s="677" t="str">
        <f t="shared" si="34"/>
        <v/>
      </c>
      <c r="T297" s="680"/>
      <c r="U297" s="680"/>
      <c r="V297" s="680"/>
      <c r="W297" s="680"/>
      <c r="X297" s="680"/>
      <c r="Y297" s="681"/>
      <c r="Z297" s="677" t="str">
        <f t="shared" si="35"/>
        <v/>
      </c>
      <c r="AA297" s="680"/>
      <c r="AB297" s="680"/>
      <c r="AC297" s="680"/>
      <c r="AD297" s="680"/>
      <c r="AE297" s="680"/>
      <c r="AF297" s="681"/>
      <c r="AG297" s="729"/>
      <c r="AH297" s="730"/>
      <c r="AI297" s="730"/>
      <c r="AJ297" s="730"/>
      <c r="AK297" s="730"/>
      <c r="AL297" s="730"/>
      <c r="AM297" s="730"/>
      <c r="AN297" s="730"/>
      <c r="AO297" s="730"/>
      <c r="AP297" s="730"/>
      <c r="AQ297" s="731"/>
      <c r="AR297" s="92"/>
      <c r="AS297" s="92"/>
      <c r="AT297" s="374"/>
    </row>
    <row r="298" spans="1:46" ht="18" customHeight="1">
      <c r="A298" s="387"/>
      <c r="B298" s="674">
        <f t="shared" si="36"/>
        <v>7</v>
      </c>
      <c r="C298" s="712"/>
      <c r="D298" s="712"/>
      <c r="E298" s="677" t="str">
        <f t="shared" si="33"/>
        <v/>
      </c>
      <c r="F298" s="678"/>
      <c r="G298" s="678"/>
      <c r="H298" s="678"/>
      <c r="I298" s="678"/>
      <c r="J298" s="678"/>
      <c r="K298" s="679"/>
      <c r="L298" s="677" t="str">
        <f t="shared" si="37"/>
        <v/>
      </c>
      <c r="M298" s="680"/>
      <c r="N298" s="680"/>
      <c r="O298" s="680"/>
      <c r="P298" s="680"/>
      <c r="Q298" s="680"/>
      <c r="R298" s="681"/>
      <c r="S298" s="677" t="str">
        <f t="shared" si="34"/>
        <v/>
      </c>
      <c r="T298" s="680"/>
      <c r="U298" s="680"/>
      <c r="V298" s="680"/>
      <c r="W298" s="680"/>
      <c r="X298" s="680"/>
      <c r="Y298" s="681"/>
      <c r="Z298" s="677" t="str">
        <f t="shared" si="35"/>
        <v/>
      </c>
      <c r="AA298" s="680"/>
      <c r="AB298" s="680"/>
      <c r="AC298" s="680"/>
      <c r="AD298" s="680"/>
      <c r="AE298" s="680"/>
      <c r="AF298" s="681"/>
      <c r="AG298" s="739" t="s">
        <v>409</v>
      </c>
      <c r="AH298" s="740"/>
      <c r="AI298" s="740"/>
      <c r="AJ298" s="735" t="e">
        <f>Calcu_ADJ!O7</f>
        <v>#DIV/0!</v>
      </c>
      <c r="AK298" s="735"/>
      <c r="AL298" s="735"/>
      <c r="AM298" s="735"/>
      <c r="AN298" s="735"/>
      <c r="AO298" s="735"/>
      <c r="AP298" s="735"/>
      <c r="AQ298" s="736"/>
      <c r="AR298" s="92"/>
      <c r="AS298" s="92"/>
      <c r="AT298" s="374"/>
    </row>
    <row r="299" spans="1:46" ht="18" customHeight="1">
      <c r="A299" s="387"/>
      <c r="B299" s="674">
        <f t="shared" si="36"/>
        <v>8</v>
      </c>
      <c r="C299" s="712"/>
      <c r="D299" s="712"/>
      <c r="E299" s="677" t="str">
        <f t="shared" si="33"/>
        <v/>
      </c>
      <c r="F299" s="678"/>
      <c r="G299" s="678"/>
      <c r="H299" s="678"/>
      <c r="I299" s="678"/>
      <c r="J299" s="678"/>
      <c r="K299" s="679"/>
      <c r="L299" s="677" t="str">
        <f t="shared" si="37"/>
        <v/>
      </c>
      <c r="M299" s="680"/>
      <c r="N299" s="680"/>
      <c r="O299" s="680"/>
      <c r="P299" s="680"/>
      <c r="Q299" s="680"/>
      <c r="R299" s="681"/>
      <c r="S299" s="677" t="str">
        <f t="shared" si="34"/>
        <v/>
      </c>
      <c r="T299" s="680"/>
      <c r="U299" s="680"/>
      <c r="V299" s="680"/>
      <c r="W299" s="680"/>
      <c r="X299" s="680"/>
      <c r="Y299" s="681"/>
      <c r="Z299" s="677" t="str">
        <f t="shared" si="35"/>
        <v/>
      </c>
      <c r="AA299" s="680"/>
      <c r="AB299" s="680"/>
      <c r="AC299" s="680"/>
      <c r="AD299" s="680"/>
      <c r="AE299" s="680"/>
      <c r="AF299" s="681"/>
      <c r="AG299" s="275"/>
      <c r="AH299" s="221"/>
      <c r="AI299" s="221"/>
      <c r="AJ299" s="737" t="str">
        <f>"("&amp;L291&amp;")/"&amp;E291</f>
        <v>(0)/0</v>
      </c>
      <c r="AK299" s="737"/>
      <c r="AL299" s="737"/>
      <c r="AM299" s="737"/>
      <c r="AN299" s="737"/>
      <c r="AO299" s="737"/>
      <c r="AP299" s="737"/>
      <c r="AQ299" s="738"/>
      <c r="AR299" s="92"/>
      <c r="AS299" s="92"/>
      <c r="AT299" s="374"/>
    </row>
    <row r="300" spans="1:46" ht="18" customHeight="1">
      <c r="A300" s="387"/>
      <c r="B300" s="674">
        <f t="shared" si="36"/>
        <v>9</v>
      </c>
      <c r="C300" s="712"/>
      <c r="D300" s="712"/>
      <c r="E300" s="677" t="str">
        <f t="shared" si="33"/>
        <v/>
      </c>
      <c r="F300" s="678"/>
      <c r="G300" s="678"/>
      <c r="H300" s="678"/>
      <c r="I300" s="678"/>
      <c r="J300" s="678"/>
      <c r="K300" s="679"/>
      <c r="L300" s="677" t="str">
        <f t="shared" si="37"/>
        <v/>
      </c>
      <c r="M300" s="680"/>
      <c r="N300" s="680"/>
      <c r="O300" s="680"/>
      <c r="P300" s="680"/>
      <c r="Q300" s="680"/>
      <c r="R300" s="681"/>
      <c r="S300" s="677" t="str">
        <f t="shared" si="34"/>
        <v/>
      </c>
      <c r="T300" s="680"/>
      <c r="U300" s="680"/>
      <c r="V300" s="680"/>
      <c r="W300" s="680"/>
      <c r="X300" s="680"/>
      <c r="Y300" s="681"/>
      <c r="Z300" s="677" t="str">
        <f t="shared" si="35"/>
        <v/>
      </c>
      <c r="AA300" s="680"/>
      <c r="AB300" s="680"/>
      <c r="AC300" s="680"/>
      <c r="AD300" s="680"/>
      <c r="AE300" s="680"/>
      <c r="AF300" s="681"/>
      <c r="AG300" s="729"/>
      <c r="AH300" s="730"/>
      <c r="AI300" s="730"/>
      <c r="AJ300" s="730"/>
      <c r="AK300" s="730"/>
      <c r="AL300" s="730"/>
      <c r="AM300" s="730"/>
      <c r="AN300" s="730"/>
      <c r="AO300" s="730"/>
      <c r="AP300" s="730"/>
      <c r="AQ300" s="731"/>
      <c r="AR300" s="92"/>
      <c r="AS300" s="92"/>
      <c r="AT300" s="374"/>
    </row>
    <row r="301" spans="1:46" ht="18" customHeight="1">
      <c r="A301" s="387"/>
      <c r="B301" s="674">
        <f t="shared" si="36"/>
        <v>10</v>
      </c>
      <c r="C301" s="712"/>
      <c r="D301" s="712"/>
      <c r="E301" s="677" t="str">
        <f t="shared" si="33"/>
        <v/>
      </c>
      <c r="F301" s="678"/>
      <c r="G301" s="678"/>
      <c r="H301" s="678"/>
      <c r="I301" s="678"/>
      <c r="J301" s="678"/>
      <c r="K301" s="679"/>
      <c r="L301" s="677" t="str">
        <f t="shared" si="37"/>
        <v/>
      </c>
      <c r="M301" s="680"/>
      <c r="N301" s="680"/>
      <c r="O301" s="680"/>
      <c r="P301" s="680"/>
      <c r="Q301" s="680"/>
      <c r="R301" s="681"/>
      <c r="S301" s="677" t="str">
        <f t="shared" si="34"/>
        <v/>
      </c>
      <c r="T301" s="680"/>
      <c r="U301" s="680"/>
      <c r="V301" s="680"/>
      <c r="W301" s="680"/>
      <c r="X301" s="680"/>
      <c r="Y301" s="681"/>
      <c r="Z301" s="677" t="str">
        <f t="shared" si="35"/>
        <v/>
      </c>
      <c r="AA301" s="680"/>
      <c r="AB301" s="680"/>
      <c r="AC301" s="680"/>
      <c r="AD301" s="680"/>
      <c r="AE301" s="680"/>
      <c r="AF301" s="681"/>
      <c r="AG301" s="732" t="s">
        <v>410</v>
      </c>
      <c r="AH301" s="733"/>
      <c r="AI301" s="733"/>
      <c r="AJ301" s="733"/>
      <c r="AK301" s="733"/>
      <c r="AL301" s="733"/>
      <c r="AM301" s="733"/>
      <c r="AN301" s="733"/>
      <c r="AO301" s="733"/>
      <c r="AP301" s="733"/>
      <c r="AQ301" s="734"/>
      <c r="AR301" s="92"/>
      <c r="AS301" s="92"/>
      <c r="AT301" s="374"/>
    </row>
    <row r="302" spans="1:46" ht="18" customHeight="1">
      <c r="A302" s="387"/>
      <c r="B302" s="674">
        <f t="shared" si="36"/>
        <v>11</v>
      </c>
      <c r="C302" s="712"/>
      <c r="D302" s="712"/>
      <c r="E302" s="677" t="str">
        <f t="shared" si="33"/>
        <v/>
      </c>
      <c r="F302" s="678"/>
      <c r="G302" s="678"/>
      <c r="H302" s="678"/>
      <c r="I302" s="678"/>
      <c r="J302" s="678"/>
      <c r="K302" s="679"/>
      <c r="L302" s="677" t="str">
        <f t="shared" si="37"/>
        <v/>
      </c>
      <c r="M302" s="680"/>
      <c r="N302" s="680"/>
      <c r="O302" s="680"/>
      <c r="P302" s="680"/>
      <c r="Q302" s="680"/>
      <c r="R302" s="681"/>
      <c r="S302" s="677" t="str">
        <f t="shared" si="34"/>
        <v/>
      </c>
      <c r="T302" s="680"/>
      <c r="U302" s="680"/>
      <c r="V302" s="680"/>
      <c r="W302" s="680"/>
      <c r="X302" s="680"/>
      <c r="Y302" s="681"/>
      <c r="Z302" s="677" t="str">
        <f t="shared" si="35"/>
        <v/>
      </c>
      <c r="AA302" s="680"/>
      <c r="AB302" s="680"/>
      <c r="AC302" s="680"/>
      <c r="AD302" s="680"/>
      <c r="AE302" s="680"/>
      <c r="AF302" s="681"/>
      <c r="AG302" s="739"/>
      <c r="AH302" s="740"/>
      <c r="AI302" s="740"/>
      <c r="AJ302" s="735" t="e">
        <f>Calcu_ADJ!Q7</f>
        <v>#DIV/0!</v>
      </c>
      <c r="AK302" s="735"/>
      <c r="AL302" s="735"/>
      <c r="AM302" s="735"/>
      <c r="AN302" s="735"/>
      <c r="AO302" s="735"/>
      <c r="AP302" s="735"/>
      <c r="AQ302" s="736"/>
      <c r="AR302" s="92"/>
      <c r="AS302" s="92"/>
      <c r="AT302" s="374"/>
    </row>
    <row r="303" spans="1:46" ht="18" customHeight="1">
      <c r="A303" s="387"/>
      <c r="B303" s="674">
        <f t="shared" si="36"/>
        <v>12</v>
      </c>
      <c r="C303" s="712"/>
      <c r="D303" s="712"/>
      <c r="E303" s="677" t="str">
        <f t="shared" si="33"/>
        <v/>
      </c>
      <c r="F303" s="678"/>
      <c r="G303" s="678"/>
      <c r="H303" s="678"/>
      <c r="I303" s="678"/>
      <c r="J303" s="678"/>
      <c r="K303" s="679"/>
      <c r="L303" s="677" t="str">
        <f t="shared" si="37"/>
        <v/>
      </c>
      <c r="M303" s="680"/>
      <c r="N303" s="680"/>
      <c r="O303" s="680"/>
      <c r="P303" s="680"/>
      <c r="Q303" s="680"/>
      <c r="R303" s="681"/>
      <c r="S303" s="677" t="str">
        <f t="shared" si="34"/>
        <v/>
      </c>
      <c r="T303" s="680"/>
      <c r="U303" s="680"/>
      <c r="V303" s="680"/>
      <c r="W303" s="680"/>
      <c r="X303" s="680"/>
      <c r="Y303" s="681"/>
      <c r="Z303" s="677" t="str">
        <f t="shared" si="35"/>
        <v/>
      </c>
      <c r="AA303" s="680"/>
      <c r="AB303" s="680"/>
      <c r="AC303" s="680"/>
      <c r="AD303" s="680"/>
      <c r="AE303" s="680"/>
      <c r="AF303" s="681"/>
      <c r="AG303" s="275"/>
      <c r="AH303" s="221"/>
      <c r="AI303" s="221"/>
      <c r="AJ303" s="737" t="str">
        <f>E291&amp;"/("&amp;L291&amp;")"</f>
        <v>0/(0)</v>
      </c>
      <c r="AK303" s="737"/>
      <c r="AL303" s="737"/>
      <c r="AM303" s="737"/>
      <c r="AN303" s="737"/>
      <c r="AO303" s="737"/>
      <c r="AP303" s="737"/>
      <c r="AQ303" s="738"/>
      <c r="AR303" s="92"/>
      <c r="AS303" s="92"/>
      <c r="AT303" s="374"/>
    </row>
    <row r="304" spans="1:46" ht="18" customHeight="1">
      <c r="A304" s="387"/>
      <c r="B304" s="674">
        <f t="shared" si="36"/>
        <v>13</v>
      </c>
      <c r="C304" s="712"/>
      <c r="D304" s="712"/>
      <c r="E304" s="677" t="str">
        <f t="shared" si="33"/>
        <v/>
      </c>
      <c r="F304" s="678"/>
      <c r="G304" s="678"/>
      <c r="H304" s="678"/>
      <c r="I304" s="678"/>
      <c r="J304" s="678"/>
      <c r="K304" s="679"/>
      <c r="L304" s="677" t="str">
        <f t="shared" si="37"/>
        <v/>
      </c>
      <c r="M304" s="680"/>
      <c r="N304" s="680"/>
      <c r="O304" s="680"/>
      <c r="P304" s="680"/>
      <c r="Q304" s="680"/>
      <c r="R304" s="681"/>
      <c r="S304" s="677" t="str">
        <f t="shared" si="34"/>
        <v/>
      </c>
      <c r="T304" s="680"/>
      <c r="U304" s="680"/>
      <c r="V304" s="680"/>
      <c r="W304" s="680"/>
      <c r="X304" s="680"/>
      <c r="Y304" s="681"/>
      <c r="Z304" s="677" t="str">
        <f t="shared" si="35"/>
        <v/>
      </c>
      <c r="AA304" s="680"/>
      <c r="AB304" s="680"/>
      <c r="AC304" s="680"/>
      <c r="AD304" s="680"/>
      <c r="AE304" s="680"/>
      <c r="AF304" s="681"/>
      <c r="AG304" s="729"/>
      <c r="AH304" s="730"/>
      <c r="AI304" s="730"/>
      <c r="AJ304" s="730"/>
      <c r="AK304" s="730"/>
      <c r="AL304" s="730"/>
      <c r="AM304" s="730"/>
      <c r="AN304" s="730"/>
      <c r="AO304" s="730"/>
      <c r="AP304" s="730"/>
      <c r="AQ304" s="731"/>
      <c r="AR304" s="92"/>
      <c r="AS304" s="92"/>
      <c r="AT304" s="374"/>
    </row>
    <row r="305" spans="1:46" ht="18" customHeight="1">
      <c r="A305" s="387"/>
      <c r="B305" s="674">
        <f t="shared" si="36"/>
        <v>14</v>
      </c>
      <c r="C305" s="712"/>
      <c r="D305" s="712"/>
      <c r="E305" s="677" t="str">
        <f t="shared" si="33"/>
        <v/>
      </c>
      <c r="F305" s="678"/>
      <c r="G305" s="678"/>
      <c r="H305" s="678"/>
      <c r="I305" s="678"/>
      <c r="J305" s="678"/>
      <c r="K305" s="679"/>
      <c r="L305" s="677" t="str">
        <f t="shared" si="37"/>
        <v/>
      </c>
      <c r="M305" s="680"/>
      <c r="N305" s="680"/>
      <c r="O305" s="680"/>
      <c r="P305" s="680"/>
      <c r="Q305" s="680"/>
      <c r="R305" s="681"/>
      <c r="S305" s="677" t="str">
        <f t="shared" si="34"/>
        <v/>
      </c>
      <c r="T305" s="680"/>
      <c r="U305" s="680"/>
      <c r="V305" s="680"/>
      <c r="W305" s="680"/>
      <c r="X305" s="680"/>
      <c r="Y305" s="681"/>
      <c r="Z305" s="677" t="str">
        <f t="shared" si="35"/>
        <v/>
      </c>
      <c r="AA305" s="680"/>
      <c r="AB305" s="680"/>
      <c r="AC305" s="680"/>
      <c r="AD305" s="680"/>
      <c r="AE305" s="680"/>
      <c r="AF305" s="681"/>
      <c r="AG305" s="729"/>
      <c r="AH305" s="730"/>
      <c r="AI305" s="730"/>
      <c r="AJ305" s="730"/>
      <c r="AK305" s="730"/>
      <c r="AL305" s="730"/>
      <c r="AM305" s="730"/>
      <c r="AN305" s="730"/>
      <c r="AO305" s="730"/>
      <c r="AP305" s="730"/>
      <c r="AQ305" s="731"/>
      <c r="AR305" s="92"/>
      <c r="AS305" s="92"/>
      <c r="AT305" s="374"/>
    </row>
    <row r="306" spans="1:46" ht="18" customHeight="1">
      <c r="A306" s="387"/>
      <c r="B306" s="674">
        <f t="shared" si="36"/>
        <v>15</v>
      </c>
      <c r="C306" s="712"/>
      <c r="D306" s="712"/>
      <c r="E306" s="677" t="str">
        <f t="shared" si="33"/>
        <v/>
      </c>
      <c r="F306" s="678"/>
      <c r="G306" s="678"/>
      <c r="H306" s="678"/>
      <c r="I306" s="678"/>
      <c r="J306" s="678"/>
      <c r="K306" s="679"/>
      <c r="L306" s="677" t="str">
        <f t="shared" si="37"/>
        <v/>
      </c>
      <c r="M306" s="680"/>
      <c r="N306" s="680"/>
      <c r="O306" s="680"/>
      <c r="P306" s="680"/>
      <c r="Q306" s="680"/>
      <c r="R306" s="681"/>
      <c r="S306" s="677" t="str">
        <f t="shared" si="34"/>
        <v/>
      </c>
      <c r="T306" s="680"/>
      <c r="U306" s="680"/>
      <c r="V306" s="680"/>
      <c r="W306" s="680"/>
      <c r="X306" s="680"/>
      <c r="Y306" s="681"/>
      <c r="Z306" s="677" t="str">
        <f t="shared" si="35"/>
        <v/>
      </c>
      <c r="AA306" s="680"/>
      <c r="AB306" s="680"/>
      <c r="AC306" s="680"/>
      <c r="AD306" s="680"/>
      <c r="AE306" s="680"/>
      <c r="AF306" s="681"/>
      <c r="AG306" s="729"/>
      <c r="AH306" s="730"/>
      <c r="AI306" s="730"/>
      <c r="AJ306" s="730"/>
      <c r="AK306" s="730"/>
      <c r="AL306" s="730"/>
      <c r="AM306" s="730"/>
      <c r="AN306" s="730"/>
      <c r="AO306" s="730"/>
      <c r="AP306" s="730"/>
      <c r="AQ306" s="731"/>
      <c r="AR306" s="92"/>
      <c r="AS306" s="92"/>
      <c r="AT306" s="374"/>
    </row>
    <row r="307" spans="1:46" ht="18" customHeight="1">
      <c r="A307" s="387"/>
      <c r="B307" s="674">
        <f t="shared" si="36"/>
        <v>16</v>
      </c>
      <c r="C307" s="712"/>
      <c r="D307" s="712"/>
      <c r="E307" s="677" t="str">
        <f t="shared" si="33"/>
        <v/>
      </c>
      <c r="F307" s="678"/>
      <c r="G307" s="678"/>
      <c r="H307" s="678"/>
      <c r="I307" s="678"/>
      <c r="J307" s="678"/>
      <c r="K307" s="679"/>
      <c r="L307" s="677" t="str">
        <f t="shared" si="37"/>
        <v/>
      </c>
      <c r="M307" s="680"/>
      <c r="N307" s="680"/>
      <c r="O307" s="680"/>
      <c r="P307" s="680"/>
      <c r="Q307" s="680"/>
      <c r="R307" s="681"/>
      <c r="S307" s="677" t="str">
        <f t="shared" si="34"/>
        <v/>
      </c>
      <c r="T307" s="680"/>
      <c r="U307" s="680"/>
      <c r="V307" s="680"/>
      <c r="W307" s="680"/>
      <c r="X307" s="680"/>
      <c r="Y307" s="681"/>
      <c r="Z307" s="677" t="str">
        <f t="shared" si="35"/>
        <v/>
      </c>
      <c r="AA307" s="680"/>
      <c r="AB307" s="680"/>
      <c r="AC307" s="680"/>
      <c r="AD307" s="680"/>
      <c r="AE307" s="680"/>
      <c r="AF307" s="681"/>
      <c r="AG307" s="729"/>
      <c r="AH307" s="730"/>
      <c r="AI307" s="730"/>
      <c r="AJ307" s="730"/>
      <c r="AK307" s="730"/>
      <c r="AL307" s="730"/>
      <c r="AM307" s="730"/>
      <c r="AN307" s="730"/>
      <c r="AO307" s="730"/>
      <c r="AP307" s="730"/>
      <c r="AQ307" s="731"/>
      <c r="AR307" s="92"/>
      <c r="AS307" s="92"/>
      <c r="AT307" s="374"/>
    </row>
    <row r="308" spans="1:46" ht="18" customHeight="1">
      <c r="A308" s="387"/>
      <c r="B308" s="674">
        <f t="shared" si="36"/>
        <v>17</v>
      </c>
      <c r="C308" s="712"/>
      <c r="D308" s="712"/>
      <c r="E308" s="677" t="str">
        <f t="shared" si="33"/>
        <v/>
      </c>
      <c r="F308" s="678"/>
      <c r="G308" s="678"/>
      <c r="H308" s="678"/>
      <c r="I308" s="678"/>
      <c r="J308" s="678"/>
      <c r="K308" s="679"/>
      <c r="L308" s="677" t="str">
        <f t="shared" si="37"/>
        <v/>
      </c>
      <c r="M308" s="680"/>
      <c r="N308" s="680"/>
      <c r="O308" s="680"/>
      <c r="P308" s="680"/>
      <c r="Q308" s="680"/>
      <c r="R308" s="681"/>
      <c r="S308" s="677" t="str">
        <f t="shared" si="34"/>
        <v/>
      </c>
      <c r="T308" s="680"/>
      <c r="U308" s="680"/>
      <c r="V308" s="680"/>
      <c r="W308" s="680"/>
      <c r="X308" s="680"/>
      <c r="Y308" s="681"/>
      <c r="Z308" s="677" t="str">
        <f t="shared" si="35"/>
        <v/>
      </c>
      <c r="AA308" s="680"/>
      <c r="AB308" s="680"/>
      <c r="AC308" s="680"/>
      <c r="AD308" s="680"/>
      <c r="AE308" s="680"/>
      <c r="AF308" s="681"/>
      <c r="AG308" s="729"/>
      <c r="AH308" s="730"/>
      <c r="AI308" s="730"/>
      <c r="AJ308" s="730"/>
      <c r="AK308" s="730"/>
      <c r="AL308" s="730"/>
      <c r="AM308" s="730"/>
      <c r="AN308" s="730"/>
      <c r="AO308" s="730"/>
      <c r="AP308" s="730"/>
      <c r="AQ308" s="731"/>
      <c r="AR308" s="92"/>
      <c r="AS308" s="92"/>
      <c r="AT308" s="374"/>
    </row>
    <row r="309" spans="1:46" ht="18" customHeight="1">
      <c r="A309" s="387"/>
      <c r="B309" s="674">
        <f t="shared" si="36"/>
        <v>18</v>
      </c>
      <c r="C309" s="712"/>
      <c r="D309" s="712"/>
      <c r="E309" s="677" t="str">
        <f t="shared" si="33"/>
        <v/>
      </c>
      <c r="F309" s="678"/>
      <c r="G309" s="678"/>
      <c r="H309" s="678"/>
      <c r="I309" s="678"/>
      <c r="J309" s="678"/>
      <c r="K309" s="679"/>
      <c r="L309" s="677" t="str">
        <f t="shared" si="37"/>
        <v/>
      </c>
      <c r="M309" s="680"/>
      <c r="N309" s="680"/>
      <c r="O309" s="680"/>
      <c r="P309" s="680"/>
      <c r="Q309" s="680"/>
      <c r="R309" s="681"/>
      <c r="S309" s="677" t="str">
        <f t="shared" si="34"/>
        <v/>
      </c>
      <c r="T309" s="680"/>
      <c r="U309" s="680"/>
      <c r="V309" s="680"/>
      <c r="W309" s="680"/>
      <c r="X309" s="680"/>
      <c r="Y309" s="681"/>
      <c r="Z309" s="677" t="str">
        <f t="shared" si="35"/>
        <v/>
      </c>
      <c r="AA309" s="680"/>
      <c r="AB309" s="680"/>
      <c r="AC309" s="680"/>
      <c r="AD309" s="680"/>
      <c r="AE309" s="680"/>
      <c r="AF309" s="681"/>
      <c r="AG309" s="729"/>
      <c r="AH309" s="730"/>
      <c r="AI309" s="730"/>
      <c r="AJ309" s="730"/>
      <c r="AK309" s="730"/>
      <c r="AL309" s="730"/>
      <c r="AM309" s="730"/>
      <c r="AN309" s="730"/>
      <c r="AO309" s="730"/>
      <c r="AP309" s="730"/>
      <c r="AQ309" s="731"/>
      <c r="AR309" s="92"/>
      <c r="AS309" s="92"/>
      <c r="AT309" s="374"/>
    </row>
    <row r="310" spans="1:46" ht="18" customHeight="1">
      <c r="A310" s="387"/>
      <c r="B310" s="674">
        <f t="shared" si="36"/>
        <v>19</v>
      </c>
      <c r="C310" s="712"/>
      <c r="D310" s="712"/>
      <c r="E310" s="677" t="str">
        <f t="shared" si="33"/>
        <v/>
      </c>
      <c r="F310" s="678"/>
      <c r="G310" s="678"/>
      <c r="H310" s="678"/>
      <c r="I310" s="678"/>
      <c r="J310" s="678"/>
      <c r="K310" s="679"/>
      <c r="L310" s="677" t="str">
        <f t="shared" si="37"/>
        <v/>
      </c>
      <c r="M310" s="680"/>
      <c r="N310" s="680"/>
      <c r="O310" s="680"/>
      <c r="P310" s="680"/>
      <c r="Q310" s="680"/>
      <c r="R310" s="681"/>
      <c r="S310" s="677" t="str">
        <f t="shared" si="34"/>
        <v/>
      </c>
      <c r="T310" s="680"/>
      <c r="U310" s="680"/>
      <c r="V310" s="680"/>
      <c r="W310" s="680"/>
      <c r="X310" s="680"/>
      <c r="Y310" s="681"/>
      <c r="Z310" s="677" t="str">
        <f t="shared" si="35"/>
        <v/>
      </c>
      <c r="AA310" s="680"/>
      <c r="AB310" s="680"/>
      <c r="AC310" s="680"/>
      <c r="AD310" s="680"/>
      <c r="AE310" s="680"/>
      <c r="AF310" s="681"/>
      <c r="AG310" s="729"/>
      <c r="AH310" s="730"/>
      <c r="AI310" s="730"/>
      <c r="AJ310" s="730"/>
      <c r="AK310" s="730"/>
      <c r="AL310" s="730"/>
      <c r="AM310" s="730"/>
      <c r="AN310" s="730"/>
      <c r="AO310" s="730"/>
      <c r="AP310" s="730"/>
      <c r="AQ310" s="731"/>
      <c r="AR310" s="92"/>
      <c r="AS310" s="92"/>
      <c r="AT310" s="374"/>
    </row>
    <row r="311" spans="1:46" ht="18" customHeight="1">
      <c r="A311" s="387"/>
      <c r="B311" s="674">
        <f t="shared" si="36"/>
        <v>20</v>
      </c>
      <c r="C311" s="712"/>
      <c r="D311" s="712"/>
      <c r="E311" s="677" t="str">
        <f t="shared" si="33"/>
        <v/>
      </c>
      <c r="F311" s="678"/>
      <c r="G311" s="678"/>
      <c r="H311" s="678"/>
      <c r="I311" s="678"/>
      <c r="J311" s="678"/>
      <c r="K311" s="679"/>
      <c r="L311" s="677" t="str">
        <f t="shared" si="37"/>
        <v/>
      </c>
      <c r="M311" s="680"/>
      <c r="N311" s="680"/>
      <c r="O311" s="680"/>
      <c r="P311" s="680"/>
      <c r="Q311" s="680"/>
      <c r="R311" s="681"/>
      <c r="S311" s="677" t="str">
        <f t="shared" si="34"/>
        <v/>
      </c>
      <c r="T311" s="680"/>
      <c r="U311" s="680"/>
      <c r="V311" s="680"/>
      <c r="W311" s="680"/>
      <c r="X311" s="680"/>
      <c r="Y311" s="681"/>
      <c r="Z311" s="677" t="str">
        <f t="shared" si="35"/>
        <v/>
      </c>
      <c r="AA311" s="680"/>
      <c r="AB311" s="680"/>
      <c r="AC311" s="680"/>
      <c r="AD311" s="680"/>
      <c r="AE311" s="680"/>
      <c r="AF311" s="681"/>
      <c r="AG311" s="729"/>
      <c r="AH311" s="730"/>
      <c r="AI311" s="730"/>
      <c r="AJ311" s="730"/>
      <c r="AK311" s="730"/>
      <c r="AL311" s="730"/>
      <c r="AM311" s="730"/>
      <c r="AN311" s="730"/>
      <c r="AO311" s="730"/>
      <c r="AP311" s="730"/>
      <c r="AQ311" s="731"/>
      <c r="AR311" s="92"/>
      <c r="AS311" s="92"/>
      <c r="AT311" s="374"/>
    </row>
    <row r="312" spans="1:46" ht="18" customHeight="1">
      <c r="A312" s="387"/>
      <c r="B312" s="674">
        <f t="shared" si="36"/>
        <v>21</v>
      </c>
      <c r="C312" s="712"/>
      <c r="D312" s="712"/>
      <c r="E312" s="677" t="str">
        <f t="shared" si="33"/>
        <v/>
      </c>
      <c r="F312" s="678"/>
      <c r="G312" s="678"/>
      <c r="H312" s="678"/>
      <c r="I312" s="678"/>
      <c r="J312" s="678"/>
      <c r="K312" s="679"/>
      <c r="L312" s="677" t="str">
        <f t="shared" si="37"/>
        <v/>
      </c>
      <c r="M312" s="680"/>
      <c r="N312" s="680"/>
      <c r="O312" s="680"/>
      <c r="P312" s="680"/>
      <c r="Q312" s="680"/>
      <c r="R312" s="681"/>
      <c r="S312" s="677" t="str">
        <f t="shared" si="34"/>
        <v/>
      </c>
      <c r="T312" s="680"/>
      <c r="U312" s="680"/>
      <c r="V312" s="680"/>
      <c r="W312" s="680"/>
      <c r="X312" s="680"/>
      <c r="Y312" s="681"/>
      <c r="Z312" s="677" t="str">
        <f t="shared" si="35"/>
        <v/>
      </c>
      <c r="AA312" s="680"/>
      <c r="AB312" s="680"/>
      <c r="AC312" s="680"/>
      <c r="AD312" s="680"/>
      <c r="AE312" s="680"/>
      <c r="AF312" s="681"/>
      <c r="AG312" s="729"/>
      <c r="AH312" s="730"/>
      <c r="AI312" s="730"/>
      <c r="AJ312" s="730"/>
      <c r="AK312" s="730"/>
      <c r="AL312" s="730"/>
      <c r="AM312" s="730"/>
      <c r="AN312" s="730"/>
      <c r="AO312" s="730"/>
      <c r="AP312" s="730"/>
      <c r="AQ312" s="731"/>
      <c r="AR312" s="92"/>
      <c r="AS312" s="92"/>
      <c r="AT312" s="374"/>
    </row>
    <row r="313" spans="1:46" ht="18" customHeight="1">
      <c r="A313" s="387"/>
      <c r="B313" s="674">
        <f t="shared" si="36"/>
        <v>22</v>
      </c>
      <c r="C313" s="712"/>
      <c r="D313" s="712"/>
      <c r="E313" s="677" t="str">
        <f t="shared" si="33"/>
        <v/>
      </c>
      <c r="F313" s="678"/>
      <c r="G313" s="678"/>
      <c r="H313" s="678"/>
      <c r="I313" s="678"/>
      <c r="J313" s="678"/>
      <c r="K313" s="679"/>
      <c r="L313" s="677" t="str">
        <f t="shared" si="37"/>
        <v/>
      </c>
      <c r="M313" s="680"/>
      <c r="N313" s="680"/>
      <c r="O313" s="680"/>
      <c r="P313" s="680"/>
      <c r="Q313" s="680"/>
      <c r="R313" s="681"/>
      <c r="S313" s="677" t="str">
        <f t="shared" si="34"/>
        <v/>
      </c>
      <c r="T313" s="680"/>
      <c r="U313" s="680"/>
      <c r="V313" s="680"/>
      <c r="W313" s="680"/>
      <c r="X313" s="680"/>
      <c r="Y313" s="681"/>
      <c r="Z313" s="677" t="str">
        <f t="shared" si="35"/>
        <v/>
      </c>
      <c r="AA313" s="680"/>
      <c r="AB313" s="680"/>
      <c r="AC313" s="680"/>
      <c r="AD313" s="680"/>
      <c r="AE313" s="680"/>
      <c r="AF313" s="681"/>
      <c r="AG313" s="729"/>
      <c r="AH313" s="730"/>
      <c r="AI313" s="730"/>
      <c r="AJ313" s="730"/>
      <c r="AK313" s="730"/>
      <c r="AL313" s="730"/>
      <c r="AM313" s="730"/>
      <c r="AN313" s="730"/>
      <c r="AO313" s="730"/>
      <c r="AP313" s="730"/>
      <c r="AQ313" s="731"/>
      <c r="AR313" s="92"/>
      <c r="AS313" s="92"/>
      <c r="AT313" s="374"/>
    </row>
    <row r="314" spans="1:46" ht="18" customHeight="1">
      <c r="A314" s="387"/>
      <c r="B314" s="674">
        <f t="shared" si="36"/>
        <v>23</v>
      </c>
      <c r="C314" s="712"/>
      <c r="D314" s="712"/>
      <c r="E314" s="677" t="str">
        <f t="shared" si="33"/>
        <v/>
      </c>
      <c r="F314" s="678"/>
      <c r="G314" s="678"/>
      <c r="H314" s="678"/>
      <c r="I314" s="678"/>
      <c r="J314" s="678"/>
      <c r="K314" s="679"/>
      <c r="L314" s="677" t="str">
        <f t="shared" si="37"/>
        <v/>
      </c>
      <c r="M314" s="680"/>
      <c r="N314" s="680"/>
      <c r="O314" s="680"/>
      <c r="P314" s="680"/>
      <c r="Q314" s="680"/>
      <c r="R314" s="681"/>
      <c r="S314" s="677" t="str">
        <f t="shared" si="34"/>
        <v/>
      </c>
      <c r="T314" s="680"/>
      <c r="U314" s="680"/>
      <c r="V314" s="680"/>
      <c r="W314" s="680"/>
      <c r="X314" s="680"/>
      <c r="Y314" s="681"/>
      <c r="Z314" s="677" t="str">
        <f t="shared" si="35"/>
        <v/>
      </c>
      <c r="AA314" s="680"/>
      <c r="AB314" s="680"/>
      <c r="AC314" s="680"/>
      <c r="AD314" s="680"/>
      <c r="AE314" s="680"/>
      <c r="AF314" s="681"/>
      <c r="AG314" s="729"/>
      <c r="AH314" s="730"/>
      <c r="AI314" s="730"/>
      <c r="AJ314" s="730"/>
      <c r="AK314" s="730"/>
      <c r="AL314" s="730"/>
      <c r="AM314" s="730"/>
      <c r="AN314" s="730"/>
      <c r="AO314" s="730"/>
      <c r="AP314" s="730"/>
      <c r="AQ314" s="731"/>
      <c r="AR314" s="92"/>
      <c r="AS314" s="92"/>
      <c r="AT314" s="374"/>
    </row>
    <row r="315" spans="1:46" ht="18" customHeight="1">
      <c r="A315" s="387"/>
      <c r="B315" s="674">
        <f t="shared" si="36"/>
        <v>24</v>
      </c>
      <c r="C315" s="712"/>
      <c r="D315" s="712"/>
      <c r="E315" s="677" t="str">
        <f t="shared" si="33"/>
        <v/>
      </c>
      <c r="F315" s="678"/>
      <c r="G315" s="678"/>
      <c r="H315" s="678"/>
      <c r="I315" s="678"/>
      <c r="J315" s="678"/>
      <c r="K315" s="679"/>
      <c r="L315" s="677" t="str">
        <f t="shared" si="37"/>
        <v/>
      </c>
      <c r="M315" s="680"/>
      <c r="N315" s="680"/>
      <c r="O315" s="680"/>
      <c r="P315" s="680"/>
      <c r="Q315" s="680"/>
      <c r="R315" s="681"/>
      <c r="S315" s="677" t="str">
        <f t="shared" si="34"/>
        <v/>
      </c>
      <c r="T315" s="680"/>
      <c r="U315" s="680"/>
      <c r="V315" s="680"/>
      <c r="W315" s="680"/>
      <c r="X315" s="680"/>
      <c r="Y315" s="681"/>
      <c r="Z315" s="677" t="str">
        <f t="shared" si="35"/>
        <v/>
      </c>
      <c r="AA315" s="680"/>
      <c r="AB315" s="680"/>
      <c r="AC315" s="680"/>
      <c r="AD315" s="680"/>
      <c r="AE315" s="680"/>
      <c r="AF315" s="681"/>
      <c r="AG315" s="729"/>
      <c r="AH315" s="730"/>
      <c r="AI315" s="730"/>
      <c r="AJ315" s="730"/>
      <c r="AK315" s="730"/>
      <c r="AL315" s="730"/>
      <c r="AM315" s="730"/>
      <c r="AN315" s="730"/>
      <c r="AO315" s="730"/>
      <c r="AP315" s="730"/>
      <c r="AQ315" s="731"/>
      <c r="AR315" s="92"/>
      <c r="AS315" s="92"/>
      <c r="AT315" s="374"/>
    </row>
    <row r="316" spans="1:46" ht="18" customHeight="1">
      <c r="A316" s="387"/>
      <c r="B316" s="674">
        <f t="shared" si="36"/>
        <v>25</v>
      </c>
      <c r="C316" s="712"/>
      <c r="D316" s="712"/>
      <c r="E316" s="677" t="str">
        <f t="shared" si="33"/>
        <v/>
      </c>
      <c r="F316" s="678"/>
      <c r="G316" s="678"/>
      <c r="H316" s="678"/>
      <c r="I316" s="678"/>
      <c r="J316" s="678"/>
      <c r="K316" s="679"/>
      <c r="L316" s="677" t="str">
        <f t="shared" si="37"/>
        <v/>
      </c>
      <c r="M316" s="680"/>
      <c r="N316" s="680"/>
      <c r="O316" s="680"/>
      <c r="P316" s="680"/>
      <c r="Q316" s="680"/>
      <c r="R316" s="681"/>
      <c r="S316" s="677" t="str">
        <f t="shared" si="34"/>
        <v/>
      </c>
      <c r="T316" s="680"/>
      <c r="U316" s="680"/>
      <c r="V316" s="680"/>
      <c r="W316" s="680"/>
      <c r="X316" s="680"/>
      <c r="Y316" s="681"/>
      <c r="Z316" s="677" t="str">
        <f t="shared" si="35"/>
        <v/>
      </c>
      <c r="AA316" s="680"/>
      <c r="AB316" s="680"/>
      <c r="AC316" s="680"/>
      <c r="AD316" s="680"/>
      <c r="AE316" s="680"/>
      <c r="AF316" s="681"/>
      <c r="AG316" s="729"/>
      <c r="AH316" s="730"/>
      <c r="AI316" s="730"/>
      <c r="AJ316" s="730"/>
      <c r="AK316" s="730"/>
      <c r="AL316" s="730"/>
      <c r="AM316" s="730"/>
      <c r="AN316" s="730"/>
      <c r="AO316" s="730"/>
      <c r="AP316" s="730"/>
      <c r="AQ316" s="731"/>
      <c r="AR316" s="92"/>
      <c r="AS316" s="92"/>
      <c r="AT316" s="374"/>
    </row>
    <row r="317" spans="1:46" ht="18" customHeight="1">
      <c r="A317" s="387"/>
      <c r="B317" s="674">
        <f t="shared" si="36"/>
        <v>26</v>
      </c>
      <c r="C317" s="712"/>
      <c r="D317" s="712"/>
      <c r="E317" s="677" t="str">
        <f t="shared" si="33"/>
        <v/>
      </c>
      <c r="F317" s="678"/>
      <c r="G317" s="678"/>
      <c r="H317" s="678"/>
      <c r="I317" s="678"/>
      <c r="J317" s="678"/>
      <c r="K317" s="679"/>
      <c r="L317" s="677" t="str">
        <f t="shared" si="37"/>
        <v/>
      </c>
      <c r="M317" s="680"/>
      <c r="N317" s="680"/>
      <c r="O317" s="680"/>
      <c r="P317" s="680"/>
      <c r="Q317" s="680"/>
      <c r="R317" s="681"/>
      <c r="S317" s="677" t="str">
        <f t="shared" si="34"/>
        <v/>
      </c>
      <c r="T317" s="680"/>
      <c r="U317" s="680"/>
      <c r="V317" s="680"/>
      <c r="W317" s="680"/>
      <c r="X317" s="680"/>
      <c r="Y317" s="681"/>
      <c r="Z317" s="677" t="str">
        <f t="shared" si="35"/>
        <v/>
      </c>
      <c r="AA317" s="680"/>
      <c r="AB317" s="680"/>
      <c r="AC317" s="680"/>
      <c r="AD317" s="680"/>
      <c r="AE317" s="680"/>
      <c r="AF317" s="681"/>
      <c r="AG317" s="729"/>
      <c r="AH317" s="730"/>
      <c r="AI317" s="730"/>
      <c r="AJ317" s="730"/>
      <c r="AK317" s="730"/>
      <c r="AL317" s="730"/>
      <c r="AM317" s="730"/>
      <c r="AN317" s="730"/>
      <c r="AO317" s="730"/>
      <c r="AP317" s="730"/>
      <c r="AQ317" s="731"/>
      <c r="AR317" s="92"/>
      <c r="AS317" s="92"/>
      <c r="AT317" s="374"/>
    </row>
    <row r="318" spans="1:46" ht="18" customHeight="1">
      <c r="A318" s="387"/>
      <c r="B318" s="674">
        <f t="shared" si="36"/>
        <v>27</v>
      </c>
      <c r="C318" s="712"/>
      <c r="D318" s="712"/>
      <c r="E318" s="677" t="str">
        <f t="shared" si="33"/>
        <v/>
      </c>
      <c r="F318" s="678"/>
      <c r="G318" s="678"/>
      <c r="H318" s="678"/>
      <c r="I318" s="678"/>
      <c r="J318" s="678"/>
      <c r="K318" s="679"/>
      <c r="L318" s="677" t="str">
        <f t="shared" si="37"/>
        <v/>
      </c>
      <c r="M318" s="680"/>
      <c r="N318" s="680"/>
      <c r="O318" s="680"/>
      <c r="P318" s="680"/>
      <c r="Q318" s="680"/>
      <c r="R318" s="681"/>
      <c r="S318" s="677" t="str">
        <f t="shared" si="34"/>
        <v/>
      </c>
      <c r="T318" s="680"/>
      <c r="U318" s="680"/>
      <c r="V318" s="680"/>
      <c r="W318" s="680"/>
      <c r="X318" s="680"/>
      <c r="Y318" s="681"/>
      <c r="Z318" s="677" t="str">
        <f t="shared" si="35"/>
        <v/>
      </c>
      <c r="AA318" s="680"/>
      <c r="AB318" s="680"/>
      <c r="AC318" s="680"/>
      <c r="AD318" s="680"/>
      <c r="AE318" s="680"/>
      <c r="AF318" s="681"/>
      <c r="AG318" s="729"/>
      <c r="AH318" s="730"/>
      <c r="AI318" s="730"/>
      <c r="AJ318" s="730"/>
      <c r="AK318" s="730"/>
      <c r="AL318" s="730"/>
      <c r="AM318" s="730"/>
      <c r="AN318" s="730"/>
      <c r="AO318" s="730"/>
      <c r="AP318" s="730"/>
      <c r="AQ318" s="731"/>
      <c r="AR318" s="92"/>
      <c r="AS318" s="92"/>
      <c r="AT318" s="374"/>
    </row>
    <row r="319" spans="1:46" ht="18" customHeight="1">
      <c r="A319" s="387"/>
      <c r="B319" s="674">
        <f t="shared" si="36"/>
        <v>28</v>
      </c>
      <c r="C319" s="712"/>
      <c r="D319" s="712"/>
      <c r="E319" s="677" t="str">
        <f t="shared" si="33"/>
        <v/>
      </c>
      <c r="F319" s="678"/>
      <c r="G319" s="678"/>
      <c r="H319" s="678"/>
      <c r="I319" s="678"/>
      <c r="J319" s="678"/>
      <c r="K319" s="679"/>
      <c r="L319" s="677" t="str">
        <f t="shared" si="37"/>
        <v/>
      </c>
      <c r="M319" s="680"/>
      <c r="N319" s="680"/>
      <c r="O319" s="680"/>
      <c r="P319" s="680"/>
      <c r="Q319" s="680"/>
      <c r="R319" s="681"/>
      <c r="S319" s="677" t="str">
        <f t="shared" si="34"/>
        <v/>
      </c>
      <c r="T319" s="680"/>
      <c r="U319" s="680"/>
      <c r="V319" s="680"/>
      <c r="W319" s="680"/>
      <c r="X319" s="680"/>
      <c r="Y319" s="681"/>
      <c r="Z319" s="677" t="str">
        <f t="shared" si="35"/>
        <v/>
      </c>
      <c r="AA319" s="680"/>
      <c r="AB319" s="680"/>
      <c r="AC319" s="680"/>
      <c r="AD319" s="680"/>
      <c r="AE319" s="680"/>
      <c r="AF319" s="681"/>
      <c r="AG319" s="729"/>
      <c r="AH319" s="730"/>
      <c r="AI319" s="730"/>
      <c r="AJ319" s="730"/>
      <c r="AK319" s="730"/>
      <c r="AL319" s="730"/>
      <c r="AM319" s="730"/>
      <c r="AN319" s="730"/>
      <c r="AO319" s="730"/>
      <c r="AP319" s="730"/>
      <c r="AQ319" s="731"/>
      <c r="AR319" s="92"/>
      <c r="AS319" s="92"/>
      <c r="AT319" s="374"/>
    </row>
    <row r="320" spans="1:46" ht="18" customHeight="1">
      <c r="A320" s="387"/>
      <c r="B320" s="674">
        <f t="shared" si="36"/>
        <v>29</v>
      </c>
      <c r="C320" s="712"/>
      <c r="D320" s="712"/>
      <c r="E320" s="677" t="str">
        <f t="shared" si="33"/>
        <v/>
      </c>
      <c r="F320" s="678"/>
      <c r="G320" s="678"/>
      <c r="H320" s="678"/>
      <c r="I320" s="678"/>
      <c r="J320" s="678"/>
      <c r="K320" s="679"/>
      <c r="L320" s="677" t="str">
        <f t="shared" si="37"/>
        <v/>
      </c>
      <c r="M320" s="680"/>
      <c r="N320" s="680"/>
      <c r="O320" s="680"/>
      <c r="P320" s="680"/>
      <c r="Q320" s="680"/>
      <c r="R320" s="681"/>
      <c r="S320" s="677" t="str">
        <f t="shared" si="34"/>
        <v/>
      </c>
      <c r="T320" s="680"/>
      <c r="U320" s="680"/>
      <c r="V320" s="680"/>
      <c r="W320" s="680"/>
      <c r="X320" s="680"/>
      <c r="Y320" s="681"/>
      <c r="Z320" s="677" t="str">
        <f t="shared" si="35"/>
        <v/>
      </c>
      <c r="AA320" s="680"/>
      <c r="AB320" s="680"/>
      <c r="AC320" s="680"/>
      <c r="AD320" s="680"/>
      <c r="AE320" s="680"/>
      <c r="AF320" s="681"/>
      <c r="AG320" s="729"/>
      <c r="AH320" s="730"/>
      <c r="AI320" s="730"/>
      <c r="AJ320" s="730"/>
      <c r="AK320" s="730"/>
      <c r="AL320" s="730"/>
      <c r="AM320" s="730"/>
      <c r="AN320" s="730"/>
      <c r="AO320" s="730"/>
      <c r="AP320" s="730"/>
      <c r="AQ320" s="731"/>
      <c r="AR320" s="92"/>
      <c r="AS320" s="92"/>
      <c r="AT320" s="374"/>
    </row>
    <row r="321" spans="1:46" ht="18" customHeight="1">
      <c r="A321" s="387"/>
      <c r="B321" s="674">
        <f t="shared" si="36"/>
        <v>30</v>
      </c>
      <c r="C321" s="712"/>
      <c r="D321" s="712"/>
      <c r="E321" s="677" t="str">
        <f t="shared" si="33"/>
        <v/>
      </c>
      <c r="F321" s="678"/>
      <c r="G321" s="678"/>
      <c r="H321" s="678"/>
      <c r="I321" s="678"/>
      <c r="J321" s="678"/>
      <c r="K321" s="679"/>
      <c r="L321" s="677" t="str">
        <f t="shared" si="37"/>
        <v/>
      </c>
      <c r="M321" s="680"/>
      <c r="N321" s="680"/>
      <c r="O321" s="680"/>
      <c r="P321" s="680"/>
      <c r="Q321" s="680"/>
      <c r="R321" s="681"/>
      <c r="S321" s="677" t="str">
        <f t="shared" si="34"/>
        <v/>
      </c>
      <c r="T321" s="680"/>
      <c r="U321" s="680"/>
      <c r="V321" s="680"/>
      <c r="W321" s="680"/>
      <c r="X321" s="680"/>
      <c r="Y321" s="681"/>
      <c r="Z321" s="677" t="str">
        <f t="shared" si="35"/>
        <v/>
      </c>
      <c r="AA321" s="680"/>
      <c r="AB321" s="680"/>
      <c r="AC321" s="680"/>
      <c r="AD321" s="680"/>
      <c r="AE321" s="680"/>
      <c r="AF321" s="681"/>
      <c r="AG321" s="729"/>
      <c r="AH321" s="730"/>
      <c r="AI321" s="730"/>
      <c r="AJ321" s="730"/>
      <c r="AK321" s="730"/>
      <c r="AL321" s="730"/>
      <c r="AM321" s="730"/>
      <c r="AN321" s="730"/>
      <c r="AO321" s="730"/>
      <c r="AP321" s="730"/>
      <c r="AQ321" s="731"/>
      <c r="AR321" s="92"/>
      <c r="AS321" s="92"/>
      <c r="AT321" s="374"/>
    </row>
    <row r="322" spans="1:46" s="374" customFormat="1" ht="18" customHeight="1">
      <c r="A322" s="387"/>
      <c r="B322" s="403"/>
      <c r="C322" s="403"/>
      <c r="D322" s="403"/>
      <c r="E322" s="403"/>
      <c r="F322" s="403"/>
      <c r="G322" s="403"/>
      <c r="H322" s="403"/>
      <c r="I322" s="403"/>
      <c r="J322" s="403"/>
      <c r="K322" s="403"/>
      <c r="L322" s="403"/>
      <c r="M322" s="403"/>
      <c r="N322" s="403"/>
      <c r="O322" s="403"/>
      <c r="P322" s="403"/>
      <c r="Q322" s="403"/>
      <c r="R322" s="403"/>
      <c r="S322" s="403"/>
      <c r="T322" s="403"/>
      <c r="U322" s="403"/>
      <c r="V322" s="403"/>
      <c r="W322" s="403"/>
      <c r="X322" s="403"/>
      <c r="Y322" s="403"/>
      <c r="Z322" s="403"/>
      <c r="AA322" s="403"/>
      <c r="AB322" s="403"/>
      <c r="AC322" s="403"/>
      <c r="AD322" s="403"/>
      <c r="AE322" s="403"/>
      <c r="AF322" s="403"/>
      <c r="AG322" s="403"/>
      <c r="AH322" s="403"/>
      <c r="AI322" s="403"/>
      <c r="AJ322" s="403"/>
      <c r="AK322" s="403"/>
      <c r="AL322" s="403"/>
      <c r="AM322" s="403"/>
      <c r="AN322" s="403"/>
      <c r="AO322" s="403"/>
      <c r="AP322" s="403"/>
      <c r="AQ322" s="403"/>
      <c r="AR322" s="92"/>
      <c r="AS322" s="92"/>
    </row>
    <row r="323" spans="1:46" ht="18" customHeight="1">
      <c r="A323" s="131" t="s">
        <v>411</v>
      </c>
      <c r="B323" s="374"/>
      <c r="C323" s="374"/>
      <c r="D323" s="374"/>
      <c r="E323" s="374"/>
      <c r="F323" s="374"/>
      <c r="G323" s="374"/>
      <c r="H323" s="374"/>
      <c r="I323" s="374"/>
      <c r="J323" s="374"/>
      <c r="K323" s="374"/>
      <c r="L323" s="374"/>
      <c r="M323" s="374"/>
      <c r="N323" s="374"/>
      <c r="O323" s="374"/>
      <c r="P323" s="374"/>
      <c r="Q323" s="374"/>
      <c r="R323" s="374"/>
      <c r="S323" s="374"/>
      <c r="T323" s="374"/>
      <c r="U323" s="374"/>
      <c r="V323" s="374"/>
      <c r="W323" s="374"/>
      <c r="X323" s="374"/>
      <c r="Y323" s="374"/>
      <c r="Z323" s="374"/>
      <c r="AA323" s="374"/>
      <c r="AB323" s="374"/>
      <c r="AC323" s="374"/>
      <c r="AD323" s="374"/>
      <c r="AE323" s="374"/>
      <c r="AF323" s="374"/>
      <c r="AG323" s="374"/>
      <c r="AH323" s="374"/>
      <c r="AI323" s="374"/>
      <c r="AJ323" s="374"/>
      <c r="AK323" s="374"/>
      <c r="AL323" s="374"/>
      <c r="AM323" s="374"/>
      <c r="AN323" s="374"/>
      <c r="AO323" s="374"/>
      <c r="AP323" s="374"/>
      <c r="AQ323" s="374"/>
      <c r="AR323" s="374"/>
      <c r="AS323" s="374"/>
      <c r="AT323" s="374"/>
    </row>
    <row r="324" spans="1:46" ht="18" customHeight="1">
      <c r="A324" s="387"/>
      <c r="B324" s="683" t="s">
        <v>137</v>
      </c>
      <c r="C324" s="684"/>
      <c r="D324" s="684"/>
      <c r="E324" s="684"/>
      <c r="F324" s="684"/>
      <c r="G324" s="684"/>
      <c r="H324" s="685"/>
      <c r="I324" s="683" t="s">
        <v>393</v>
      </c>
      <c r="J324" s="717"/>
      <c r="K324" s="717"/>
      <c r="L324" s="717"/>
      <c r="M324" s="717"/>
      <c r="N324" s="717"/>
      <c r="O324" s="741"/>
      <c r="P324" s="665" t="s">
        <v>412</v>
      </c>
      <c r="Q324" s="744"/>
      <c r="R324" s="744"/>
      <c r="S324" s="744"/>
      <c r="T324" s="744"/>
      <c r="U324" s="744"/>
      <c r="V324" s="744"/>
      <c r="W324" s="744"/>
      <c r="X324" s="744"/>
      <c r="Y324" s="744"/>
      <c r="Z324" s="744"/>
      <c r="AA324" s="744"/>
      <c r="AB324" s="744"/>
      <c r="AC324" s="744"/>
      <c r="AD324" s="744"/>
      <c r="AE324" s="744"/>
      <c r="AF324" s="744"/>
      <c r="AG324" s="744"/>
      <c r="AH324" s="744"/>
      <c r="AI324" s="744"/>
      <c r="AJ324" s="745"/>
      <c r="AK324" s="92"/>
      <c r="AL324" s="92"/>
      <c r="AM324" s="374"/>
    </row>
    <row r="325" spans="1:46" ht="18" customHeight="1">
      <c r="A325" s="387"/>
      <c r="B325" s="686"/>
      <c r="C325" s="687"/>
      <c r="D325" s="687"/>
      <c r="E325" s="687"/>
      <c r="F325" s="687"/>
      <c r="G325" s="687"/>
      <c r="H325" s="688"/>
      <c r="I325" s="718"/>
      <c r="J325" s="719"/>
      <c r="K325" s="719"/>
      <c r="L325" s="719"/>
      <c r="M325" s="719"/>
      <c r="N325" s="719"/>
      <c r="O325" s="742"/>
      <c r="P325" s="683" t="s">
        <v>398</v>
      </c>
      <c r="Q325" s="717"/>
      <c r="R325" s="717"/>
      <c r="S325" s="717"/>
      <c r="T325" s="717"/>
      <c r="U325" s="717"/>
      <c r="V325" s="741"/>
      <c r="W325" s="683" t="s">
        <v>413</v>
      </c>
      <c r="X325" s="717"/>
      <c r="Y325" s="717"/>
      <c r="Z325" s="717"/>
      <c r="AA325" s="717"/>
      <c r="AB325" s="717"/>
      <c r="AC325" s="741"/>
      <c r="AD325" s="683" t="s">
        <v>414</v>
      </c>
      <c r="AE325" s="717"/>
      <c r="AF325" s="717"/>
      <c r="AG325" s="717"/>
      <c r="AH325" s="717"/>
      <c r="AI325" s="717"/>
      <c r="AJ325" s="741"/>
      <c r="AK325" s="92"/>
      <c r="AL325" s="92"/>
      <c r="AM325" s="374"/>
    </row>
    <row r="326" spans="1:46" ht="18" customHeight="1">
      <c r="A326" s="387"/>
      <c r="B326" s="686"/>
      <c r="C326" s="687"/>
      <c r="D326" s="687"/>
      <c r="E326" s="687"/>
      <c r="F326" s="687"/>
      <c r="G326" s="687"/>
      <c r="H326" s="688"/>
      <c r="I326" s="720"/>
      <c r="J326" s="721"/>
      <c r="K326" s="721"/>
      <c r="L326" s="721"/>
      <c r="M326" s="721"/>
      <c r="N326" s="721"/>
      <c r="O326" s="743"/>
      <c r="P326" s="720"/>
      <c r="Q326" s="721"/>
      <c r="R326" s="721"/>
      <c r="S326" s="721"/>
      <c r="T326" s="721"/>
      <c r="U326" s="721"/>
      <c r="V326" s="743"/>
      <c r="W326" s="720"/>
      <c r="X326" s="721"/>
      <c r="Y326" s="721"/>
      <c r="Z326" s="721"/>
      <c r="AA326" s="721"/>
      <c r="AB326" s="721"/>
      <c r="AC326" s="743"/>
      <c r="AD326" s="720"/>
      <c r="AE326" s="721"/>
      <c r="AF326" s="721"/>
      <c r="AG326" s="721"/>
      <c r="AH326" s="721"/>
      <c r="AI326" s="721"/>
      <c r="AJ326" s="743"/>
      <c r="AK326" s="92"/>
      <c r="AL326" s="92"/>
      <c r="AM326" s="374"/>
    </row>
    <row r="327" spans="1:46" ht="18" customHeight="1">
      <c r="A327" s="387"/>
      <c r="B327" s="689"/>
      <c r="C327" s="690"/>
      <c r="D327" s="690"/>
      <c r="E327" s="690"/>
      <c r="F327" s="690"/>
      <c r="G327" s="690"/>
      <c r="H327" s="691"/>
      <c r="I327" s="668">
        <f t="shared" ref="I327:I357" si="38">E291</f>
        <v>0</v>
      </c>
      <c r="J327" s="669"/>
      <c r="K327" s="669"/>
      <c r="L327" s="669"/>
      <c r="M327" s="669"/>
      <c r="N327" s="669"/>
      <c r="O327" s="670"/>
      <c r="P327" s="668">
        <f t="shared" ref="P327:P357" si="39">AK256</f>
        <v>0</v>
      </c>
      <c r="Q327" s="671"/>
      <c r="R327" s="671"/>
      <c r="S327" s="671"/>
      <c r="T327" s="671"/>
      <c r="U327" s="671"/>
      <c r="V327" s="672"/>
      <c r="W327" s="668">
        <f>I327</f>
        <v>0</v>
      </c>
      <c r="X327" s="671"/>
      <c r="Y327" s="671"/>
      <c r="Z327" s="671"/>
      <c r="AA327" s="671"/>
      <c r="AB327" s="671"/>
      <c r="AC327" s="672"/>
      <c r="AD327" s="668">
        <f>W327</f>
        <v>0</v>
      </c>
      <c r="AE327" s="671"/>
      <c r="AF327" s="671"/>
      <c r="AG327" s="671"/>
      <c r="AH327" s="671"/>
      <c r="AI327" s="671"/>
      <c r="AJ327" s="672"/>
      <c r="AK327" s="92"/>
      <c r="AL327" s="92"/>
      <c r="AM327" s="374"/>
    </row>
    <row r="328" spans="1:46" ht="18" customHeight="1">
      <c r="A328" s="387"/>
      <c r="B328" s="674">
        <f>B292</f>
        <v>1</v>
      </c>
      <c r="C328" s="675"/>
      <c r="D328" s="675"/>
      <c r="E328" s="675"/>
      <c r="F328" s="675"/>
      <c r="G328" s="675"/>
      <c r="H328" s="676"/>
      <c r="I328" s="677" t="str">
        <f t="shared" si="38"/>
        <v/>
      </c>
      <c r="J328" s="678"/>
      <c r="K328" s="678"/>
      <c r="L328" s="678"/>
      <c r="M328" s="678"/>
      <c r="N328" s="678"/>
      <c r="O328" s="679"/>
      <c r="P328" s="677" t="str">
        <f t="shared" si="39"/>
        <v/>
      </c>
      <c r="Q328" s="680"/>
      <c r="R328" s="680"/>
      <c r="S328" s="680"/>
      <c r="T328" s="680"/>
      <c r="U328" s="680"/>
      <c r="V328" s="681"/>
      <c r="W328" s="677" t="str">
        <f t="shared" ref="W328:W357" si="40">IF(I328="","",P328*AJ$302)</f>
        <v/>
      </c>
      <c r="X328" s="680"/>
      <c r="Y328" s="680"/>
      <c r="Z328" s="680"/>
      <c r="AA328" s="680"/>
      <c r="AB328" s="680"/>
      <c r="AC328" s="681"/>
      <c r="AD328" s="677" t="str">
        <f t="shared" ref="AD328:AD357" si="41">IF(I328="","",I328-W328)</f>
        <v/>
      </c>
      <c r="AE328" s="680"/>
      <c r="AF328" s="680"/>
      <c r="AG328" s="680"/>
      <c r="AH328" s="680"/>
      <c r="AI328" s="680"/>
      <c r="AJ328" s="681"/>
      <c r="AK328" s="92"/>
      <c r="AL328" s="92"/>
      <c r="AM328" s="374"/>
    </row>
    <row r="329" spans="1:46" ht="18" customHeight="1">
      <c r="A329" s="387"/>
      <c r="B329" s="674">
        <f t="shared" ref="B329:B357" si="42">B293</f>
        <v>2</v>
      </c>
      <c r="C329" s="675"/>
      <c r="D329" s="675"/>
      <c r="E329" s="675"/>
      <c r="F329" s="675"/>
      <c r="G329" s="675"/>
      <c r="H329" s="676"/>
      <c r="I329" s="677" t="str">
        <f t="shared" si="38"/>
        <v/>
      </c>
      <c r="J329" s="678"/>
      <c r="K329" s="678"/>
      <c r="L329" s="678"/>
      <c r="M329" s="678"/>
      <c r="N329" s="678"/>
      <c r="O329" s="679"/>
      <c r="P329" s="677" t="str">
        <f t="shared" si="39"/>
        <v/>
      </c>
      <c r="Q329" s="680"/>
      <c r="R329" s="680"/>
      <c r="S329" s="680"/>
      <c r="T329" s="680"/>
      <c r="U329" s="680"/>
      <c r="V329" s="681"/>
      <c r="W329" s="677" t="str">
        <f t="shared" si="40"/>
        <v/>
      </c>
      <c r="X329" s="680"/>
      <c r="Y329" s="680"/>
      <c r="Z329" s="680"/>
      <c r="AA329" s="680"/>
      <c r="AB329" s="680"/>
      <c r="AC329" s="681"/>
      <c r="AD329" s="677" t="str">
        <f t="shared" si="41"/>
        <v/>
      </c>
      <c r="AE329" s="680"/>
      <c r="AF329" s="680"/>
      <c r="AG329" s="680"/>
      <c r="AH329" s="680"/>
      <c r="AI329" s="680"/>
      <c r="AJ329" s="681"/>
      <c r="AK329" s="92"/>
      <c r="AL329" s="92"/>
      <c r="AM329" s="374"/>
    </row>
    <row r="330" spans="1:46" ht="18" customHeight="1">
      <c r="A330" s="387"/>
      <c r="B330" s="674">
        <f t="shared" si="42"/>
        <v>3</v>
      </c>
      <c r="C330" s="675"/>
      <c r="D330" s="675"/>
      <c r="E330" s="675"/>
      <c r="F330" s="675"/>
      <c r="G330" s="675"/>
      <c r="H330" s="676"/>
      <c r="I330" s="677" t="str">
        <f t="shared" si="38"/>
        <v/>
      </c>
      <c r="J330" s="678"/>
      <c r="K330" s="678"/>
      <c r="L330" s="678"/>
      <c r="M330" s="678"/>
      <c r="N330" s="678"/>
      <c r="O330" s="679"/>
      <c r="P330" s="677" t="str">
        <f t="shared" si="39"/>
        <v/>
      </c>
      <c r="Q330" s="680"/>
      <c r="R330" s="680"/>
      <c r="S330" s="680"/>
      <c r="T330" s="680"/>
      <c r="U330" s="680"/>
      <c r="V330" s="681"/>
      <c r="W330" s="677" t="str">
        <f t="shared" si="40"/>
        <v/>
      </c>
      <c r="X330" s="680"/>
      <c r="Y330" s="680"/>
      <c r="Z330" s="680"/>
      <c r="AA330" s="680"/>
      <c r="AB330" s="680"/>
      <c r="AC330" s="681"/>
      <c r="AD330" s="677" t="str">
        <f t="shared" si="41"/>
        <v/>
      </c>
      <c r="AE330" s="680"/>
      <c r="AF330" s="680"/>
      <c r="AG330" s="680"/>
      <c r="AH330" s="680"/>
      <c r="AI330" s="680"/>
      <c r="AJ330" s="681"/>
      <c r="AK330" s="92"/>
      <c r="AL330" s="92"/>
      <c r="AM330" s="374"/>
    </row>
    <row r="331" spans="1:46" ht="18" customHeight="1">
      <c r="A331" s="387"/>
      <c r="B331" s="674">
        <f t="shared" si="42"/>
        <v>4</v>
      </c>
      <c r="C331" s="675"/>
      <c r="D331" s="675"/>
      <c r="E331" s="675"/>
      <c r="F331" s="675"/>
      <c r="G331" s="675"/>
      <c r="H331" s="676"/>
      <c r="I331" s="677" t="str">
        <f t="shared" si="38"/>
        <v/>
      </c>
      <c r="J331" s="678"/>
      <c r="K331" s="678"/>
      <c r="L331" s="678"/>
      <c r="M331" s="678"/>
      <c r="N331" s="678"/>
      <c r="O331" s="679"/>
      <c r="P331" s="677" t="str">
        <f t="shared" si="39"/>
        <v/>
      </c>
      <c r="Q331" s="680"/>
      <c r="R331" s="680"/>
      <c r="S331" s="680"/>
      <c r="T331" s="680"/>
      <c r="U331" s="680"/>
      <c r="V331" s="681"/>
      <c r="W331" s="677" t="str">
        <f t="shared" si="40"/>
        <v/>
      </c>
      <c r="X331" s="680"/>
      <c r="Y331" s="680"/>
      <c r="Z331" s="680"/>
      <c r="AA331" s="680"/>
      <c r="AB331" s="680"/>
      <c r="AC331" s="681"/>
      <c r="AD331" s="677" t="str">
        <f t="shared" si="41"/>
        <v/>
      </c>
      <c r="AE331" s="680"/>
      <c r="AF331" s="680"/>
      <c r="AG331" s="680"/>
      <c r="AH331" s="680"/>
      <c r="AI331" s="680"/>
      <c r="AJ331" s="681"/>
      <c r="AK331" s="92"/>
      <c r="AL331" s="92"/>
      <c r="AM331" s="374"/>
    </row>
    <row r="332" spans="1:46" ht="18" customHeight="1">
      <c r="A332" s="387"/>
      <c r="B332" s="674">
        <f t="shared" si="42"/>
        <v>5</v>
      </c>
      <c r="C332" s="675"/>
      <c r="D332" s="675"/>
      <c r="E332" s="675"/>
      <c r="F332" s="675"/>
      <c r="G332" s="675"/>
      <c r="H332" s="676"/>
      <c r="I332" s="677" t="str">
        <f t="shared" si="38"/>
        <v/>
      </c>
      <c r="J332" s="678"/>
      <c r="K332" s="678"/>
      <c r="L332" s="678"/>
      <c r="M332" s="678"/>
      <c r="N332" s="678"/>
      <c r="O332" s="679"/>
      <c r="P332" s="677" t="str">
        <f t="shared" si="39"/>
        <v/>
      </c>
      <c r="Q332" s="680"/>
      <c r="R332" s="680"/>
      <c r="S332" s="680"/>
      <c r="T332" s="680"/>
      <c r="U332" s="680"/>
      <c r="V332" s="681"/>
      <c r="W332" s="677" t="str">
        <f t="shared" si="40"/>
        <v/>
      </c>
      <c r="X332" s="680"/>
      <c r="Y332" s="680"/>
      <c r="Z332" s="680"/>
      <c r="AA332" s="680"/>
      <c r="AB332" s="680"/>
      <c r="AC332" s="681"/>
      <c r="AD332" s="677" t="str">
        <f t="shared" si="41"/>
        <v/>
      </c>
      <c r="AE332" s="680"/>
      <c r="AF332" s="680"/>
      <c r="AG332" s="680"/>
      <c r="AH332" s="680"/>
      <c r="AI332" s="680"/>
      <c r="AJ332" s="681"/>
      <c r="AK332" s="92"/>
      <c r="AL332" s="92"/>
      <c r="AM332" s="374"/>
    </row>
    <row r="333" spans="1:46" ht="18" customHeight="1">
      <c r="A333" s="387"/>
      <c r="B333" s="674">
        <f t="shared" si="42"/>
        <v>6</v>
      </c>
      <c r="C333" s="675"/>
      <c r="D333" s="675"/>
      <c r="E333" s="675"/>
      <c r="F333" s="675"/>
      <c r="G333" s="675"/>
      <c r="H333" s="676"/>
      <c r="I333" s="677" t="str">
        <f t="shared" si="38"/>
        <v/>
      </c>
      <c r="J333" s="678"/>
      <c r="K333" s="678"/>
      <c r="L333" s="678"/>
      <c r="M333" s="678"/>
      <c r="N333" s="678"/>
      <c r="O333" s="679"/>
      <c r="P333" s="677" t="str">
        <f t="shared" si="39"/>
        <v/>
      </c>
      <c r="Q333" s="680"/>
      <c r="R333" s="680"/>
      <c r="S333" s="680"/>
      <c r="T333" s="680"/>
      <c r="U333" s="680"/>
      <c r="V333" s="681"/>
      <c r="W333" s="677" t="str">
        <f t="shared" si="40"/>
        <v/>
      </c>
      <c r="X333" s="680"/>
      <c r="Y333" s="680"/>
      <c r="Z333" s="680"/>
      <c r="AA333" s="680"/>
      <c r="AB333" s="680"/>
      <c r="AC333" s="681"/>
      <c r="AD333" s="677" t="str">
        <f t="shared" si="41"/>
        <v/>
      </c>
      <c r="AE333" s="680"/>
      <c r="AF333" s="680"/>
      <c r="AG333" s="680"/>
      <c r="AH333" s="680"/>
      <c r="AI333" s="680"/>
      <c r="AJ333" s="681"/>
      <c r="AK333" s="92"/>
      <c r="AL333" s="92"/>
      <c r="AM333" s="374"/>
    </row>
    <row r="334" spans="1:46" ht="18" customHeight="1">
      <c r="A334" s="387"/>
      <c r="B334" s="674">
        <f t="shared" si="42"/>
        <v>7</v>
      </c>
      <c r="C334" s="675"/>
      <c r="D334" s="675"/>
      <c r="E334" s="675"/>
      <c r="F334" s="675"/>
      <c r="G334" s="675"/>
      <c r="H334" s="676"/>
      <c r="I334" s="677" t="str">
        <f t="shared" si="38"/>
        <v/>
      </c>
      <c r="J334" s="678"/>
      <c r="K334" s="678"/>
      <c r="L334" s="678"/>
      <c r="M334" s="678"/>
      <c r="N334" s="678"/>
      <c r="O334" s="679"/>
      <c r="P334" s="677" t="str">
        <f t="shared" si="39"/>
        <v/>
      </c>
      <c r="Q334" s="680"/>
      <c r="R334" s="680"/>
      <c r="S334" s="680"/>
      <c r="T334" s="680"/>
      <c r="U334" s="680"/>
      <c r="V334" s="681"/>
      <c r="W334" s="677" t="str">
        <f t="shared" si="40"/>
        <v/>
      </c>
      <c r="X334" s="680"/>
      <c r="Y334" s="680"/>
      <c r="Z334" s="680"/>
      <c r="AA334" s="680"/>
      <c r="AB334" s="680"/>
      <c r="AC334" s="681"/>
      <c r="AD334" s="677" t="str">
        <f t="shared" si="41"/>
        <v/>
      </c>
      <c r="AE334" s="680"/>
      <c r="AF334" s="680"/>
      <c r="AG334" s="680"/>
      <c r="AH334" s="680"/>
      <c r="AI334" s="680"/>
      <c r="AJ334" s="681"/>
      <c r="AK334" s="92"/>
      <c r="AL334" s="92"/>
      <c r="AM334" s="374"/>
    </row>
    <row r="335" spans="1:46" ht="18" customHeight="1">
      <c r="A335" s="387"/>
      <c r="B335" s="674">
        <f t="shared" si="42"/>
        <v>8</v>
      </c>
      <c r="C335" s="675"/>
      <c r="D335" s="675"/>
      <c r="E335" s="675"/>
      <c r="F335" s="675"/>
      <c r="G335" s="675"/>
      <c r="H335" s="676"/>
      <c r="I335" s="677" t="str">
        <f t="shared" si="38"/>
        <v/>
      </c>
      <c r="J335" s="678"/>
      <c r="K335" s="678"/>
      <c r="L335" s="678"/>
      <c r="M335" s="678"/>
      <c r="N335" s="678"/>
      <c r="O335" s="679"/>
      <c r="P335" s="677" t="str">
        <f t="shared" si="39"/>
        <v/>
      </c>
      <c r="Q335" s="680"/>
      <c r="R335" s="680"/>
      <c r="S335" s="680"/>
      <c r="T335" s="680"/>
      <c r="U335" s="680"/>
      <c r="V335" s="681"/>
      <c r="W335" s="677" t="str">
        <f t="shared" si="40"/>
        <v/>
      </c>
      <c r="X335" s="680"/>
      <c r="Y335" s="680"/>
      <c r="Z335" s="680"/>
      <c r="AA335" s="680"/>
      <c r="AB335" s="680"/>
      <c r="AC335" s="681"/>
      <c r="AD335" s="677" t="str">
        <f t="shared" si="41"/>
        <v/>
      </c>
      <c r="AE335" s="680"/>
      <c r="AF335" s="680"/>
      <c r="AG335" s="680"/>
      <c r="AH335" s="680"/>
      <c r="AI335" s="680"/>
      <c r="AJ335" s="681"/>
      <c r="AK335" s="92"/>
      <c r="AL335" s="92"/>
      <c r="AM335" s="374"/>
    </row>
    <row r="336" spans="1:46" ht="18" customHeight="1">
      <c r="A336" s="387"/>
      <c r="B336" s="674">
        <f t="shared" si="42"/>
        <v>9</v>
      </c>
      <c r="C336" s="675"/>
      <c r="D336" s="675"/>
      <c r="E336" s="675"/>
      <c r="F336" s="675"/>
      <c r="G336" s="675"/>
      <c r="H336" s="676"/>
      <c r="I336" s="677" t="str">
        <f t="shared" si="38"/>
        <v/>
      </c>
      <c r="J336" s="678"/>
      <c r="K336" s="678"/>
      <c r="L336" s="678"/>
      <c r="M336" s="678"/>
      <c r="N336" s="678"/>
      <c r="O336" s="679"/>
      <c r="P336" s="677" t="str">
        <f t="shared" si="39"/>
        <v/>
      </c>
      <c r="Q336" s="680"/>
      <c r="R336" s="680"/>
      <c r="S336" s="680"/>
      <c r="T336" s="680"/>
      <c r="U336" s="680"/>
      <c r="V336" s="681"/>
      <c r="W336" s="677" t="str">
        <f t="shared" si="40"/>
        <v/>
      </c>
      <c r="X336" s="680"/>
      <c r="Y336" s="680"/>
      <c r="Z336" s="680"/>
      <c r="AA336" s="680"/>
      <c r="AB336" s="680"/>
      <c r="AC336" s="681"/>
      <c r="AD336" s="677" t="str">
        <f t="shared" si="41"/>
        <v/>
      </c>
      <c r="AE336" s="680"/>
      <c r="AF336" s="680"/>
      <c r="AG336" s="680"/>
      <c r="AH336" s="680"/>
      <c r="AI336" s="680"/>
      <c r="AJ336" s="681"/>
      <c r="AK336" s="92"/>
      <c r="AL336" s="92"/>
      <c r="AM336" s="374"/>
    </row>
    <row r="337" spans="1:39" ht="18" customHeight="1">
      <c r="A337" s="387"/>
      <c r="B337" s="674">
        <f t="shared" si="42"/>
        <v>10</v>
      </c>
      <c r="C337" s="675"/>
      <c r="D337" s="675"/>
      <c r="E337" s="675"/>
      <c r="F337" s="675"/>
      <c r="G337" s="675"/>
      <c r="H337" s="676"/>
      <c r="I337" s="677" t="str">
        <f t="shared" si="38"/>
        <v/>
      </c>
      <c r="J337" s="678"/>
      <c r="K337" s="678"/>
      <c r="L337" s="678"/>
      <c r="M337" s="678"/>
      <c r="N337" s="678"/>
      <c r="O337" s="679"/>
      <c r="P337" s="677" t="str">
        <f t="shared" si="39"/>
        <v/>
      </c>
      <c r="Q337" s="680"/>
      <c r="R337" s="680"/>
      <c r="S337" s="680"/>
      <c r="T337" s="680"/>
      <c r="U337" s="680"/>
      <c r="V337" s="681"/>
      <c r="W337" s="677" t="str">
        <f t="shared" si="40"/>
        <v/>
      </c>
      <c r="X337" s="680"/>
      <c r="Y337" s="680"/>
      <c r="Z337" s="680"/>
      <c r="AA337" s="680"/>
      <c r="AB337" s="680"/>
      <c r="AC337" s="681"/>
      <c r="AD337" s="677" t="str">
        <f t="shared" si="41"/>
        <v/>
      </c>
      <c r="AE337" s="680"/>
      <c r="AF337" s="680"/>
      <c r="AG337" s="680"/>
      <c r="AH337" s="680"/>
      <c r="AI337" s="680"/>
      <c r="AJ337" s="681"/>
      <c r="AK337" s="92"/>
      <c r="AL337" s="92"/>
      <c r="AM337" s="374"/>
    </row>
    <row r="338" spans="1:39" ht="18" customHeight="1">
      <c r="A338" s="387"/>
      <c r="B338" s="674">
        <f t="shared" si="42"/>
        <v>11</v>
      </c>
      <c r="C338" s="675"/>
      <c r="D338" s="675"/>
      <c r="E338" s="675"/>
      <c r="F338" s="675"/>
      <c r="G338" s="675"/>
      <c r="H338" s="676"/>
      <c r="I338" s="677" t="str">
        <f t="shared" si="38"/>
        <v/>
      </c>
      <c r="J338" s="678"/>
      <c r="K338" s="678"/>
      <c r="L338" s="678"/>
      <c r="M338" s="678"/>
      <c r="N338" s="678"/>
      <c r="O338" s="679"/>
      <c r="P338" s="677" t="str">
        <f t="shared" si="39"/>
        <v/>
      </c>
      <c r="Q338" s="680"/>
      <c r="R338" s="680"/>
      <c r="S338" s="680"/>
      <c r="T338" s="680"/>
      <c r="U338" s="680"/>
      <c r="V338" s="681"/>
      <c r="W338" s="677" t="str">
        <f t="shared" si="40"/>
        <v/>
      </c>
      <c r="X338" s="680"/>
      <c r="Y338" s="680"/>
      <c r="Z338" s="680"/>
      <c r="AA338" s="680"/>
      <c r="AB338" s="680"/>
      <c r="AC338" s="681"/>
      <c r="AD338" s="677" t="str">
        <f t="shared" si="41"/>
        <v/>
      </c>
      <c r="AE338" s="680"/>
      <c r="AF338" s="680"/>
      <c r="AG338" s="680"/>
      <c r="AH338" s="680"/>
      <c r="AI338" s="680"/>
      <c r="AJ338" s="681"/>
      <c r="AK338" s="92"/>
      <c r="AL338" s="92"/>
      <c r="AM338" s="374"/>
    </row>
    <row r="339" spans="1:39" ht="18" customHeight="1">
      <c r="A339" s="387"/>
      <c r="B339" s="674">
        <f t="shared" si="42"/>
        <v>12</v>
      </c>
      <c r="C339" s="675"/>
      <c r="D339" s="675"/>
      <c r="E339" s="675"/>
      <c r="F339" s="675"/>
      <c r="G339" s="675"/>
      <c r="H339" s="676"/>
      <c r="I339" s="677" t="str">
        <f t="shared" si="38"/>
        <v/>
      </c>
      <c r="J339" s="678"/>
      <c r="K339" s="678"/>
      <c r="L339" s="678"/>
      <c r="M339" s="678"/>
      <c r="N339" s="678"/>
      <c r="O339" s="679"/>
      <c r="P339" s="677" t="str">
        <f t="shared" si="39"/>
        <v/>
      </c>
      <c r="Q339" s="680"/>
      <c r="R339" s="680"/>
      <c r="S339" s="680"/>
      <c r="T339" s="680"/>
      <c r="U339" s="680"/>
      <c r="V339" s="681"/>
      <c r="W339" s="677" t="str">
        <f t="shared" si="40"/>
        <v/>
      </c>
      <c r="X339" s="680"/>
      <c r="Y339" s="680"/>
      <c r="Z339" s="680"/>
      <c r="AA339" s="680"/>
      <c r="AB339" s="680"/>
      <c r="AC339" s="681"/>
      <c r="AD339" s="677" t="str">
        <f t="shared" si="41"/>
        <v/>
      </c>
      <c r="AE339" s="680"/>
      <c r="AF339" s="680"/>
      <c r="AG339" s="680"/>
      <c r="AH339" s="680"/>
      <c r="AI339" s="680"/>
      <c r="AJ339" s="681"/>
      <c r="AK339" s="92"/>
      <c r="AL339" s="92"/>
      <c r="AM339" s="374"/>
    </row>
    <row r="340" spans="1:39" ht="18" customHeight="1">
      <c r="A340" s="387"/>
      <c r="B340" s="674">
        <f t="shared" si="42"/>
        <v>13</v>
      </c>
      <c r="C340" s="675"/>
      <c r="D340" s="675"/>
      <c r="E340" s="675"/>
      <c r="F340" s="675"/>
      <c r="G340" s="675"/>
      <c r="H340" s="676"/>
      <c r="I340" s="677" t="str">
        <f t="shared" si="38"/>
        <v/>
      </c>
      <c r="J340" s="678"/>
      <c r="K340" s="678"/>
      <c r="L340" s="678"/>
      <c r="M340" s="678"/>
      <c r="N340" s="678"/>
      <c r="O340" s="679"/>
      <c r="P340" s="677" t="str">
        <f t="shared" si="39"/>
        <v/>
      </c>
      <c r="Q340" s="680"/>
      <c r="R340" s="680"/>
      <c r="S340" s="680"/>
      <c r="T340" s="680"/>
      <c r="U340" s="680"/>
      <c r="V340" s="681"/>
      <c r="W340" s="677" t="str">
        <f t="shared" si="40"/>
        <v/>
      </c>
      <c r="X340" s="680"/>
      <c r="Y340" s="680"/>
      <c r="Z340" s="680"/>
      <c r="AA340" s="680"/>
      <c r="AB340" s="680"/>
      <c r="AC340" s="681"/>
      <c r="AD340" s="677" t="str">
        <f t="shared" si="41"/>
        <v/>
      </c>
      <c r="AE340" s="680"/>
      <c r="AF340" s="680"/>
      <c r="AG340" s="680"/>
      <c r="AH340" s="680"/>
      <c r="AI340" s="680"/>
      <c r="AJ340" s="681"/>
      <c r="AK340" s="92"/>
      <c r="AL340" s="92"/>
      <c r="AM340" s="374"/>
    </row>
    <row r="341" spans="1:39" ht="18" customHeight="1">
      <c r="A341" s="387"/>
      <c r="B341" s="674">
        <f t="shared" si="42"/>
        <v>14</v>
      </c>
      <c r="C341" s="675"/>
      <c r="D341" s="675"/>
      <c r="E341" s="675"/>
      <c r="F341" s="675"/>
      <c r="G341" s="675"/>
      <c r="H341" s="676"/>
      <c r="I341" s="677" t="str">
        <f t="shared" si="38"/>
        <v/>
      </c>
      <c r="J341" s="678"/>
      <c r="K341" s="678"/>
      <c r="L341" s="678"/>
      <c r="M341" s="678"/>
      <c r="N341" s="678"/>
      <c r="O341" s="679"/>
      <c r="P341" s="677" t="str">
        <f t="shared" si="39"/>
        <v/>
      </c>
      <c r="Q341" s="680"/>
      <c r="R341" s="680"/>
      <c r="S341" s="680"/>
      <c r="T341" s="680"/>
      <c r="U341" s="680"/>
      <c r="V341" s="681"/>
      <c r="W341" s="677" t="str">
        <f t="shared" si="40"/>
        <v/>
      </c>
      <c r="X341" s="680"/>
      <c r="Y341" s="680"/>
      <c r="Z341" s="680"/>
      <c r="AA341" s="680"/>
      <c r="AB341" s="680"/>
      <c r="AC341" s="681"/>
      <c r="AD341" s="677" t="str">
        <f t="shared" si="41"/>
        <v/>
      </c>
      <c r="AE341" s="680"/>
      <c r="AF341" s="680"/>
      <c r="AG341" s="680"/>
      <c r="AH341" s="680"/>
      <c r="AI341" s="680"/>
      <c r="AJ341" s="681"/>
      <c r="AK341" s="92"/>
      <c r="AL341" s="92"/>
      <c r="AM341" s="374"/>
    </row>
    <row r="342" spans="1:39" ht="18" customHeight="1">
      <c r="A342" s="387"/>
      <c r="B342" s="674">
        <f t="shared" si="42"/>
        <v>15</v>
      </c>
      <c r="C342" s="675"/>
      <c r="D342" s="675"/>
      <c r="E342" s="675"/>
      <c r="F342" s="675"/>
      <c r="G342" s="675"/>
      <c r="H342" s="676"/>
      <c r="I342" s="677" t="str">
        <f t="shared" si="38"/>
        <v/>
      </c>
      <c r="J342" s="678"/>
      <c r="K342" s="678"/>
      <c r="L342" s="678"/>
      <c r="M342" s="678"/>
      <c r="N342" s="678"/>
      <c r="O342" s="679"/>
      <c r="P342" s="677" t="str">
        <f t="shared" si="39"/>
        <v/>
      </c>
      <c r="Q342" s="680"/>
      <c r="R342" s="680"/>
      <c r="S342" s="680"/>
      <c r="T342" s="680"/>
      <c r="U342" s="680"/>
      <c r="V342" s="681"/>
      <c r="W342" s="677" t="str">
        <f t="shared" si="40"/>
        <v/>
      </c>
      <c r="X342" s="680"/>
      <c r="Y342" s="680"/>
      <c r="Z342" s="680"/>
      <c r="AA342" s="680"/>
      <c r="AB342" s="680"/>
      <c r="AC342" s="681"/>
      <c r="AD342" s="677" t="str">
        <f t="shared" si="41"/>
        <v/>
      </c>
      <c r="AE342" s="680"/>
      <c r="AF342" s="680"/>
      <c r="AG342" s="680"/>
      <c r="AH342" s="680"/>
      <c r="AI342" s="680"/>
      <c r="AJ342" s="681"/>
      <c r="AK342" s="92"/>
      <c r="AL342" s="92"/>
      <c r="AM342" s="374"/>
    </row>
    <row r="343" spans="1:39" ht="18" customHeight="1">
      <c r="A343" s="387"/>
      <c r="B343" s="674">
        <f t="shared" si="42"/>
        <v>16</v>
      </c>
      <c r="C343" s="675"/>
      <c r="D343" s="675"/>
      <c r="E343" s="675"/>
      <c r="F343" s="675"/>
      <c r="G343" s="675"/>
      <c r="H343" s="676"/>
      <c r="I343" s="677" t="str">
        <f t="shared" si="38"/>
        <v/>
      </c>
      <c r="J343" s="678"/>
      <c r="K343" s="678"/>
      <c r="L343" s="678"/>
      <c r="M343" s="678"/>
      <c r="N343" s="678"/>
      <c r="O343" s="679"/>
      <c r="P343" s="677" t="str">
        <f t="shared" si="39"/>
        <v/>
      </c>
      <c r="Q343" s="680"/>
      <c r="R343" s="680"/>
      <c r="S343" s="680"/>
      <c r="T343" s="680"/>
      <c r="U343" s="680"/>
      <c r="V343" s="681"/>
      <c r="W343" s="677" t="str">
        <f t="shared" si="40"/>
        <v/>
      </c>
      <c r="X343" s="680"/>
      <c r="Y343" s="680"/>
      <c r="Z343" s="680"/>
      <c r="AA343" s="680"/>
      <c r="AB343" s="680"/>
      <c r="AC343" s="681"/>
      <c r="AD343" s="677" t="str">
        <f t="shared" si="41"/>
        <v/>
      </c>
      <c r="AE343" s="680"/>
      <c r="AF343" s="680"/>
      <c r="AG343" s="680"/>
      <c r="AH343" s="680"/>
      <c r="AI343" s="680"/>
      <c r="AJ343" s="681"/>
      <c r="AK343" s="92"/>
      <c r="AL343" s="92"/>
      <c r="AM343" s="374"/>
    </row>
    <row r="344" spans="1:39" ht="18" customHeight="1">
      <c r="A344" s="387"/>
      <c r="B344" s="674">
        <f t="shared" si="42"/>
        <v>17</v>
      </c>
      <c r="C344" s="675"/>
      <c r="D344" s="675"/>
      <c r="E344" s="675"/>
      <c r="F344" s="675"/>
      <c r="G344" s="675"/>
      <c r="H344" s="676"/>
      <c r="I344" s="677" t="str">
        <f t="shared" si="38"/>
        <v/>
      </c>
      <c r="J344" s="678"/>
      <c r="K344" s="678"/>
      <c r="L344" s="678"/>
      <c r="M344" s="678"/>
      <c r="N344" s="678"/>
      <c r="O344" s="679"/>
      <c r="P344" s="677" t="str">
        <f t="shared" si="39"/>
        <v/>
      </c>
      <c r="Q344" s="680"/>
      <c r="R344" s="680"/>
      <c r="S344" s="680"/>
      <c r="T344" s="680"/>
      <c r="U344" s="680"/>
      <c r="V344" s="681"/>
      <c r="W344" s="677" t="str">
        <f t="shared" si="40"/>
        <v/>
      </c>
      <c r="X344" s="680"/>
      <c r="Y344" s="680"/>
      <c r="Z344" s="680"/>
      <c r="AA344" s="680"/>
      <c r="AB344" s="680"/>
      <c r="AC344" s="681"/>
      <c r="AD344" s="677" t="str">
        <f t="shared" si="41"/>
        <v/>
      </c>
      <c r="AE344" s="680"/>
      <c r="AF344" s="680"/>
      <c r="AG344" s="680"/>
      <c r="AH344" s="680"/>
      <c r="AI344" s="680"/>
      <c r="AJ344" s="681"/>
      <c r="AK344" s="92"/>
      <c r="AL344" s="92"/>
      <c r="AM344" s="374"/>
    </row>
    <row r="345" spans="1:39" ht="18" customHeight="1">
      <c r="A345" s="387"/>
      <c r="B345" s="674">
        <f t="shared" si="42"/>
        <v>18</v>
      </c>
      <c r="C345" s="675"/>
      <c r="D345" s="675"/>
      <c r="E345" s="675"/>
      <c r="F345" s="675"/>
      <c r="G345" s="675"/>
      <c r="H345" s="676"/>
      <c r="I345" s="677" t="str">
        <f t="shared" si="38"/>
        <v/>
      </c>
      <c r="J345" s="678"/>
      <c r="K345" s="678"/>
      <c r="L345" s="678"/>
      <c r="M345" s="678"/>
      <c r="N345" s="678"/>
      <c r="O345" s="679"/>
      <c r="P345" s="677" t="str">
        <f t="shared" si="39"/>
        <v/>
      </c>
      <c r="Q345" s="680"/>
      <c r="R345" s="680"/>
      <c r="S345" s="680"/>
      <c r="T345" s="680"/>
      <c r="U345" s="680"/>
      <c r="V345" s="681"/>
      <c r="W345" s="677" t="str">
        <f t="shared" si="40"/>
        <v/>
      </c>
      <c r="X345" s="680"/>
      <c r="Y345" s="680"/>
      <c r="Z345" s="680"/>
      <c r="AA345" s="680"/>
      <c r="AB345" s="680"/>
      <c r="AC345" s="681"/>
      <c r="AD345" s="677" t="str">
        <f t="shared" si="41"/>
        <v/>
      </c>
      <c r="AE345" s="680"/>
      <c r="AF345" s="680"/>
      <c r="AG345" s="680"/>
      <c r="AH345" s="680"/>
      <c r="AI345" s="680"/>
      <c r="AJ345" s="681"/>
      <c r="AK345" s="92"/>
      <c r="AL345" s="92"/>
      <c r="AM345" s="374"/>
    </row>
    <row r="346" spans="1:39" ht="18" customHeight="1">
      <c r="A346" s="387"/>
      <c r="B346" s="674">
        <f t="shared" si="42"/>
        <v>19</v>
      </c>
      <c r="C346" s="675"/>
      <c r="D346" s="675"/>
      <c r="E346" s="675"/>
      <c r="F346" s="675"/>
      <c r="G346" s="675"/>
      <c r="H346" s="676"/>
      <c r="I346" s="677" t="str">
        <f t="shared" si="38"/>
        <v/>
      </c>
      <c r="J346" s="678"/>
      <c r="K346" s="678"/>
      <c r="L346" s="678"/>
      <c r="M346" s="678"/>
      <c r="N346" s="678"/>
      <c r="O346" s="679"/>
      <c r="P346" s="677" t="str">
        <f t="shared" si="39"/>
        <v/>
      </c>
      <c r="Q346" s="680"/>
      <c r="R346" s="680"/>
      <c r="S346" s="680"/>
      <c r="T346" s="680"/>
      <c r="U346" s="680"/>
      <c r="V346" s="681"/>
      <c r="W346" s="677" t="str">
        <f t="shared" si="40"/>
        <v/>
      </c>
      <c r="X346" s="680"/>
      <c r="Y346" s="680"/>
      <c r="Z346" s="680"/>
      <c r="AA346" s="680"/>
      <c r="AB346" s="680"/>
      <c r="AC346" s="681"/>
      <c r="AD346" s="677" t="str">
        <f t="shared" si="41"/>
        <v/>
      </c>
      <c r="AE346" s="680"/>
      <c r="AF346" s="680"/>
      <c r="AG346" s="680"/>
      <c r="AH346" s="680"/>
      <c r="AI346" s="680"/>
      <c r="AJ346" s="681"/>
      <c r="AK346" s="92"/>
      <c r="AL346" s="92"/>
      <c r="AM346" s="374"/>
    </row>
    <row r="347" spans="1:39" ht="18" customHeight="1">
      <c r="A347" s="387"/>
      <c r="B347" s="674">
        <f t="shared" si="42"/>
        <v>20</v>
      </c>
      <c r="C347" s="675"/>
      <c r="D347" s="675"/>
      <c r="E347" s="675"/>
      <c r="F347" s="675"/>
      <c r="G347" s="675"/>
      <c r="H347" s="676"/>
      <c r="I347" s="677" t="str">
        <f t="shared" si="38"/>
        <v/>
      </c>
      <c r="J347" s="678"/>
      <c r="K347" s="678"/>
      <c r="L347" s="678"/>
      <c r="M347" s="678"/>
      <c r="N347" s="678"/>
      <c r="O347" s="679"/>
      <c r="P347" s="677" t="str">
        <f t="shared" si="39"/>
        <v/>
      </c>
      <c r="Q347" s="680"/>
      <c r="R347" s="680"/>
      <c r="S347" s="680"/>
      <c r="T347" s="680"/>
      <c r="U347" s="680"/>
      <c r="V347" s="681"/>
      <c r="W347" s="677" t="str">
        <f t="shared" si="40"/>
        <v/>
      </c>
      <c r="X347" s="680"/>
      <c r="Y347" s="680"/>
      <c r="Z347" s="680"/>
      <c r="AA347" s="680"/>
      <c r="AB347" s="680"/>
      <c r="AC347" s="681"/>
      <c r="AD347" s="677" t="str">
        <f t="shared" si="41"/>
        <v/>
      </c>
      <c r="AE347" s="680"/>
      <c r="AF347" s="680"/>
      <c r="AG347" s="680"/>
      <c r="AH347" s="680"/>
      <c r="AI347" s="680"/>
      <c r="AJ347" s="681"/>
      <c r="AK347" s="92"/>
      <c r="AL347" s="92"/>
      <c r="AM347" s="374"/>
    </row>
    <row r="348" spans="1:39" ht="18" customHeight="1">
      <c r="A348" s="387"/>
      <c r="B348" s="674">
        <f t="shared" si="42"/>
        <v>21</v>
      </c>
      <c r="C348" s="675"/>
      <c r="D348" s="675"/>
      <c r="E348" s="675"/>
      <c r="F348" s="675"/>
      <c r="G348" s="675"/>
      <c r="H348" s="676"/>
      <c r="I348" s="677" t="str">
        <f t="shared" si="38"/>
        <v/>
      </c>
      <c r="J348" s="678"/>
      <c r="K348" s="678"/>
      <c r="L348" s="678"/>
      <c r="M348" s="678"/>
      <c r="N348" s="678"/>
      <c r="O348" s="679"/>
      <c r="P348" s="677" t="str">
        <f t="shared" si="39"/>
        <v/>
      </c>
      <c r="Q348" s="680"/>
      <c r="R348" s="680"/>
      <c r="S348" s="680"/>
      <c r="T348" s="680"/>
      <c r="U348" s="680"/>
      <c r="V348" s="681"/>
      <c r="W348" s="677" t="str">
        <f t="shared" si="40"/>
        <v/>
      </c>
      <c r="X348" s="680"/>
      <c r="Y348" s="680"/>
      <c r="Z348" s="680"/>
      <c r="AA348" s="680"/>
      <c r="AB348" s="680"/>
      <c r="AC348" s="681"/>
      <c r="AD348" s="677" t="str">
        <f t="shared" si="41"/>
        <v/>
      </c>
      <c r="AE348" s="680"/>
      <c r="AF348" s="680"/>
      <c r="AG348" s="680"/>
      <c r="AH348" s="680"/>
      <c r="AI348" s="680"/>
      <c r="AJ348" s="681"/>
      <c r="AK348" s="92"/>
      <c r="AL348" s="92"/>
      <c r="AM348" s="374"/>
    </row>
    <row r="349" spans="1:39" ht="18" customHeight="1">
      <c r="A349" s="387"/>
      <c r="B349" s="674">
        <f t="shared" si="42"/>
        <v>22</v>
      </c>
      <c r="C349" s="675"/>
      <c r="D349" s="675"/>
      <c r="E349" s="675"/>
      <c r="F349" s="675"/>
      <c r="G349" s="675"/>
      <c r="H349" s="676"/>
      <c r="I349" s="677" t="str">
        <f t="shared" si="38"/>
        <v/>
      </c>
      <c r="J349" s="678"/>
      <c r="K349" s="678"/>
      <c r="L349" s="678"/>
      <c r="M349" s="678"/>
      <c r="N349" s="678"/>
      <c r="O349" s="679"/>
      <c r="P349" s="677" t="str">
        <f t="shared" si="39"/>
        <v/>
      </c>
      <c r="Q349" s="680"/>
      <c r="R349" s="680"/>
      <c r="S349" s="680"/>
      <c r="T349" s="680"/>
      <c r="U349" s="680"/>
      <c r="V349" s="681"/>
      <c r="W349" s="677" t="str">
        <f t="shared" si="40"/>
        <v/>
      </c>
      <c r="X349" s="680"/>
      <c r="Y349" s="680"/>
      <c r="Z349" s="680"/>
      <c r="AA349" s="680"/>
      <c r="AB349" s="680"/>
      <c r="AC349" s="681"/>
      <c r="AD349" s="677" t="str">
        <f t="shared" si="41"/>
        <v/>
      </c>
      <c r="AE349" s="680"/>
      <c r="AF349" s="680"/>
      <c r="AG349" s="680"/>
      <c r="AH349" s="680"/>
      <c r="AI349" s="680"/>
      <c r="AJ349" s="681"/>
      <c r="AK349" s="92"/>
      <c r="AL349" s="92"/>
      <c r="AM349" s="374"/>
    </row>
    <row r="350" spans="1:39" ht="18" customHeight="1">
      <c r="A350" s="387"/>
      <c r="B350" s="674">
        <f t="shared" si="42"/>
        <v>23</v>
      </c>
      <c r="C350" s="675"/>
      <c r="D350" s="675"/>
      <c r="E350" s="675"/>
      <c r="F350" s="675"/>
      <c r="G350" s="675"/>
      <c r="H350" s="676"/>
      <c r="I350" s="677" t="str">
        <f t="shared" si="38"/>
        <v/>
      </c>
      <c r="J350" s="678"/>
      <c r="K350" s="678"/>
      <c r="L350" s="678"/>
      <c r="M350" s="678"/>
      <c r="N350" s="678"/>
      <c r="O350" s="679"/>
      <c r="P350" s="677" t="str">
        <f t="shared" si="39"/>
        <v/>
      </c>
      <c r="Q350" s="680"/>
      <c r="R350" s="680"/>
      <c r="S350" s="680"/>
      <c r="T350" s="680"/>
      <c r="U350" s="680"/>
      <c r="V350" s="681"/>
      <c r="W350" s="677" t="str">
        <f t="shared" si="40"/>
        <v/>
      </c>
      <c r="X350" s="680"/>
      <c r="Y350" s="680"/>
      <c r="Z350" s="680"/>
      <c r="AA350" s="680"/>
      <c r="AB350" s="680"/>
      <c r="AC350" s="681"/>
      <c r="AD350" s="677" t="str">
        <f t="shared" si="41"/>
        <v/>
      </c>
      <c r="AE350" s="680"/>
      <c r="AF350" s="680"/>
      <c r="AG350" s="680"/>
      <c r="AH350" s="680"/>
      <c r="AI350" s="680"/>
      <c r="AJ350" s="681"/>
      <c r="AK350" s="92"/>
      <c r="AL350" s="92"/>
      <c r="AM350" s="374"/>
    </row>
    <row r="351" spans="1:39" ht="18" customHeight="1">
      <c r="A351" s="387"/>
      <c r="B351" s="674">
        <f t="shared" si="42"/>
        <v>24</v>
      </c>
      <c r="C351" s="675"/>
      <c r="D351" s="675"/>
      <c r="E351" s="675"/>
      <c r="F351" s="675"/>
      <c r="G351" s="675"/>
      <c r="H351" s="676"/>
      <c r="I351" s="677" t="str">
        <f t="shared" si="38"/>
        <v/>
      </c>
      <c r="J351" s="678"/>
      <c r="K351" s="678"/>
      <c r="L351" s="678"/>
      <c r="M351" s="678"/>
      <c r="N351" s="678"/>
      <c r="O351" s="679"/>
      <c r="P351" s="677" t="str">
        <f t="shared" si="39"/>
        <v/>
      </c>
      <c r="Q351" s="680"/>
      <c r="R351" s="680"/>
      <c r="S351" s="680"/>
      <c r="T351" s="680"/>
      <c r="U351" s="680"/>
      <c r="V351" s="681"/>
      <c r="W351" s="677" t="str">
        <f t="shared" si="40"/>
        <v/>
      </c>
      <c r="X351" s="680"/>
      <c r="Y351" s="680"/>
      <c r="Z351" s="680"/>
      <c r="AA351" s="680"/>
      <c r="AB351" s="680"/>
      <c r="AC351" s="681"/>
      <c r="AD351" s="677" t="str">
        <f t="shared" si="41"/>
        <v/>
      </c>
      <c r="AE351" s="680"/>
      <c r="AF351" s="680"/>
      <c r="AG351" s="680"/>
      <c r="AH351" s="680"/>
      <c r="AI351" s="680"/>
      <c r="AJ351" s="681"/>
      <c r="AK351" s="92"/>
      <c r="AL351" s="92"/>
      <c r="AM351" s="374"/>
    </row>
    <row r="352" spans="1:39" ht="18" customHeight="1">
      <c r="A352" s="387"/>
      <c r="B352" s="674">
        <f t="shared" si="42"/>
        <v>25</v>
      </c>
      <c r="C352" s="675"/>
      <c r="D352" s="675"/>
      <c r="E352" s="675"/>
      <c r="F352" s="675"/>
      <c r="G352" s="675"/>
      <c r="H352" s="676"/>
      <c r="I352" s="677" t="str">
        <f t="shared" si="38"/>
        <v/>
      </c>
      <c r="J352" s="678"/>
      <c r="K352" s="678"/>
      <c r="L352" s="678"/>
      <c r="M352" s="678"/>
      <c r="N352" s="678"/>
      <c r="O352" s="679"/>
      <c r="P352" s="677" t="str">
        <f t="shared" si="39"/>
        <v/>
      </c>
      <c r="Q352" s="680"/>
      <c r="R352" s="680"/>
      <c r="S352" s="680"/>
      <c r="T352" s="680"/>
      <c r="U352" s="680"/>
      <c r="V352" s="681"/>
      <c r="W352" s="677" t="str">
        <f t="shared" si="40"/>
        <v/>
      </c>
      <c r="X352" s="680"/>
      <c r="Y352" s="680"/>
      <c r="Z352" s="680"/>
      <c r="AA352" s="680"/>
      <c r="AB352" s="680"/>
      <c r="AC352" s="681"/>
      <c r="AD352" s="677" t="str">
        <f t="shared" si="41"/>
        <v/>
      </c>
      <c r="AE352" s="680"/>
      <c r="AF352" s="680"/>
      <c r="AG352" s="680"/>
      <c r="AH352" s="680"/>
      <c r="AI352" s="680"/>
      <c r="AJ352" s="681"/>
      <c r="AK352" s="92"/>
      <c r="AL352" s="92"/>
      <c r="AM352" s="374"/>
    </row>
    <row r="353" spans="1:46" ht="18" customHeight="1">
      <c r="A353" s="387"/>
      <c r="B353" s="674">
        <f t="shared" si="42"/>
        <v>26</v>
      </c>
      <c r="C353" s="675"/>
      <c r="D353" s="675"/>
      <c r="E353" s="675"/>
      <c r="F353" s="675"/>
      <c r="G353" s="675"/>
      <c r="H353" s="676"/>
      <c r="I353" s="677" t="str">
        <f t="shared" si="38"/>
        <v/>
      </c>
      <c r="J353" s="678"/>
      <c r="K353" s="678"/>
      <c r="L353" s="678"/>
      <c r="M353" s="678"/>
      <c r="N353" s="678"/>
      <c r="O353" s="679"/>
      <c r="P353" s="677" t="str">
        <f t="shared" si="39"/>
        <v/>
      </c>
      <c r="Q353" s="680"/>
      <c r="R353" s="680"/>
      <c r="S353" s="680"/>
      <c r="T353" s="680"/>
      <c r="U353" s="680"/>
      <c r="V353" s="681"/>
      <c r="W353" s="677" t="str">
        <f t="shared" si="40"/>
        <v/>
      </c>
      <c r="X353" s="680"/>
      <c r="Y353" s="680"/>
      <c r="Z353" s="680"/>
      <c r="AA353" s="680"/>
      <c r="AB353" s="680"/>
      <c r="AC353" s="681"/>
      <c r="AD353" s="677" t="str">
        <f t="shared" si="41"/>
        <v/>
      </c>
      <c r="AE353" s="680"/>
      <c r="AF353" s="680"/>
      <c r="AG353" s="680"/>
      <c r="AH353" s="680"/>
      <c r="AI353" s="680"/>
      <c r="AJ353" s="681"/>
      <c r="AK353" s="92"/>
      <c r="AL353" s="92"/>
      <c r="AM353" s="374"/>
    </row>
    <row r="354" spans="1:46" ht="18" customHeight="1">
      <c r="A354" s="387"/>
      <c r="B354" s="674">
        <f t="shared" si="42"/>
        <v>27</v>
      </c>
      <c r="C354" s="675"/>
      <c r="D354" s="675"/>
      <c r="E354" s="675"/>
      <c r="F354" s="675"/>
      <c r="G354" s="675"/>
      <c r="H354" s="676"/>
      <c r="I354" s="677" t="str">
        <f t="shared" si="38"/>
        <v/>
      </c>
      <c r="J354" s="678"/>
      <c r="K354" s="678"/>
      <c r="L354" s="678"/>
      <c r="M354" s="678"/>
      <c r="N354" s="678"/>
      <c r="O354" s="679"/>
      <c r="P354" s="677" t="str">
        <f t="shared" si="39"/>
        <v/>
      </c>
      <c r="Q354" s="680"/>
      <c r="R354" s="680"/>
      <c r="S354" s="680"/>
      <c r="T354" s="680"/>
      <c r="U354" s="680"/>
      <c r="V354" s="681"/>
      <c r="W354" s="677" t="str">
        <f t="shared" si="40"/>
        <v/>
      </c>
      <c r="X354" s="680"/>
      <c r="Y354" s="680"/>
      <c r="Z354" s="680"/>
      <c r="AA354" s="680"/>
      <c r="AB354" s="680"/>
      <c r="AC354" s="681"/>
      <c r="AD354" s="677" t="str">
        <f t="shared" si="41"/>
        <v/>
      </c>
      <c r="AE354" s="680"/>
      <c r="AF354" s="680"/>
      <c r="AG354" s="680"/>
      <c r="AH354" s="680"/>
      <c r="AI354" s="680"/>
      <c r="AJ354" s="681"/>
      <c r="AK354" s="92"/>
      <c r="AL354" s="92"/>
      <c r="AM354" s="374"/>
    </row>
    <row r="355" spans="1:46" ht="18" customHeight="1">
      <c r="A355" s="387"/>
      <c r="B355" s="674">
        <f t="shared" si="42"/>
        <v>28</v>
      </c>
      <c r="C355" s="675"/>
      <c r="D355" s="675"/>
      <c r="E355" s="675"/>
      <c r="F355" s="675"/>
      <c r="G355" s="675"/>
      <c r="H355" s="676"/>
      <c r="I355" s="677" t="str">
        <f t="shared" si="38"/>
        <v/>
      </c>
      <c r="J355" s="678"/>
      <c r="K355" s="678"/>
      <c r="L355" s="678"/>
      <c r="M355" s="678"/>
      <c r="N355" s="678"/>
      <c r="O355" s="679"/>
      <c r="P355" s="677" t="str">
        <f t="shared" si="39"/>
        <v/>
      </c>
      <c r="Q355" s="680"/>
      <c r="R355" s="680"/>
      <c r="S355" s="680"/>
      <c r="T355" s="680"/>
      <c r="U355" s="680"/>
      <c r="V355" s="681"/>
      <c r="W355" s="677" t="str">
        <f t="shared" si="40"/>
        <v/>
      </c>
      <c r="X355" s="680"/>
      <c r="Y355" s="680"/>
      <c r="Z355" s="680"/>
      <c r="AA355" s="680"/>
      <c r="AB355" s="680"/>
      <c r="AC355" s="681"/>
      <c r="AD355" s="677" t="str">
        <f t="shared" si="41"/>
        <v/>
      </c>
      <c r="AE355" s="680"/>
      <c r="AF355" s="680"/>
      <c r="AG355" s="680"/>
      <c r="AH355" s="680"/>
      <c r="AI355" s="680"/>
      <c r="AJ355" s="681"/>
      <c r="AK355" s="92"/>
      <c r="AL355" s="92"/>
      <c r="AM355" s="374"/>
    </row>
    <row r="356" spans="1:46" ht="18" customHeight="1">
      <c r="A356" s="387"/>
      <c r="B356" s="674">
        <f t="shared" si="42"/>
        <v>29</v>
      </c>
      <c r="C356" s="675"/>
      <c r="D356" s="675"/>
      <c r="E356" s="675"/>
      <c r="F356" s="675"/>
      <c r="G356" s="675"/>
      <c r="H356" s="676"/>
      <c r="I356" s="677" t="str">
        <f t="shared" si="38"/>
        <v/>
      </c>
      <c r="J356" s="678"/>
      <c r="K356" s="678"/>
      <c r="L356" s="678"/>
      <c r="M356" s="678"/>
      <c r="N356" s="678"/>
      <c r="O356" s="679"/>
      <c r="P356" s="677" t="str">
        <f t="shared" si="39"/>
        <v/>
      </c>
      <c r="Q356" s="680"/>
      <c r="R356" s="680"/>
      <c r="S356" s="680"/>
      <c r="T356" s="680"/>
      <c r="U356" s="680"/>
      <c r="V356" s="681"/>
      <c r="W356" s="677" t="str">
        <f t="shared" si="40"/>
        <v/>
      </c>
      <c r="X356" s="680"/>
      <c r="Y356" s="680"/>
      <c r="Z356" s="680"/>
      <c r="AA356" s="680"/>
      <c r="AB356" s="680"/>
      <c r="AC356" s="681"/>
      <c r="AD356" s="677" t="str">
        <f t="shared" si="41"/>
        <v/>
      </c>
      <c r="AE356" s="680"/>
      <c r="AF356" s="680"/>
      <c r="AG356" s="680"/>
      <c r="AH356" s="680"/>
      <c r="AI356" s="680"/>
      <c r="AJ356" s="681"/>
      <c r="AK356" s="92"/>
      <c r="AL356" s="92"/>
      <c r="AM356" s="374"/>
    </row>
    <row r="357" spans="1:46" ht="18" customHeight="1">
      <c r="A357" s="387"/>
      <c r="B357" s="674">
        <f t="shared" si="42"/>
        <v>30</v>
      </c>
      <c r="C357" s="675"/>
      <c r="D357" s="675"/>
      <c r="E357" s="675"/>
      <c r="F357" s="675"/>
      <c r="G357" s="675"/>
      <c r="H357" s="676"/>
      <c r="I357" s="677" t="str">
        <f t="shared" si="38"/>
        <v/>
      </c>
      <c r="J357" s="678"/>
      <c r="K357" s="678"/>
      <c r="L357" s="678"/>
      <c r="M357" s="678"/>
      <c r="N357" s="678"/>
      <c r="O357" s="679"/>
      <c r="P357" s="677" t="str">
        <f t="shared" si="39"/>
        <v/>
      </c>
      <c r="Q357" s="680"/>
      <c r="R357" s="680"/>
      <c r="S357" s="680"/>
      <c r="T357" s="680"/>
      <c r="U357" s="680"/>
      <c r="V357" s="681"/>
      <c r="W357" s="677" t="str">
        <f t="shared" si="40"/>
        <v/>
      </c>
      <c r="X357" s="680"/>
      <c r="Y357" s="680"/>
      <c r="Z357" s="680"/>
      <c r="AA357" s="680"/>
      <c r="AB357" s="680"/>
      <c r="AC357" s="681"/>
      <c r="AD357" s="677" t="str">
        <f t="shared" si="41"/>
        <v/>
      </c>
      <c r="AE357" s="680"/>
      <c r="AF357" s="680"/>
      <c r="AG357" s="680"/>
      <c r="AH357" s="680"/>
      <c r="AI357" s="680"/>
      <c r="AJ357" s="681"/>
      <c r="AK357" s="92"/>
      <c r="AL357" s="92"/>
      <c r="AM357" s="374"/>
    </row>
    <row r="358" spans="1:46" s="374" customFormat="1" ht="18" customHeight="1">
      <c r="A358" s="387"/>
      <c r="B358" s="403"/>
      <c r="C358" s="403"/>
      <c r="D358" s="403"/>
      <c r="E358" s="403"/>
      <c r="F358" s="403"/>
      <c r="G358" s="403"/>
      <c r="H358" s="403"/>
      <c r="I358" s="403"/>
      <c r="J358" s="403"/>
      <c r="K358" s="403"/>
      <c r="L358" s="403"/>
      <c r="M358" s="403"/>
      <c r="N358" s="403"/>
      <c r="O358" s="403"/>
      <c r="P358" s="403"/>
      <c r="Q358" s="403"/>
      <c r="R358" s="403"/>
      <c r="S358" s="403"/>
      <c r="T358" s="403"/>
      <c r="U358" s="403"/>
      <c r="V358" s="403"/>
      <c r="W358" s="403"/>
      <c r="X358" s="403"/>
      <c r="Y358" s="403"/>
      <c r="Z358" s="403"/>
      <c r="AA358" s="403"/>
      <c r="AB358" s="403"/>
      <c r="AC358" s="403"/>
      <c r="AD358" s="403"/>
      <c r="AE358" s="403"/>
      <c r="AF358" s="403"/>
      <c r="AG358" s="403"/>
      <c r="AH358" s="403"/>
      <c r="AI358" s="403"/>
      <c r="AJ358" s="403"/>
      <c r="AK358" s="366"/>
      <c r="AL358" s="366"/>
      <c r="AM358" s="366"/>
      <c r="AN358" s="366"/>
      <c r="AO358" s="366"/>
      <c r="AP358" s="366"/>
      <c r="AQ358" s="366"/>
      <c r="AR358" s="92"/>
      <c r="AS358" s="92"/>
    </row>
    <row r="359" spans="1:46" ht="18" customHeight="1">
      <c r="A359" s="131" t="s">
        <v>415</v>
      </c>
      <c r="B359" s="374"/>
      <c r="C359" s="374"/>
      <c r="D359" s="374"/>
      <c r="E359" s="374"/>
      <c r="F359" s="374"/>
      <c r="G359" s="374"/>
      <c r="H359" s="374"/>
      <c r="I359" s="374"/>
      <c r="J359" s="374"/>
      <c r="K359" s="374"/>
      <c r="L359" s="374"/>
      <c r="M359" s="374"/>
      <c r="N359" s="374"/>
      <c r="O359" s="374"/>
      <c r="P359" s="374"/>
      <c r="Q359" s="374"/>
      <c r="R359" s="374"/>
      <c r="S359" s="374"/>
      <c r="T359" s="374"/>
      <c r="U359" s="374"/>
      <c r="V359" s="374"/>
      <c r="W359" s="374"/>
      <c r="X359" s="374"/>
      <c r="Y359" s="374"/>
      <c r="Z359" s="374"/>
      <c r="AA359" s="374"/>
      <c r="AB359" s="374"/>
      <c r="AC359" s="374"/>
      <c r="AD359" s="374"/>
      <c r="AE359" s="374"/>
      <c r="AF359" s="374"/>
      <c r="AG359" s="374"/>
      <c r="AH359" s="374"/>
      <c r="AI359" s="374"/>
      <c r="AJ359" s="374"/>
      <c r="AK359" s="374"/>
      <c r="AL359" s="374"/>
      <c r="AM359" s="374"/>
      <c r="AN359" s="374"/>
      <c r="AO359" s="374"/>
      <c r="AP359" s="374"/>
      <c r="AQ359" s="374"/>
      <c r="AR359" s="374"/>
      <c r="AS359" s="374"/>
      <c r="AT359" s="374"/>
    </row>
    <row r="360" spans="1:46" ht="18" customHeight="1">
      <c r="A360" s="387"/>
      <c r="B360" s="683" t="s">
        <v>401</v>
      </c>
      <c r="C360" s="717"/>
      <c r="D360" s="717"/>
      <c r="E360" s="683" t="s">
        <v>64</v>
      </c>
      <c r="F360" s="684"/>
      <c r="G360" s="684"/>
      <c r="H360" s="684"/>
      <c r="I360" s="684"/>
      <c r="J360" s="684"/>
      <c r="K360" s="685"/>
      <c r="L360" s="750" t="s">
        <v>418</v>
      </c>
      <c r="M360" s="750"/>
      <c r="N360" s="750"/>
      <c r="O360" s="750"/>
      <c r="P360" s="750"/>
      <c r="Q360" s="750"/>
      <c r="R360" s="750"/>
      <c r="S360" s="750"/>
      <c r="T360" s="750"/>
      <c r="U360" s="750"/>
      <c r="V360" s="750"/>
      <c r="W360" s="750"/>
      <c r="X360" s="750"/>
      <c r="Y360" s="750"/>
      <c r="Z360" s="750"/>
      <c r="AA360" s="750"/>
      <c r="AB360" s="750"/>
      <c r="AC360" s="750"/>
      <c r="AD360" s="750"/>
      <c r="AE360" s="750"/>
      <c r="AF360" s="750"/>
      <c r="AG360" s="750"/>
      <c r="AH360" s="750"/>
      <c r="AI360" s="750"/>
      <c r="AJ360" s="750"/>
      <c r="AK360" s="750"/>
      <c r="AL360" s="750"/>
      <c r="AM360" s="750"/>
      <c r="AN360" s="750"/>
      <c r="AO360" s="750"/>
      <c r="AP360" s="750"/>
      <c r="AQ360" s="750"/>
    </row>
    <row r="361" spans="1:46" ht="18" customHeight="1">
      <c r="A361" s="387"/>
      <c r="B361" s="718"/>
      <c r="C361" s="719"/>
      <c r="D361" s="719"/>
      <c r="E361" s="689"/>
      <c r="F361" s="690"/>
      <c r="G361" s="690"/>
      <c r="H361" s="690"/>
      <c r="I361" s="690"/>
      <c r="J361" s="690"/>
      <c r="K361" s="691"/>
      <c r="L361" s="751" t="s">
        <v>395</v>
      </c>
      <c r="M361" s="751"/>
      <c r="N361" s="751"/>
      <c r="O361" s="751"/>
      <c r="P361" s="751"/>
      <c r="Q361" s="751"/>
      <c r="R361" s="751" t="s">
        <v>420</v>
      </c>
      <c r="S361" s="751"/>
      <c r="T361" s="751"/>
      <c r="U361" s="751"/>
      <c r="V361" s="751"/>
      <c r="W361" s="751"/>
      <c r="X361" s="751" t="s">
        <v>94</v>
      </c>
      <c r="Y361" s="751"/>
      <c r="Z361" s="751"/>
      <c r="AA361" s="751"/>
      <c r="AB361" s="751"/>
      <c r="AC361" s="751"/>
      <c r="AD361" s="749" t="s">
        <v>422</v>
      </c>
      <c r="AE361" s="749"/>
      <c r="AF361" s="749"/>
      <c r="AG361" s="749"/>
      <c r="AH361" s="749"/>
      <c r="AI361" s="749"/>
      <c r="AJ361" s="749"/>
      <c r="AK361" s="749"/>
      <c r="AL361" s="749"/>
      <c r="AM361" s="749"/>
      <c r="AN361" s="749"/>
      <c r="AO361" s="749"/>
      <c r="AP361" s="749"/>
      <c r="AQ361" s="749"/>
    </row>
    <row r="362" spans="1:46" ht="18" customHeight="1">
      <c r="A362" s="387"/>
      <c r="B362" s="720"/>
      <c r="C362" s="721"/>
      <c r="D362" s="721"/>
      <c r="E362" s="668">
        <f t="shared" ref="E362:E392" si="43">I327</f>
        <v>0</v>
      </c>
      <c r="F362" s="669"/>
      <c r="G362" s="669"/>
      <c r="H362" s="669"/>
      <c r="I362" s="669"/>
      <c r="J362" s="669"/>
      <c r="K362" s="670"/>
      <c r="L362" s="746">
        <f>P256</f>
        <v>0</v>
      </c>
      <c r="M362" s="746"/>
      <c r="N362" s="746"/>
      <c r="O362" s="746"/>
      <c r="P362" s="746"/>
      <c r="Q362" s="746"/>
      <c r="R362" s="746">
        <f>W256</f>
        <v>0</v>
      </c>
      <c r="S362" s="746"/>
      <c r="T362" s="746"/>
      <c r="U362" s="746"/>
      <c r="V362" s="746"/>
      <c r="W362" s="746"/>
      <c r="X362" s="746">
        <f>AD256</f>
        <v>0</v>
      </c>
      <c r="Y362" s="746"/>
      <c r="Z362" s="746"/>
      <c r="AA362" s="746"/>
      <c r="AB362" s="746"/>
      <c r="AC362" s="746"/>
      <c r="AD362" s="746">
        <f>X362</f>
        <v>0</v>
      </c>
      <c r="AE362" s="746"/>
      <c r="AF362" s="746"/>
      <c r="AG362" s="746"/>
      <c r="AH362" s="746"/>
      <c r="AI362" s="746"/>
      <c r="AJ362" s="746"/>
      <c r="AK362" s="749">
        <f>E362</f>
        <v>0</v>
      </c>
      <c r="AL362" s="749"/>
      <c r="AM362" s="749"/>
      <c r="AN362" s="749"/>
      <c r="AO362" s="749"/>
      <c r="AP362" s="749"/>
      <c r="AQ362" s="749"/>
    </row>
    <row r="363" spans="1:46" ht="18" customHeight="1">
      <c r="A363" s="387"/>
      <c r="B363" s="674">
        <f>B328</f>
        <v>1</v>
      </c>
      <c r="C363" s="712"/>
      <c r="D363" s="712"/>
      <c r="E363" s="677" t="str">
        <f t="shared" si="43"/>
        <v/>
      </c>
      <c r="F363" s="678"/>
      <c r="G363" s="678"/>
      <c r="H363" s="678"/>
      <c r="I363" s="678"/>
      <c r="J363" s="678"/>
      <c r="K363" s="679"/>
      <c r="L363" s="748" t="str">
        <f t="shared" ref="L363:L392" ca="1" si="44">IF(E363="","",P257-IF(B363&lt;=$AR$249,P$257,OFFSET($P$256,$AR$249*2,0)))</f>
        <v/>
      </c>
      <c r="M363" s="748"/>
      <c r="N363" s="748"/>
      <c r="O363" s="748"/>
      <c r="P363" s="748"/>
      <c r="Q363" s="748"/>
      <c r="R363" s="748" t="str">
        <f t="shared" ref="R363:R392" ca="1" si="45">IF(E363="","",W257-IF(E363&lt;=$AR$249,W$257,OFFSET($W$256,$AR$249*2,0)))</f>
        <v/>
      </c>
      <c r="S363" s="748"/>
      <c r="T363" s="748"/>
      <c r="U363" s="748"/>
      <c r="V363" s="748"/>
      <c r="W363" s="748"/>
      <c r="X363" s="748" t="str">
        <f t="shared" ref="X363:X392" ca="1" si="46">IF(E363="","",AD257-IF(E363&lt;=$AR$249,AD$257,OFFSET($AD$256,$AR$249*2,0)))</f>
        <v/>
      </c>
      <c r="Y363" s="748"/>
      <c r="Z363" s="748"/>
      <c r="AA363" s="748"/>
      <c r="AB363" s="748"/>
      <c r="AC363" s="748"/>
      <c r="AD363" s="748" t="str">
        <f t="shared" ref="AD363:AD392" si="47">IF(E363="","",MAX(ABS(R363-L363),ABS(X363-L363),ABS(X363-R363)))</f>
        <v/>
      </c>
      <c r="AE363" s="748"/>
      <c r="AF363" s="748"/>
      <c r="AG363" s="748"/>
      <c r="AH363" s="748"/>
      <c r="AI363" s="748"/>
      <c r="AJ363" s="748"/>
      <c r="AK363" s="747" t="str">
        <f t="shared" ref="AK363:AK392" si="48">IF(E363="","",AD363*AJ$302)</f>
        <v/>
      </c>
      <c r="AL363" s="747"/>
      <c r="AM363" s="747"/>
      <c r="AN363" s="747"/>
      <c r="AO363" s="747"/>
      <c r="AP363" s="747"/>
      <c r="AQ363" s="747"/>
    </row>
    <row r="364" spans="1:46" ht="18" customHeight="1">
      <c r="A364" s="387"/>
      <c r="B364" s="674">
        <f t="shared" ref="B364:B392" si="49">B329</f>
        <v>2</v>
      </c>
      <c r="C364" s="712"/>
      <c r="D364" s="712"/>
      <c r="E364" s="677" t="str">
        <f t="shared" si="43"/>
        <v/>
      </c>
      <c r="F364" s="678"/>
      <c r="G364" s="678"/>
      <c r="H364" s="678"/>
      <c r="I364" s="678"/>
      <c r="J364" s="678"/>
      <c r="K364" s="679"/>
      <c r="L364" s="677" t="str">
        <f t="shared" ca="1" si="44"/>
        <v/>
      </c>
      <c r="M364" s="680"/>
      <c r="N364" s="680"/>
      <c r="O364" s="680"/>
      <c r="P364" s="680"/>
      <c r="Q364" s="681"/>
      <c r="R364" s="748" t="str">
        <f t="shared" ca="1" si="45"/>
        <v/>
      </c>
      <c r="S364" s="748"/>
      <c r="T364" s="748"/>
      <c r="U364" s="748"/>
      <c r="V364" s="748"/>
      <c r="W364" s="748"/>
      <c r="X364" s="748" t="str">
        <f t="shared" ca="1" si="46"/>
        <v/>
      </c>
      <c r="Y364" s="748"/>
      <c r="Z364" s="748"/>
      <c r="AA364" s="748"/>
      <c r="AB364" s="748"/>
      <c r="AC364" s="748"/>
      <c r="AD364" s="747" t="str">
        <f t="shared" si="47"/>
        <v/>
      </c>
      <c r="AE364" s="747"/>
      <c r="AF364" s="747"/>
      <c r="AG364" s="747"/>
      <c r="AH364" s="747"/>
      <c r="AI364" s="747"/>
      <c r="AJ364" s="747"/>
      <c r="AK364" s="747" t="str">
        <f t="shared" si="48"/>
        <v/>
      </c>
      <c r="AL364" s="747"/>
      <c r="AM364" s="747"/>
      <c r="AN364" s="747"/>
      <c r="AO364" s="747"/>
      <c r="AP364" s="747"/>
      <c r="AQ364" s="747"/>
    </row>
    <row r="365" spans="1:46" ht="18" customHeight="1">
      <c r="A365" s="387"/>
      <c r="B365" s="674">
        <f t="shared" si="49"/>
        <v>3</v>
      </c>
      <c r="C365" s="712"/>
      <c r="D365" s="712"/>
      <c r="E365" s="677" t="str">
        <f t="shared" si="43"/>
        <v/>
      </c>
      <c r="F365" s="678"/>
      <c r="G365" s="678"/>
      <c r="H365" s="678"/>
      <c r="I365" s="678"/>
      <c r="J365" s="678"/>
      <c r="K365" s="679"/>
      <c r="L365" s="677" t="str">
        <f t="shared" ca="1" si="44"/>
        <v/>
      </c>
      <c r="M365" s="680"/>
      <c r="N365" s="680"/>
      <c r="O365" s="680"/>
      <c r="P365" s="680"/>
      <c r="Q365" s="681"/>
      <c r="R365" s="748" t="str">
        <f t="shared" ca="1" si="45"/>
        <v/>
      </c>
      <c r="S365" s="748"/>
      <c r="T365" s="748"/>
      <c r="U365" s="748"/>
      <c r="V365" s="748"/>
      <c r="W365" s="748"/>
      <c r="X365" s="748" t="str">
        <f t="shared" ca="1" si="46"/>
        <v/>
      </c>
      <c r="Y365" s="748"/>
      <c r="Z365" s="748"/>
      <c r="AA365" s="748"/>
      <c r="AB365" s="748"/>
      <c r="AC365" s="748"/>
      <c r="AD365" s="747" t="str">
        <f t="shared" si="47"/>
        <v/>
      </c>
      <c r="AE365" s="747"/>
      <c r="AF365" s="747"/>
      <c r="AG365" s="747"/>
      <c r="AH365" s="747"/>
      <c r="AI365" s="747"/>
      <c r="AJ365" s="747"/>
      <c r="AK365" s="747" t="str">
        <f t="shared" si="48"/>
        <v/>
      </c>
      <c r="AL365" s="747"/>
      <c r="AM365" s="747"/>
      <c r="AN365" s="747"/>
      <c r="AO365" s="747"/>
      <c r="AP365" s="747"/>
      <c r="AQ365" s="747"/>
    </row>
    <row r="366" spans="1:46" ht="18" customHeight="1">
      <c r="A366" s="387"/>
      <c r="B366" s="674">
        <f t="shared" si="49"/>
        <v>4</v>
      </c>
      <c r="C366" s="712"/>
      <c r="D366" s="712"/>
      <c r="E366" s="677" t="str">
        <f t="shared" si="43"/>
        <v/>
      </c>
      <c r="F366" s="678"/>
      <c r="G366" s="678"/>
      <c r="H366" s="678"/>
      <c r="I366" s="678"/>
      <c r="J366" s="678"/>
      <c r="K366" s="679"/>
      <c r="L366" s="677" t="str">
        <f t="shared" ca="1" si="44"/>
        <v/>
      </c>
      <c r="M366" s="680"/>
      <c r="N366" s="680"/>
      <c r="O366" s="680"/>
      <c r="P366" s="680"/>
      <c r="Q366" s="681"/>
      <c r="R366" s="748" t="str">
        <f t="shared" ca="1" si="45"/>
        <v/>
      </c>
      <c r="S366" s="748"/>
      <c r="T366" s="748"/>
      <c r="U366" s="748"/>
      <c r="V366" s="748"/>
      <c r="W366" s="748"/>
      <c r="X366" s="748" t="str">
        <f t="shared" ca="1" si="46"/>
        <v/>
      </c>
      <c r="Y366" s="748"/>
      <c r="Z366" s="748"/>
      <c r="AA366" s="748"/>
      <c r="AB366" s="748"/>
      <c r="AC366" s="748"/>
      <c r="AD366" s="747" t="str">
        <f t="shared" si="47"/>
        <v/>
      </c>
      <c r="AE366" s="747"/>
      <c r="AF366" s="747"/>
      <c r="AG366" s="747"/>
      <c r="AH366" s="747"/>
      <c r="AI366" s="747"/>
      <c r="AJ366" s="747"/>
      <c r="AK366" s="747" t="str">
        <f t="shared" si="48"/>
        <v/>
      </c>
      <c r="AL366" s="747"/>
      <c r="AM366" s="747"/>
      <c r="AN366" s="747"/>
      <c r="AO366" s="747"/>
      <c r="AP366" s="747"/>
      <c r="AQ366" s="747"/>
    </row>
    <row r="367" spans="1:46" ht="18" customHeight="1">
      <c r="A367" s="387"/>
      <c r="B367" s="674">
        <f t="shared" si="49"/>
        <v>5</v>
      </c>
      <c r="C367" s="712"/>
      <c r="D367" s="712"/>
      <c r="E367" s="677" t="str">
        <f t="shared" si="43"/>
        <v/>
      </c>
      <c r="F367" s="678"/>
      <c r="G367" s="678"/>
      <c r="H367" s="678"/>
      <c r="I367" s="678"/>
      <c r="J367" s="678"/>
      <c r="K367" s="679"/>
      <c r="L367" s="677" t="str">
        <f t="shared" ca="1" si="44"/>
        <v/>
      </c>
      <c r="M367" s="680"/>
      <c r="N367" s="680"/>
      <c r="O367" s="680"/>
      <c r="P367" s="680"/>
      <c r="Q367" s="681"/>
      <c r="R367" s="748" t="str">
        <f t="shared" ca="1" si="45"/>
        <v/>
      </c>
      <c r="S367" s="748"/>
      <c r="T367" s="748"/>
      <c r="U367" s="748"/>
      <c r="V367" s="748"/>
      <c r="W367" s="748"/>
      <c r="X367" s="748" t="str">
        <f t="shared" ca="1" si="46"/>
        <v/>
      </c>
      <c r="Y367" s="748"/>
      <c r="Z367" s="748"/>
      <c r="AA367" s="748"/>
      <c r="AB367" s="748"/>
      <c r="AC367" s="748"/>
      <c r="AD367" s="747" t="str">
        <f t="shared" si="47"/>
        <v/>
      </c>
      <c r="AE367" s="747"/>
      <c r="AF367" s="747"/>
      <c r="AG367" s="747"/>
      <c r="AH367" s="747"/>
      <c r="AI367" s="747"/>
      <c r="AJ367" s="747"/>
      <c r="AK367" s="747" t="str">
        <f t="shared" si="48"/>
        <v/>
      </c>
      <c r="AL367" s="747"/>
      <c r="AM367" s="747"/>
      <c r="AN367" s="747"/>
      <c r="AO367" s="747"/>
      <c r="AP367" s="747"/>
      <c r="AQ367" s="747"/>
    </row>
    <row r="368" spans="1:46" ht="18" customHeight="1">
      <c r="A368" s="387"/>
      <c r="B368" s="674">
        <f t="shared" si="49"/>
        <v>6</v>
      </c>
      <c r="C368" s="712"/>
      <c r="D368" s="712"/>
      <c r="E368" s="677" t="str">
        <f t="shared" si="43"/>
        <v/>
      </c>
      <c r="F368" s="678"/>
      <c r="G368" s="678"/>
      <c r="H368" s="678"/>
      <c r="I368" s="678"/>
      <c r="J368" s="678"/>
      <c r="K368" s="679"/>
      <c r="L368" s="677" t="str">
        <f t="shared" ca="1" si="44"/>
        <v/>
      </c>
      <c r="M368" s="680"/>
      <c r="N368" s="680"/>
      <c r="O368" s="680"/>
      <c r="P368" s="680"/>
      <c r="Q368" s="681"/>
      <c r="R368" s="748" t="str">
        <f t="shared" ca="1" si="45"/>
        <v/>
      </c>
      <c r="S368" s="748"/>
      <c r="T368" s="748"/>
      <c r="U368" s="748"/>
      <c r="V368" s="748"/>
      <c r="W368" s="748"/>
      <c r="X368" s="748" t="str">
        <f t="shared" ca="1" si="46"/>
        <v/>
      </c>
      <c r="Y368" s="748"/>
      <c r="Z368" s="748"/>
      <c r="AA368" s="748"/>
      <c r="AB368" s="748"/>
      <c r="AC368" s="748"/>
      <c r="AD368" s="747" t="str">
        <f t="shared" si="47"/>
        <v/>
      </c>
      <c r="AE368" s="747"/>
      <c r="AF368" s="747"/>
      <c r="AG368" s="747"/>
      <c r="AH368" s="747"/>
      <c r="AI368" s="747"/>
      <c r="AJ368" s="747"/>
      <c r="AK368" s="747" t="str">
        <f t="shared" si="48"/>
        <v/>
      </c>
      <c r="AL368" s="747"/>
      <c r="AM368" s="747"/>
      <c r="AN368" s="747"/>
      <c r="AO368" s="747"/>
      <c r="AP368" s="747"/>
      <c r="AQ368" s="747"/>
    </row>
    <row r="369" spans="1:43" ht="18" customHeight="1">
      <c r="A369" s="387"/>
      <c r="B369" s="674">
        <f t="shared" si="49"/>
        <v>7</v>
      </c>
      <c r="C369" s="712"/>
      <c r="D369" s="712"/>
      <c r="E369" s="677" t="str">
        <f t="shared" si="43"/>
        <v/>
      </c>
      <c r="F369" s="678"/>
      <c r="G369" s="678"/>
      <c r="H369" s="678"/>
      <c r="I369" s="678"/>
      <c r="J369" s="678"/>
      <c r="K369" s="679"/>
      <c r="L369" s="677" t="str">
        <f t="shared" ca="1" si="44"/>
        <v/>
      </c>
      <c r="M369" s="680"/>
      <c r="N369" s="680"/>
      <c r="O369" s="680"/>
      <c r="P369" s="680"/>
      <c r="Q369" s="681"/>
      <c r="R369" s="748" t="str">
        <f t="shared" ca="1" si="45"/>
        <v/>
      </c>
      <c r="S369" s="748"/>
      <c r="T369" s="748"/>
      <c r="U369" s="748"/>
      <c r="V369" s="748"/>
      <c r="W369" s="748"/>
      <c r="X369" s="748" t="str">
        <f t="shared" ca="1" si="46"/>
        <v/>
      </c>
      <c r="Y369" s="748"/>
      <c r="Z369" s="748"/>
      <c r="AA369" s="748"/>
      <c r="AB369" s="748"/>
      <c r="AC369" s="748"/>
      <c r="AD369" s="747" t="str">
        <f t="shared" si="47"/>
        <v/>
      </c>
      <c r="AE369" s="747"/>
      <c r="AF369" s="747"/>
      <c r="AG369" s="747"/>
      <c r="AH369" s="747"/>
      <c r="AI369" s="747"/>
      <c r="AJ369" s="747"/>
      <c r="AK369" s="747" t="str">
        <f t="shared" si="48"/>
        <v/>
      </c>
      <c r="AL369" s="747"/>
      <c r="AM369" s="747"/>
      <c r="AN369" s="747"/>
      <c r="AO369" s="747"/>
      <c r="AP369" s="747"/>
      <c r="AQ369" s="747"/>
    </row>
    <row r="370" spans="1:43" ht="18" customHeight="1">
      <c r="A370" s="387"/>
      <c r="B370" s="674">
        <f t="shared" si="49"/>
        <v>8</v>
      </c>
      <c r="C370" s="712"/>
      <c r="D370" s="712"/>
      <c r="E370" s="677" t="str">
        <f t="shared" si="43"/>
        <v/>
      </c>
      <c r="F370" s="678"/>
      <c r="G370" s="678"/>
      <c r="H370" s="678"/>
      <c r="I370" s="678"/>
      <c r="J370" s="678"/>
      <c r="K370" s="679"/>
      <c r="L370" s="677" t="str">
        <f t="shared" ca="1" si="44"/>
        <v/>
      </c>
      <c r="M370" s="680"/>
      <c r="N370" s="680"/>
      <c r="O370" s="680"/>
      <c r="P370" s="680"/>
      <c r="Q370" s="681"/>
      <c r="R370" s="748" t="str">
        <f t="shared" ca="1" si="45"/>
        <v/>
      </c>
      <c r="S370" s="748"/>
      <c r="T370" s="748"/>
      <c r="U370" s="748"/>
      <c r="V370" s="748"/>
      <c r="W370" s="748"/>
      <c r="X370" s="748" t="str">
        <f t="shared" ca="1" si="46"/>
        <v/>
      </c>
      <c r="Y370" s="748"/>
      <c r="Z370" s="748"/>
      <c r="AA370" s="748"/>
      <c r="AB370" s="748"/>
      <c r="AC370" s="748"/>
      <c r="AD370" s="747" t="str">
        <f t="shared" si="47"/>
        <v/>
      </c>
      <c r="AE370" s="747"/>
      <c r="AF370" s="747"/>
      <c r="AG370" s="747"/>
      <c r="AH370" s="747"/>
      <c r="AI370" s="747"/>
      <c r="AJ370" s="747"/>
      <c r="AK370" s="747" t="str">
        <f t="shared" si="48"/>
        <v/>
      </c>
      <c r="AL370" s="747"/>
      <c r="AM370" s="747"/>
      <c r="AN370" s="747"/>
      <c r="AO370" s="747"/>
      <c r="AP370" s="747"/>
      <c r="AQ370" s="747"/>
    </row>
    <row r="371" spans="1:43" ht="18" customHeight="1">
      <c r="A371" s="387"/>
      <c r="B371" s="674">
        <f t="shared" si="49"/>
        <v>9</v>
      </c>
      <c r="C371" s="712"/>
      <c r="D371" s="712"/>
      <c r="E371" s="677" t="str">
        <f t="shared" si="43"/>
        <v/>
      </c>
      <c r="F371" s="678"/>
      <c r="G371" s="678"/>
      <c r="H371" s="678"/>
      <c r="I371" s="678"/>
      <c r="J371" s="678"/>
      <c r="K371" s="679"/>
      <c r="L371" s="677" t="str">
        <f t="shared" ca="1" si="44"/>
        <v/>
      </c>
      <c r="M371" s="680"/>
      <c r="N371" s="680"/>
      <c r="O371" s="680"/>
      <c r="P371" s="680"/>
      <c r="Q371" s="681"/>
      <c r="R371" s="748" t="str">
        <f t="shared" ca="1" si="45"/>
        <v/>
      </c>
      <c r="S371" s="748"/>
      <c r="T371" s="748"/>
      <c r="U371" s="748"/>
      <c r="V371" s="748"/>
      <c r="W371" s="748"/>
      <c r="X371" s="748" t="str">
        <f t="shared" ca="1" si="46"/>
        <v/>
      </c>
      <c r="Y371" s="748"/>
      <c r="Z371" s="748"/>
      <c r="AA371" s="748"/>
      <c r="AB371" s="748"/>
      <c r="AC371" s="748"/>
      <c r="AD371" s="747" t="str">
        <f t="shared" si="47"/>
        <v/>
      </c>
      <c r="AE371" s="747"/>
      <c r="AF371" s="747"/>
      <c r="AG371" s="747"/>
      <c r="AH371" s="747"/>
      <c r="AI371" s="747"/>
      <c r="AJ371" s="747"/>
      <c r="AK371" s="747" t="str">
        <f t="shared" si="48"/>
        <v/>
      </c>
      <c r="AL371" s="747"/>
      <c r="AM371" s="747"/>
      <c r="AN371" s="747"/>
      <c r="AO371" s="747"/>
      <c r="AP371" s="747"/>
      <c r="AQ371" s="747"/>
    </row>
    <row r="372" spans="1:43" ht="18" customHeight="1">
      <c r="A372" s="387"/>
      <c r="B372" s="674">
        <f t="shared" si="49"/>
        <v>10</v>
      </c>
      <c r="C372" s="712"/>
      <c r="D372" s="712"/>
      <c r="E372" s="677" t="str">
        <f t="shared" si="43"/>
        <v/>
      </c>
      <c r="F372" s="678"/>
      <c r="G372" s="678"/>
      <c r="H372" s="678"/>
      <c r="I372" s="678"/>
      <c r="J372" s="678"/>
      <c r="K372" s="679"/>
      <c r="L372" s="677" t="str">
        <f t="shared" ca="1" si="44"/>
        <v/>
      </c>
      <c r="M372" s="680"/>
      <c r="N372" s="680"/>
      <c r="O372" s="680"/>
      <c r="P372" s="680"/>
      <c r="Q372" s="681"/>
      <c r="R372" s="748" t="str">
        <f t="shared" ca="1" si="45"/>
        <v/>
      </c>
      <c r="S372" s="748"/>
      <c r="T372" s="748"/>
      <c r="U372" s="748"/>
      <c r="V372" s="748"/>
      <c r="W372" s="748"/>
      <c r="X372" s="748" t="str">
        <f t="shared" ca="1" si="46"/>
        <v/>
      </c>
      <c r="Y372" s="748"/>
      <c r="Z372" s="748"/>
      <c r="AA372" s="748"/>
      <c r="AB372" s="748"/>
      <c r="AC372" s="748"/>
      <c r="AD372" s="747" t="str">
        <f t="shared" si="47"/>
        <v/>
      </c>
      <c r="AE372" s="747"/>
      <c r="AF372" s="747"/>
      <c r="AG372" s="747"/>
      <c r="AH372" s="747"/>
      <c r="AI372" s="747"/>
      <c r="AJ372" s="747"/>
      <c r="AK372" s="747" t="str">
        <f t="shared" si="48"/>
        <v/>
      </c>
      <c r="AL372" s="747"/>
      <c r="AM372" s="747"/>
      <c r="AN372" s="747"/>
      <c r="AO372" s="747"/>
      <c r="AP372" s="747"/>
      <c r="AQ372" s="747"/>
    </row>
    <row r="373" spans="1:43" ht="18" customHeight="1">
      <c r="A373" s="387"/>
      <c r="B373" s="674">
        <f t="shared" si="49"/>
        <v>11</v>
      </c>
      <c r="C373" s="712"/>
      <c r="D373" s="712"/>
      <c r="E373" s="677" t="str">
        <f t="shared" si="43"/>
        <v/>
      </c>
      <c r="F373" s="678"/>
      <c r="G373" s="678"/>
      <c r="H373" s="678"/>
      <c r="I373" s="678"/>
      <c r="J373" s="678"/>
      <c r="K373" s="679"/>
      <c r="L373" s="677" t="str">
        <f t="shared" ca="1" si="44"/>
        <v/>
      </c>
      <c r="M373" s="680"/>
      <c r="N373" s="680"/>
      <c r="O373" s="680"/>
      <c r="P373" s="680"/>
      <c r="Q373" s="681"/>
      <c r="R373" s="748" t="str">
        <f t="shared" ca="1" si="45"/>
        <v/>
      </c>
      <c r="S373" s="748"/>
      <c r="T373" s="748"/>
      <c r="U373" s="748"/>
      <c r="V373" s="748"/>
      <c r="W373" s="748"/>
      <c r="X373" s="748" t="str">
        <f t="shared" ca="1" si="46"/>
        <v/>
      </c>
      <c r="Y373" s="748"/>
      <c r="Z373" s="748"/>
      <c r="AA373" s="748"/>
      <c r="AB373" s="748"/>
      <c r="AC373" s="748"/>
      <c r="AD373" s="747" t="str">
        <f t="shared" si="47"/>
        <v/>
      </c>
      <c r="AE373" s="747"/>
      <c r="AF373" s="747"/>
      <c r="AG373" s="747"/>
      <c r="AH373" s="747"/>
      <c r="AI373" s="747"/>
      <c r="AJ373" s="747"/>
      <c r="AK373" s="747" t="str">
        <f t="shared" si="48"/>
        <v/>
      </c>
      <c r="AL373" s="747"/>
      <c r="AM373" s="747"/>
      <c r="AN373" s="747"/>
      <c r="AO373" s="747"/>
      <c r="AP373" s="747"/>
      <c r="AQ373" s="747"/>
    </row>
    <row r="374" spans="1:43" ht="18" customHeight="1">
      <c r="A374" s="387"/>
      <c r="B374" s="674">
        <f t="shared" si="49"/>
        <v>12</v>
      </c>
      <c r="C374" s="712"/>
      <c r="D374" s="712"/>
      <c r="E374" s="677" t="str">
        <f t="shared" si="43"/>
        <v/>
      </c>
      <c r="F374" s="678"/>
      <c r="G374" s="678"/>
      <c r="H374" s="678"/>
      <c r="I374" s="678"/>
      <c r="J374" s="678"/>
      <c r="K374" s="679"/>
      <c r="L374" s="677" t="str">
        <f t="shared" ca="1" si="44"/>
        <v/>
      </c>
      <c r="M374" s="680"/>
      <c r="N374" s="680"/>
      <c r="O374" s="680"/>
      <c r="P374" s="680"/>
      <c r="Q374" s="681"/>
      <c r="R374" s="748" t="str">
        <f t="shared" ca="1" si="45"/>
        <v/>
      </c>
      <c r="S374" s="748"/>
      <c r="T374" s="748"/>
      <c r="U374" s="748"/>
      <c r="V374" s="748"/>
      <c r="W374" s="748"/>
      <c r="X374" s="748" t="str">
        <f t="shared" ca="1" si="46"/>
        <v/>
      </c>
      <c r="Y374" s="748"/>
      <c r="Z374" s="748"/>
      <c r="AA374" s="748"/>
      <c r="AB374" s="748"/>
      <c r="AC374" s="748"/>
      <c r="AD374" s="747" t="str">
        <f t="shared" si="47"/>
        <v/>
      </c>
      <c r="AE374" s="747"/>
      <c r="AF374" s="747"/>
      <c r="AG374" s="747"/>
      <c r="AH374" s="747"/>
      <c r="AI374" s="747"/>
      <c r="AJ374" s="747"/>
      <c r="AK374" s="747" t="str">
        <f t="shared" si="48"/>
        <v/>
      </c>
      <c r="AL374" s="747"/>
      <c r="AM374" s="747"/>
      <c r="AN374" s="747"/>
      <c r="AO374" s="747"/>
      <c r="AP374" s="747"/>
      <c r="AQ374" s="747"/>
    </row>
    <row r="375" spans="1:43" ht="18" customHeight="1">
      <c r="A375" s="387"/>
      <c r="B375" s="674">
        <f t="shared" si="49"/>
        <v>13</v>
      </c>
      <c r="C375" s="712"/>
      <c r="D375" s="712"/>
      <c r="E375" s="677" t="str">
        <f t="shared" si="43"/>
        <v/>
      </c>
      <c r="F375" s="678"/>
      <c r="G375" s="678"/>
      <c r="H375" s="678"/>
      <c r="I375" s="678"/>
      <c r="J375" s="678"/>
      <c r="K375" s="679"/>
      <c r="L375" s="677" t="str">
        <f t="shared" ca="1" si="44"/>
        <v/>
      </c>
      <c r="M375" s="680"/>
      <c r="N375" s="680"/>
      <c r="O375" s="680"/>
      <c r="P375" s="680"/>
      <c r="Q375" s="681"/>
      <c r="R375" s="748" t="str">
        <f t="shared" ca="1" si="45"/>
        <v/>
      </c>
      <c r="S375" s="748"/>
      <c r="T375" s="748"/>
      <c r="U375" s="748"/>
      <c r="V375" s="748"/>
      <c r="W375" s="748"/>
      <c r="X375" s="748" t="str">
        <f t="shared" ca="1" si="46"/>
        <v/>
      </c>
      <c r="Y375" s="748"/>
      <c r="Z375" s="748"/>
      <c r="AA375" s="748"/>
      <c r="AB375" s="748"/>
      <c r="AC375" s="748"/>
      <c r="AD375" s="747" t="str">
        <f t="shared" si="47"/>
        <v/>
      </c>
      <c r="AE375" s="747"/>
      <c r="AF375" s="747"/>
      <c r="AG375" s="747"/>
      <c r="AH375" s="747"/>
      <c r="AI375" s="747"/>
      <c r="AJ375" s="747"/>
      <c r="AK375" s="747" t="str">
        <f t="shared" si="48"/>
        <v/>
      </c>
      <c r="AL375" s="747"/>
      <c r="AM375" s="747"/>
      <c r="AN375" s="747"/>
      <c r="AO375" s="747"/>
      <c r="AP375" s="747"/>
      <c r="AQ375" s="747"/>
    </row>
    <row r="376" spans="1:43" ht="18" customHeight="1">
      <c r="A376" s="387"/>
      <c r="B376" s="674">
        <f t="shared" si="49"/>
        <v>14</v>
      </c>
      <c r="C376" s="712"/>
      <c r="D376" s="712"/>
      <c r="E376" s="677" t="str">
        <f t="shared" si="43"/>
        <v/>
      </c>
      <c r="F376" s="678"/>
      <c r="G376" s="678"/>
      <c r="H376" s="678"/>
      <c r="I376" s="678"/>
      <c r="J376" s="678"/>
      <c r="K376" s="679"/>
      <c r="L376" s="677" t="str">
        <f t="shared" ca="1" si="44"/>
        <v/>
      </c>
      <c r="M376" s="680"/>
      <c r="N376" s="680"/>
      <c r="O376" s="680"/>
      <c r="P376" s="680"/>
      <c r="Q376" s="681"/>
      <c r="R376" s="748" t="str">
        <f t="shared" ca="1" si="45"/>
        <v/>
      </c>
      <c r="S376" s="748"/>
      <c r="T376" s="748"/>
      <c r="U376" s="748"/>
      <c r="V376" s="748"/>
      <c r="W376" s="748"/>
      <c r="X376" s="748" t="str">
        <f t="shared" ca="1" si="46"/>
        <v/>
      </c>
      <c r="Y376" s="748"/>
      <c r="Z376" s="748"/>
      <c r="AA376" s="748"/>
      <c r="AB376" s="748"/>
      <c r="AC376" s="748"/>
      <c r="AD376" s="747" t="str">
        <f t="shared" si="47"/>
        <v/>
      </c>
      <c r="AE376" s="747"/>
      <c r="AF376" s="747"/>
      <c r="AG376" s="747"/>
      <c r="AH376" s="747"/>
      <c r="AI376" s="747"/>
      <c r="AJ376" s="747"/>
      <c r="AK376" s="747" t="str">
        <f t="shared" si="48"/>
        <v/>
      </c>
      <c r="AL376" s="747"/>
      <c r="AM376" s="747"/>
      <c r="AN376" s="747"/>
      <c r="AO376" s="747"/>
      <c r="AP376" s="747"/>
      <c r="AQ376" s="747"/>
    </row>
    <row r="377" spans="1:43" ht="18" customHeight="1">
      <c r="A377" s="387"/>
      <c r="B377" s="674">
        <f t="shared" si="49"/>
        <v>15</v>
      </c>
      <c r="C377" s="712"/>
      <c r="D377" s="712"/>
      <c r="E377" s="677" t="str">
        <f t="shared" si="43"/>
        <v/>
      </c>
      <c r="F377" s="678"/>
      <c r="G377" s="678"/>
      <c r="H377" s="678"/>
      <c r="I377" s="678"/>
      <c r="J377" s="678"/>
      <c r="K377" s="679"/>
      <c r="L377" s="677" t="str">
        <f t="shared" ca="1" si="44"/>
        <v/>
      </c>
      <c r="M377" s="680"/>
      <c r="N377" s="680"/>
      <c r="O377" s="680"/>
      <c r="P377" s="680"/>
      <c r="Q377" s="681"/>
      <c r="R377" s="748" t="str">
        <f t="shared" ca="1" si="45"/>
        <v/>
      </c>
      <c r="S377" s="748"/>
      <c r="T377" s="748"/>
      <c r="U377" s="748"/>
      <c r="V377" s="748"/>
      <c r="W377" s="748"/>
      <c r="X377" s="748" t="str">
        <f t="shared" ca="1" si="46"/>
        <v/>
      </c>
      <c r="Y377" s="748"/>
      <c r="Z377" s="748"/>
      <c r="AA377" s="748"/>
      <c r="AB377" s="748"/>
      <c r="AC377" s="748"/>
      <c r="AD377" s="747" t="str">
        <f t="shared" si="47"/>
        <v/>
      </c>
      <c r="AE377" s="747"/>
      <c r="AF377" s="747"/>
      <c r="AG377" s="747"/>
      <c r="AH377" s="747"/>
      <c r="AI377" s="747"/>
      <c r="AJ377" s="747"/>
      <c r="AK377" s="747" t="str">
        <f t="shared" si="48"/>
        <v/>
      </c>
      <c r="AL377" s="747"/>
      <c r="AM377" s="747"/>
      <c r="AN377" s="747"/>
      <c r="AO377" s="747"/>
      <c r="AP377" s="747"/>
      <c r="AQ377" s="747"/>
    </row>
    <row r="378" spans="1:43" ht="18" customHeight="1">
      <c r="A378" s="387"/>
      <c r="B378" s="674">
        <f t="shared" si="49"/>
        <v>16</v>
      </c>
      <c r="C378" s="712"/>
      <c r="D378" s="712"/>
      <c r="E378" s="677" t="str">
        <f t="shared" si="43"/>
        <v/>
      </c>
      <c r="F378" s="678"/>
      <c r="G378" s="678"/>
      <c r="H378" s="678"/>
      <c r="I378" s="678"/>
      <c r="J378" s="678"/>
      <c r="K378" s="679"/>
      <c r="L378" s="677" t="str">
        <f t="shared" ca="1" si="44"/>
        <v/>
      </c>
      <c r="M378" s="680"/>
      <c r="N378" s="680"/>
      <c r="O378" s="680"/>
      <c r="P378" s="680"/>
      <c r="Q378" s="681"/>
      <c r="R378" s="748" t="str">
        <f t="shared" ca="1" si="45"/>
        <v/>
      </c>
      <c r="S378" s="748"/>
      <c r="T378" s="748"/>
      <c r="U378" s="748"/>
      <c r="V378" s="748"/>
      <c r="W378" s="748"/>
      <c r="X378" s="748" t="str">
        <f t="shared" ca="1" si="46"/>
        <v/>
      </c>
      <c r="Y378" s="748"/>
      <c r="Z378" s="748"/>
      <c r="AA378" s="748"/>
      <c r="AB378" s="748"/>
      <c r="AC378" s="748"/>
      <c r="AD378" s="747" t="str">
        <f t="shared" si="47"/>
        <v/>
      </c>
      <c r="AE378" s="747"/>
      <c r="AF378" s="747"/>
      <c r="AG378" s="747"/>
      <c r="AH378" s="747"/>
      <c r="AI378" s="747"/>
      <c r="AJ378" s="747"/>
      <c r="AK378" s="747" t="str">
        <f t="shared" si="48"/>
        <v/>
      </c>
      <c r="AL378" s="747"/>
      <c r="AM378" s="747"/>
      <c r="AN378" s="747"/>
      <c r="AO378" s="747"/>
      <c r="AP378" s="747"/>
      <c r="AQ378" s="747"/>
    </row>
    <row r="379" spans="1:43" ht="18" customHeight="1">
      <c r="A379" s="387"/>
      <c r="B379" s="674">
        <f t="shared" si="49"/>
        <v>17</v>
      </c>
      <c r="C379" s="712"/>
      <c r="D379" s="712"/>
      <c r="E379" s="677" t="str">
        <f t="shared" si="43"/>
        <v/>
      </c>
      <c r="F379" s="678"/>
      <c r="G379" s="678"/>
      <c r="H379" s="678"/>
      <c r="I379" s="678"/>
      <c r="J379" s="678"/>
      <c r="K379" s="679"/>
      <c r="L379" s="677" t="str">
        <f t="shared" ca="1" si="44"/>
        <v/>
      </c>
      <c r="M379" s="680"/>
      <c r="N379" s="680"/>
      <c r="O379" s="680"/>
      <c r="P379" s="680"/>
      <c r="Q379" s="681"/>
      <c r="R379" s="748" t="str">
        <f t="shared" ca="1" si="45"/>
        <v/>
      </c>
      <c r="S379" s="748"/>
      <c r="T379" s="748"/>
      <c r="U379" s="748"/>
      <c r="V379" s="748"/>
      <c r="W379" s="748"/>
      <c r="X379" s="748" t="str">
        <f t="shared" ca="1" si="46"/>
        <v/>
      </c>
      <c r="Y379" s="748"/>
      <c r="Z379" s="748"/>
      <c r="AA379" s="748"/>
      <c r="AB379" s="748"/>
      <c r="AC379" s="748"/>
      <c r="AD379" s="747" t="str">
        <f t="shared" si="47"/>
        <v/>
      </c>
      <c r="AE379" s="747"/>
      <c r="AF379" s="747"/>
      <c r="AG379" s="747"/>
      <c r="AH379" s="747"/>
      <c r="AI379" s="747"/>
      <c r="AJ379" s="747"/>
      <c r="AK379" s="747" t="str">
        <f t="shared" si="48"/>
        <v/>
      </c>
      <c r="AL379" s="747"/>
      <c r="AM379" s="747"/>
      <c r="AN379" s="747"/>
      <c r="AO379" s="747"/>
      <c r="AP379" s="747"/>
      <c r="AQ379" s="747"/>
    </row>
    <row r="380" spans="1:43" ht="18" customHeight="1">
      <c r="A380" s="387"/>
      <c r="B380" s="674">
        <f t="shared" si="49"/>
        <v>18</v>
      </c>
      <c r="C380" s="712"/>
      <c r="D380" s="712"/>
      <c r="E380" s="677" t="str">
        <f t="shared" si="43"/>
        <v/>
      </c>
      <c r="F380" s="678"/>
      <c r="G380" s="678"/>
      <c r="H380" s="678"/>
      <c r="I380" s="678"/>
      <c r="J380" s="678"/>
      <c r="K380" s="679"/>
      <c r="L380" s="677" t="str">
        <f t="shared" ca="1" si="44"/>
        <v/>
      </c>
      <c r="M380" s="680"/>
      <c r="N380" s="680"/>
      <c r="O380" s="680"/>
      <c r="P380" s="680"/>
      <c r="Q380" s="681"/>
      <c r="R380" s="748" t="str">
        <f t="shared" ca="1" si="45"/>
        <v/>
      </c>
      <c r="S380" s="748"/>
      <c r="T380" s="748"/>
      <c r="U380" s="748"/>
      <c r="V380" s="748"/>
      <c r="W380" s="748"/>
      <c r="X380" s="748" t="str">
        <f t="shared" ca="1" si="46"/>
        <v/>
      </c>
      <c r="Y380" s="748"/>
      <c r="Z380" s="748"/>
      <c r="AA380" s="748"/>
      <c r="AB380" s="748"/>
      <c r="AC380" s="748"/>
      <c r="AD380" s="747" t="str">
        <f t="shared" si="47"/>
        <v/>
      </c>
      <c r="AE380" s="747"/>
      <c r="AF380" s="747"/>
      <c r="AG380" s="747"/>
      <c r="AH380" s="747"/>
      <c r="AI380" s="747"/>
      <c r="AJ380" s="747"/>
      <c r="AK380" s="747" t="str">
        <f t="shared" si="48"/>
        <v/>
      </c>
      <c r="AL380" s="747"/>
      <c r="AM380" s="747"/>
      <c r="AN380" s="747"/>
      <c r="AO380" s="747"/>
      <c r="AP380" s="747"/>
      <c r="AQ380" s="747"/>
    </row>
    <row r="381" spans="1:43" ht="18" customHeight="1">
      <c r="A381" s="387"/>
      <c r="B381" s="674">
        <f t="shared" si="49"/>
        <v>19</v>
      </c>
      <c r="C381" s="712"/>
      <c r="D381" s="712"/>
      <c r="E381" s="677" t="str">
        <f t="shared" si="43"/>
        <v/>
      </c>
      <c r="F381" s="678"/>
      <c r="G381" s="678"/>
      <c r="H381" s="678"/>
      <c r="I381" s="678"/>
      <c r="J381" s="678"/>
      <c r="K381" s="679"/>
      <c r="L381" s="677" t="str">
        <f t="shared" ca="1" si="44"/>
        <v/>
      </c>
      <c r="M381" s="680"/>
      <c r="N381" s="680"/>
      <c r="O381" s="680"/>
      <c r="P381" s="680"/>
      <c r="Q381" s="681"/>
      <c r="R381" s="748" t="str">
        <f t="shared" ca="1" si="45"/>
        <v/>
      </c>
      <c r="S381" s="748"/>
      <c r="T381" s="748"/>
      <c r="U381" s="748"/>
      <c r="V381" s="748"/>
      <c r="W381" s="748"/>
      <c r="X381" s="748" t="str">
        <f t="shared" ca="1" si="46"/>
        <v/>
      </c>
      <c r="Y381" s="748"/>
      <c r="Z381" s="748"/>
      <c r="AA381" s="748"/>
      <c r="AB381" s="748"/>
      <c r="AC381" s="748"/>
      <c r="AD381" s="747" t="str">
        <f t="shared" si="47"/>
        <v/>
      </c>
      <c r="AE381" s="747"/>
      <c r="AF381" s="747"/>
      <c r="AG381" s="747"/>
      <c r="AH381" s="747"/>
      <c r="AI381" s="747"/>
      <c r="AJ381" s="747"/>
      <c r="AK381" s="747" t="str">
        <f t="shared" si="48"/>
        <v/>
      </c>
      <c r="AL381" s="747"/>
      <c r="AM381" s="747"/>
      <c r="AN381" s="747"/>
      <c r="AO381" s="747"/>
      <c r="AP381" s="747"/>
      <c r="AQ381" s="747"/>
    </row>
    <row r="382" spans="1:43" ht="18" customHeight="1">
      <c r="A382" s="387"/>
      <c r="B382" s="674">
        <f t="shared" si="49"/>
        <v>20</v>
      </c>
      <c r="C382" s="712"/>
      <c r="D382" s="712"/>
      <c r="E382" s="677" t="str">
        <f t="shared" si="43"/>
        <v/>
      </c>
      <c r="F382" s="678"/>
      <c r="G382" s="678"/>
      <c r="H382" s="678"/>
      <c r="I382" s="678"/>
      <c r="J382" s="678"/>
      <c r="K382" s="679"/>
      <c r="L382" s="677" t="str">
        <f t="shared" ca="1" si="44"/>
        <v/>
      </c>
      <c r="M382" s="680"/>
      <c r="N382" s="680"/>
      <c r="O382" s="680"/>
      <c r="P382" s="680"/>
      <c r="Q382" s="681"/>
      <c r="R382" s="748" t="str">
        <f t="shared" ca="1" si="45"/>
        <v/>
      </c>
      <c r="S382" s="748"/>
      <c r="T382" s="748"/>
      <c r="U382" s="748"/>
      <c r="V382" s="748"/>
      <c r="W382" s="748"/>
      <c r="X382" s="748" t="str">
        <f t="shared" ca="1" si="46"/>
        <v/>
      </c>
      <c r="Y382" s="748"/>
      <c r="Z382" s="748"/>
      <c r="AA382" s="748"/>
      <c r="AB382" s="748"/>
      <c r="AC382" s="748"/>
      <c r="AD382" s="747" t="str">
        <f t="shared" si="47"/>
        <v/>
      </c>
      <c r="AE382" s="747"/>
      <c r="AF382" s="747"/>
      <c r="AG382" s="747"/>
      <c r="AH382" s="747"/>
      <c r="AI382" s="747"/>
      <c r="AJ382" s="747"/>
      <c r="AK382" s="747" t="str">
        <f t="shared" si="48"/>
        <v/>
      </c>
      <c r="AL382" s="747"/>
      <c r="AM382" s="747"/>
      <c r="AN382" s="747"/>
      <c r="AO382" s="747"/>
      <c r="AP382" s="747"/>
      <c r="AQ382" s="747"/>
    </row>
    <row r="383" spans="1:43" ht="18" customHeight="1">
      <c r="A383" s="387"/>
      <c r="B383" s="674">
        <f t="shared" si="49"/>
        <v>21</v>
      </c>
      <c r="C383" s="712"/>
      <c r="D383" s="712"/>
      <c r="E383" s="677" t="str">
        <f t="shared" si="43"/>
        <v/>
      </c>
      <c r="F383" s="678"/>
      <c r="G383" s="678"/>
      <c r="H383" s="678"/>
      <c r="I383" s="678"/>
      <c r="J383" s="678"/>
      <c r="K383" s="679"/>
      <c r="L383" s="677" t="str">
        <f t="shared" ca="1" si="44"/>
        <v/>
      </c>
      <c r="M383" s="680"/>
      <c r="N383" s="680"/>
      <c r="O383" s="680"/>
      <c r="P383" s="680"/>
      <c r="Q383" s="681"/>
      <c r="R383" s="748" t="str">
        <f t="shared" ca="1" si="45"/>
        <v/>
      </c>
      <c r="S383" s="748"/>
      <c r="T383" s="748"/>
      <c r="U383" s="748"/>
      <c r="V383" s="748"/>
      <c r="W383" s="748"/>
      <c r="X383" s="748" t="str">
        <f t="shared" ca="1" si="46"/>
        <v/>
      </c>
      <c r="Y383" s="748"/>
      <c r="Z383" s="748"/>
      <c r="AA383" s="748"/>
      <c r="AB383" s="748"/>
      <c r="AC383" s="748"/>
      <c r="AD383" s="747" t="str">
        <f t="shared" si="47"/>
        <v/>
      </c>
      <c r="AE383" s="747"/>
      <c r="AF383" s="747"/>
      <c r="AG383" s="747"/>
      <c r="AH383" s="747"/>
      <c r="AI383" s="747"/>
      <c r="AJ383" s="747"/>
      <c r="AK383" s="747" t="str">
        <f t="shared" si="48"/>
        <v/>
      </c>
      <c r="AL383" s="747"/>
      <c r="AM383" s="747"/>
      <c r="AN383" s="747"/>
      <c r="AO383" s="747"/>
      <c r="AP383" s="747"/>
      <c r="AQ383" s="747"/>
    </row>
    <row r="384" spans="1:43" ht="18" customHeight="1">
      <c r="A384" s="387"/>
      <c r="B384" s="674">
        <f t="shared" si="49"/>
        <v>22</v>
      </c>
      <c r="C384" s="712"/>
      <c r="D384" s="712"/>
      <c r="E384" s="677" t="str">
        <f t="shared" si="43"/>
        <v/>
      </c>
      <c r="F384" s="678"/>
      <c r="G384" s="678"/>
      <c r="H384" s="678"/>
      <c r="I384" s="678"/>
      <c r="J384" s="678"/>
      <c r="K384" s="679"/>
      <c r="L384" s="677" t="str">
        <f t="shared" ca="1" si="44"/>
        <v/>
      </c>
      <c r="M384" s="680"/>
      <c r="N384" s="680"/>
      <c r="O384" s="680"/>
      <c r="P384" s="680"/>
      <c r="Q384" s="681"/>
      <c r="R384" s="748" t="str">
        <f t="shared" ca="1" si="45"/>
        <v/>
      </c>
      <c r="S384" s="748"/>
      <c r="T384" s="748"/>
      <c r="U384" s="748"/>
      <c r="V384" s="748"/>
      <c r="W384" s="748"/>
      <c r="X384" s="748" t="str">
        <f t="shared" ca="1" si="46"/>
        <v/>
      </c>
      <c r="Y384" s="748"/>
      <c r="Z384" s="748"/>
      <c r="AA384" s="748"/>
      <c r="AB384" s="748"/>
      <c r="AC384" s="748"/>
      <c r="AD384" s="747" t="str">
        <f t="shared" si="47"/>
        <v/>
      </c>
      <c r="AE384" s="747"/>
      <c r="AF384" s="747"/>
      <c r="AG384" s="747"/>
      <c r="AH384" s="747"/>
      <c r="AI384" s="747"/>
      <c r="AJ384" s="747"/>
      <c r="AK384" s="747" t="str">
        <f t="shared" si="48"/>
        <v/>
      </c>
      <c r="AL384" s="747"/>
      <c r="AM384" s="747"/>
      <c r="AN384" s="747"/>
      <c r="AO384" s="747"/>
      <c r="AP384" s="747"/>
      <c r="AQ384" s="747"/>
    </row>
    <row r="385" spans="1:46" ht="18" customHeight="1">
      <c r="A385" s="387"/>
      <c r="B385" s="674">
        <f t="shared" si="49"/>
        <v>23</v>
      </c>
      <c r="C385" s="712"/>
      <c r="D385" s="712"/>
      <c r="E385" s="677" t="str">
        <f t="shared" si="43"/>
        <v/>
      </c>
      <c r="F385" s="678"/>
      <c r="G385" s="678"/>
      <c r="H385" s="678"/>
      <c r="I385" s="678"/>
      <c r="J385" s="678"/>
      <c r="K385" s="679"/>
      <c r="L385" s="677" t="str">
        <f t="shared" ca="1" si="44"/>
        <v/>
      </c>
      <c r="M385" s="680"/>
      <c r="N385" s="680"/>
      <c r="O385" s="680"/>
      <c r="P385" s="680"/>
      <c r="Q385" s="681"/>
      <c r="R385" s="748" t="str">
        <f t="shared" ca="1" si="45"/>
        <v/>
      </c>
      <c r="S385" s="748"/>
      <c r="T385" s="748"/>
      <c r="U385" s="748"/>
      <c r="V385" s="748"/>
      <c r="W385" s="748"/>
      <c r="X385" s="748" t="str">
        <f t="shared" ca="1" si="46"/>
        <v/>
      </c>
      <c r="Y385" s="748"/>
      <c r="Z385" s="748"/>
      <c r="AA385" s="748"/>
      <c r="AB385" s="748"/>
      <c r="AC385" s="748"/>
      <c r="AD385" s="752" t="str">
        <f t="shared" si="47"/>
        <v/>
      </c>
      <c r="AE385" s="752"/>
      <c r="AF385" s="752"/>
      <c r="AG385" s="752"/>
      <c r="AH385" s="752"/>
      <c r="AI385" s="752"/>
      <c r="AJ385" s="752"/>
      <c r="AK385" s="747" t="str">
        <f t="shared" si="48"/>
        <v/>
      </c>
      <c r="AL385" s="747"/>
      <c r="AM385" s="747"/>
      <c r="AN385" s="747"/>
      <c r="AO385" s="747"/>
      <c r="AP385" s="747"/>
      <c r="AQ385" s="747"/>
    </row>
    <row r="386" spans="1:46" ht="18" customHeight="1">
      <c r="A386" s="387"/>
      <c r="B386" s="674">
        <f t="shared" si="49"/>
        <v>24</v>
      </c>
      <c r="C386" s="712"/>
      <c r="D386" s="712"/>
      <c r="E386" s="677" t="str">
        <f t="shared" si="43"/>
        <v/>
      </c>
      <c r="F386" s="678"/>
      <c r="G386" s="678"/>
      <c r="H386" s="678"/>
      <c r="I386" s="678"/>
      <c r="J386" s="678"/>
      <c r="K386" s="679"/>
      <c r="L386" s="677" t="str">
        <f t="shared" ca="1" si="44"/>
        <v/>
      </c>
      <c r="M386" s="680"/>
      <c r="N386" s="680"/>
      <c r="O386" s="680"/>
      <c r="P386" s="680"/>
      <c r="Q386" s="681"/>
      <c r="R386" s="748" t="str">
        <f t="shared" ca="1" si="45"/>
        <v/>
      </c>
      <c r="S386" s="748"/>
      <c r="T386" s="748"/>
      <c r="U386" s="748"/>
      <c r="V386" s="748"/>
      <c r="W386" s="748"/>
      <c r="X386" s="748" t="str">
        <f t="shared" ca="1" si="46"/>
        <v/>
      </c>
      <c r="Y386" s="748"/>
      <c r="Z386" s="748"/>
      <c r="AA386" s="748"/>
      <c r="AB386" s="748"/>
      <c r="AC386" s="748"/>
      <c r="AD386" s="752" t="str">
        <f t="shared" si="47"/>
        <v/>
      </c>
      <c r="AE386" s="752"/>
      <c r="AF386" s="752"/>
      <c r="AG386" s="752"/>
      <c r="AH386" s="752"/>
      <c r="AI386" s="752"/>
      <c r="AJ386" s="752"/>
      <c r="AK386" s="747" t="str">
        <f t="shared" si="48"/>
        <v/>
      </c>
      <c r="AL386" s="747"/>
      <c r="AM386" s="747"/>
      <c r="AN386" s="747"/>
      <c r="AO386" s="747"/>
      <c r="AP386" s="747"/>
      <c r="AQ386" s="747"/>
    </row>
    <row r="387" spans="1:46" ht="18" customHeight="1">
      <c r="A387" s="387"/>
      <c r="B387" s="674">
        <f t="shared" si="49"/>
        <v>25</v>
      </c>
      <c r="C387" s="712"/>
      <c r="D387" s="712"/>
      <c r="E387" s="677" t="str">
        <f t="shared" si="43"/>
        <v/>
      </c>
      <c r="F387" s="678"/>
      <c r="G387" s="678"/>
      <c r="H387" s="678"/>
      <c r="I387" s="678"/>
      <c r="J387" s="678"/>
      <c r="K387" s="679"/>
      <c r="L387" s="677" t="str">
        <f t="shared" ca="1" si="44"/>
        <v/>
      </c>
      <c r="M387" s="680"/>
      <c r="N387" s="680"/>
      <c r="O387" s="680"/>
      <c r="P387" s="680"/>
      <c r="Q387" s="681"/>
      <c r="R387" s="748" t="str">
        <f t="shared" ca="1" si="45"/>
        <v/>
      </c>
      <c r="S387" s="748"/>
      <c r="T387" s="748"/>
      <c r="U387" s="748"/>
      <c r="V387" s="748"/>
      <c r="W387" s="748"/>
      <c r="X387" s="748" t="str">
        <f t="shared" ca="1" si="46"/>
        <v/>
      </c>
      <c r="Y387" s="748"/>
      <c r="Z387" s="748"/>
      <c r="AA387" s="748"/>
      <c r="AB387" s="748"/>
      <c r="AC387" s="748"/>
      <c r="AD387" s="752" t="str">
        <f t="shared" si="47"/>
        <v/>
      </c>
      <c r="AE387" s="752"/>
      <c r="AF387" s="752"/>
      <c r="AG387" s="752"/>
      <c r="AH387" s="752"/>
      <c r="AI387" s="752"/>
      <c r="AJ387" s="752"/>
      <c r="AK387" s="747" t="str">
        <f t="shared" si="48"/>
        <v/>
      </c>
      <c r="AL387" s="747"/>
      <c r="AM387" s="747"/>
      <c r="AN387" s="747"/>
      <c r="AO387" s="747"/>
      <c r="AP387" s="747"/>
      <c r="AQ387" s="747"/>
    </row>
    <row r="388" spans="1:46" ht="18" customHeight="1">
      <c r="A388" s="387"/>
      <c r="B388" s="674">
        <f t="shared" si="49"/>
        <v>26</v>
      </c>
      <c r="C388" s="712"/>
      <c r="D388" s="712"/>
      <c r="E388" s="677" t="str">
        <f t="shared" si="43"/>
        <v/>
      </c>
      <c r="F388" s="678"/>
      <c r="G388" s="678"/>
      <c r="H388" s="678"/>
      <c r="I388" s="678"/>
      <c r="J388" s="678"/>
      <c r="K388" s="679"/>
      <c r="L388" s="677" t="str">
        <f t="shared" ca="1" si="44"/>
        <v/>
      </c>
      <c r="M388" s="680"/>
      <c r="N388" s="680"/>
      <c r="O388" s="680"/>
      <c r="P388" s="680"/>
      <c r="Q388" s="681"/>
      <c r="R388" s="748" t="str">
        <f t="shared" ca="1" si="45"/>
        <v/>
      </c>
      <c r="S388" s="748"/>
      <c r="T388" s="748"/>
      <c r="U388" s="748"/>
      <c r="V388" s="748"/>
      <c r="W388" s="748"/>
      <c r="X388" s="748" t="str">
        <f t="shared" ca="1" si="46"/>
        <v/>
      </c>
      <c r="Y388" s="748"/>
      <c r="Z388" s="748"/>
      <c r="AA388" s="748"/>
      <c r="AB388" s="748"/>
      <c r="AC388" s="748"/>
      <c r="AD388" s="752" t="str">
        <f t="shared" si="47"/>
        <v/>
      </c>
      <c r="AE388" s="752"/>
      <c r="AF388" s="752"/>
      <c r="AG388" s="752"/>
      <c r="AH388" s="752"/>
      <c r="AI388" s="752"/>
      <c r="AJ388" s="752"/>
      <c r="AK388" s="747" t="str">
        <f t="shared" si="48"/>
        <v/>
      </c>
      <c r="AL388" s="747"/>
      <c r="AM388" s="747"/>
      <c r="AN388" s="747"/>
      <c r="AO388" s="747"/>
      <c r="AP388" s="747"/>
      <c r="AQ388" s="747"/>
    </row>
    <row r="389" spans="1:46" ht="18" customHeight="1">
      <c r="A389" s="387"/>
      <c r="B389" s="674">
        <f t="shared" si="49"/>
        <v>27</v>
      </c>
      <c r="C389" s="712"/>
      <c r="D389" s="712"/>
      <c r="E389" s="677" t="str">
        <f t="shared" si="43"/>
        <v/>
      </c>
      <c r="F389" s="678"/>
      <c r="G389" s="678"/>
      <c r="H389" s="678"/>
      <c r="I389" s="678"/>
      <c r="J389" s="678"/>
      <c r="K389" s="679"/>
      <c r="L389" s="677" t="str">
        <f t="shared" ca="1" si="44"/>
        <v/>
      </c>
      <c r="M389" s="680"/>
      <c r="N389" s="680"/>
      <c r="O389" s="680"/>
      <c r="P389" s="680"/>
      <c r="Q389" s="681"/>
      <c r="R389" s="748" t="str">
        <f t="shared" ca="1" si="45"/>
        <v/>
      </c>
      <c r="S389" s="748"/>
      <c r="T389" s="748"/>
      <c r="U389" s="748"/>
      <c r="V389" s="748"/>
      <c r="W389" s="748"/>
      <c r="X389" s="748" t="str">
        <f t="shared" ca="1" si="46"/>
        <v/>
      </c>
      <c r="Y389" s="748"/>
      <c r="Z389" s="748"/>
      <c r="AA389" s="748"/>
      <c r="AB389" s="748"/>
      <c r="AC389" s="748"/>
      <c r="AD389" s="752" t="str">
        <f t="shared" si="47"/>
        <v/>
      </c>
      <c r="AE389" s="752"/>
      <c r="AF389" s="752"/>
      <c r="AG389" s="752"/>
      <c r="AH389" s="752"/>
      <c r="AI389" s="752"/>
      <c r="AJ389" s="752"/>
      <c r="AK389" s="747" t="str">
        <f t="shared" si="48"/>
        <v/>
      </c>
      <c r="AL389" s="747"/>
      <c r="AM389" s="747"/>
      <c r="AN389" s="747"/>
      <c r="AO389" s="747"/>
      <c r="AP389" s="747"/>
      <c r="AQ389" s="747"/>
    </row>
    <row r="390" spans="1:46" ht="18" customHeight="1">
      <c r="A390" s="387"/>
      <c r="B390" s="674">
        <f t="shared" si="49"/>
        <v>28</v>
      </c>
      <c r="C390" s="712"/>
      <c r="D390" s="712"/>
      <c r="E390" s="677" t="str">
        <f t="shared" si="43"/>
        <v/>
      </c>
      <c r="F390" s="678"/>
      <c r="G390" s="678"/>
      <c r="H390" s="678"/>
      <c r="I390" s="678"/>
      <c r="J390" s="678"/>
      <c r="K390" s="679"/>
      <c r="L390" s="677" t="str">
        <f t="shared" ca="1" si="44"/>
        <v/>
      </c>
      <c r="M390" s="680"/>
      <c r="N390" s="680"/>
      <c r="O390" s="680"/>
      <c r="P390" s="680"/>
      <c r="Q390" s="681"/>
      <c r="R390" s="748" t="str">
        <f t="shared" ca="1" si="45"/>
        <v/>
      </c>
      <c r="S390" s="748"/>
      <c r="T390" s="748"/>
      <c r="U390" s="748"/>
      <c r="V390" s="748"/>
      <c r="W390" s="748"/>
      <c r="X390" s="748" t="str">
        <f t="shared" ca="1" si="46"/>
        <v/>
      </c>
      <c r="Y390" s="748"/>
      <c r="Z390" s="748"/>
      <c r="AA390" s="748"/>
      <c r="AB390" s="748"/>
      <c r="AC390" s="748"/>
      <c r="AD390" s="752" t="str">
        <f t="shared" si="47"/>
        <v/>
      </c>
      <c r="AE390" s="752"/>
      <c r="AF390" s="752"/>
      <c r="AG390" s="752"/>
      <c r="AH390" s="752"/>
      <c r="AI390" s="752"/>
      <c r="AJ390" s="752"/>
      <c r="AK390" s="747" t="str">
        <f t="shared" si="48"/>
        <v/>
      </c>
      <c r="AL390" s="747"/>
      <c r="AM390" s="747"/>
      <c r="AN390" s="747"/>
      <c r="AO390" s="747"/>
      <c r="AP390" s="747"/>
      <c r="AQ390" s="747"/>
    </row>
    <row r="391" spans="1:46" ht="18" customHeight="1">
      <c r="A391" s="387"/>
      <c r="B391" s="674">
        <f t="shared" si="49"/>
        <v>29</v>
      </c>
      <c r="C391" s="712"/>
      <c r="D391" s="712"/>
      <c r="E391" s="677" t="str">
        <f t="shared" si="43"/>
        <v/>
      </c>
      <c r="F391" s="678"/>
      <c r="G391" s="678"/>
      <c r="H391" s="678"/>
      <c r="I391" s="678"/>
      <c r="J391" s="678"/>
      <c r="K391" s="679"/>
      <c r="L391" s="677" t="str">
        <f t="shared" ca="1" si="44"/>
        <v/>
      </c>
      <c r="M391" s="680"/>
      <c r="N391" s="680"/>
      <c r="O391" s="680"/>
      <c r="P391" s="680"/>
      <c r="Q391" s="681"/>
      <c r="R391" s="748" t="str">
        <f t="shared" ca="1" si="45"/>
        <v/>
      </c>
      <c r="S391" s="748"/>
      <c r="T391" s="748"/>
      <c r="U391" s="748"/>
      <c r="V391" s="748"/>
      <c r="W391" s="748"/>
      <c r="X391" s="748" t="str">
        <f t="shared" ca="1" si="46"/>
        <v/>
      </c>
      <c r="Y391" s="748"/>
      <c r="Z391" s="748"/>
      <c r="AA391" s="748"/>
      <c r="AB391" s="748"/>
      <c r="AC391" s="748"/>
      <c r="AD391" s="752" t="str">
        <f t="shared" si="47"/>
        <v/>
      </c>
      <c r="AE391" s="752"/>
      <c r="AF391" s="752"/>
      <c r="AG391" s="752"/>
      <c r="AH391" s="752"/>
      <c r="AI391" s="752"/>
      <c r="AJ391" s="752"/>
      <c r="AK391" s="747" t="str">
        <f t="shared" si="48"/>
        <v/>
      </c>
      <c r="AL391" s="747"/>
      <c r="AM391" s="747"/>
      <c r="AN391" s="747"/>
      <c r="AO391" s="747"/>
      <c r="AP391" s="747"/>
      <c r="AQ391" s="747"/>
    </row>
    <row r="392" spans="1:46" ht="18" customHeight="1">
      <c r="A392" s="387"/>
      <c r="B392" s="674">
        <f t="shared" si="49"/>
        <v>30</v>
      </c>
      <c r="C392" s="712"/>
      <c r="D392" s="712"/>
      <c r="E392" s="677" t="str">
        <f t="shared" si="43"/>
        <v/>
      </c>
      <c r="F392" s="678"/>
      <c r="G392" s="678"/>
      <c r="H392" s="678"/>
      <c r="I392" s="678"/>
      <c r="J392" s="678"/>
      <c r="K392" s="679"/>
      <c r="L392" s="677" t="str">
        <f t="shared" ca="1" si="44"/>
        <v/>
      </c>
      <c r="M392" s="680"/>
      <c r="N392" s="680"/>
      <c r="O392" s="680"/>
      <c r="P392" s="680"/>
      <c r="Q392" s="681"/>
      <c r="R392" s="748" t="str">
        <f t="shared" ca="1" si="45"/>
        <v/>
      </c>
      <c r="S392" s="748"/>
      <c r="T392" s="748"/>
      <c r="U392" s="748"/>
      <c r="V392" s="748"/>
      <c r="W392" s="748"/>
      <c r="X392" s="748" t="str">
        <f t="shared" ca="1" si="46"/>
        <v/>
      </c>
      <c r="Y392" s="748"/>
      <c r="Z392" s="748"/>
      <c r="AA392" s="748"/>
      <c r="AB392" s="748"/>
      <c r="AC392" s="748"/>
      <c r="AD392" s="748" t="str">
        <f t="shared" si="47"/>
        <v/>
      </c>
      <c r="AE392" s="748"/>
      <c r="AF392" s="748"/>
      <c r="AG392" s="748"/>
      <c r="AH392" s="748"/>
      <c r="AI392" s="748"/>
      <c r="AJ392" s="748"/>
      <c r="AK392" s="747" t="str">
        <f t="shared" si="48"/>
        <v/>
      </c>
      <c r="AL392" s="747"/>
      <c r="AM392" s="747"/>
      <c r="AN392" s="747"/>
      <c r="AO392" s="747"/>
      <c r="AP392" s="747"/>
      <c r="AQ392" s="747"/>
    </row>
    <row r="393" spans="1:46" s="374" customFormat="1" ht="18" customHeight="1">
      <c r="A393" s="387"/>
      <c r="B393" s="403"/>
      <c r="C393" s="403"/>
      <c r="D393" s="403"/>
      <c r="E393" s="403"/>
      <c r="F393" s="403"/>
      <c r="G393" s="403"/>
      <c r="H393" s="403"/>
      <c r="I393" s="403"/>
      <c r="J393" s="403"/>
      <c r="K393" s="403"/>
      <c r="L393" s="403"/>
      <c r="M393" s="403"/>
      <c r="N393" s="403"/>
      <c r="O393" s="403"/>
      <c r="P393" s="403"/>
      <c r="Q393" s="403"/>
      <c r="R393" s="403"/>
      <c r="S393" s="403"/>
      <c r="T393" s="403"/>
      <c r="U393" s="403"/>
      <c r="V393" s="403"/>
      <c r="W393" s="403"/>
      <c r="X393" s="403"/>
      <c r="Y393" s="403"/>
      <c r="Z393" s="403"/>
      <c r="AA393" s="403"/>
      <c r="AB393" s="403"/>
      <c r="AC393" s="403"/>
      <c r="AD393" s="403"/>
      <c r="AE393" s="403"/>
      <c r="AF393" s="403"/>
      <c r="AG393" s="403"/>
      <c r="AH393" s="403"/>
      <c r="AI393" s="403"/>
      <c r="AJ393" s="403"/>
      <c r="AK393" s="403"/>
      <c r="AL393" s="403"/>
      <c r="AM393" s="403"/>
      <c r="AN393" s="403"/>
      <c r="AO393" s="403"/>
      <c r="AP393" s="403"/>
      <c r="AQ393" s="403"/>
      <c r="AR393" s="92"/>
      <c r="AS393" s="92"/>
    </row>
    <row r="394" spans="1:46" ht="18" customHeight="1">
      <c r="A394" s="131" t="s">
        <v>423</v>
      </c>
      <c r="B394" s="374"/>
      <c r="C394" s="374"/>
      <c r="D394" s="374"/>
      <c r="E394" s="374"/>
      <c r="F394" s="374"/>
      <c r="G394" s="374"/>
      <c r="H394" s="374"/>
      <c r="I394" s="374"/>
      <c r="J394" s="374"/>
      <c r="K394" s="374"/>
      <c r="L394" s="374"/>
      <c r="M394" s="374"/>
      <c r="N394" s="374"/>
      <c r="O394" s="374"/>
      <c r="P394" s="374"/>
      <c r="Q394" s="374"/>
      <c r="R394" s="374"/>
      <c r="S394" s="374"/>
      <c r="T394" s="374"/>
      <c r="U394" s="374"/>
      <c r="V394" s="374"/>
      <c r="W394" s="374"/>
      <c r="X394" s="374"/>
      <c r="Y394" s="374"/>
      <c r="Z394" s="374"/>
      <c r="AA394" s="374"/>
      <c r="AB394" s="374"/>
      <c r="AC394" s="374"/>
      <c r="AD394" s="374"/>
      <c r="AE394" s="374"/>
      <c r="AF394" s="374"/>
      <c r="AG394" s="374"/>
      <c r="AH394" s="374"/>
      <c r="AI394" s="374"/>
      <c r="AJ394" s="374"/>
      <c r="AK394" s="374"/>
      <c r="AL394" s="374"/>
      <c r="AM394" s="374"/>
      <c r="AN394" s="374"/>
      <c r="AO394" s="374"/>
      <c r="AP394" s="374"/>
      <c r="AQ394" s="374"/>
      <c r="AR394" s="374"/>
      <c r="AS394" s="374"/>
      <c r="AT394" s="374"/>
    </row>
    <row r="395" spans="1:46" ht="18" customHeight="1">
      <c r="A395" s="387"/>
      <c r="B395" s="374"/>
      <c r="C395" s="374"/>
      <c r="D395" s="374"/>
      <c r="E395" s="374"/>
      <c r="F395" s="374"/>
      <c r="G395" s="374"/>
      <c r="H395" s="374"/>
      <c r="I395" s="374"/>
      <c r="J395" s="374"/>
      <c r="K395" s="374"/>
      <c r="L395" s="374"/>
      <c r="M395" s="374"/>
      <c r="N395" s="374"/>
      <c r="O395" s="374"/>
      <c r="P395" s="374"/>
      <c r="Q395" s="374"/>
      <c r="R395" s="374"/>
      <c r="S395" s="374"/>
      <c r="T395" s="374"/>
      <c r="U395" s="374"/>
      <c r="V395" s="374"/>
      <c r="W395" s="374"/>
      <c r="X395" s="374"/>
      <c r="Y395" s="374"/>
      <c r="Z395" s="374"/>
      <c r="AA395" s="374"/>
      <c r="AB395" s="374"/>
      <c r="AC395" s="374"/>
      <c r="AD395" s="374"/>
      <c r="AE395" s="374"/>
      <c r="AF395" s="374"/>
      <c r="AG395" s="365"/>
      <c r="AH395" s="374"/>
      <c r="AI395" s="374"/>
      <c r="AJ395" s="374"/>
      <c r="AK395" s="374"/>
      <c r="AL395" s="374"/>
      <c r="AM395" s="374"/>
      <c r="AN395" s="374"/>
      <c r="AO395" s="374"/>
      <c r="AP395" s="374"/>
      <c r="AQ395" s="374"/>
      <c r="AR395" s="374"/>
      <c r="AS395" s="374"/>
      <c r="AT395" s="374"/>
    </row>
    <row r="396" spans="1:46" ht="18" customHeight="1">
      <c r="A396" s="387"/>
      <c r="B396" s="374"/>
      <c r="C396" s="374"/>
      <c r="D396" s="374"/>
      <c r="E396" s="374"/>
      <c r="F396" s="374"/>
      <c r="G396" s="374"/>
      <c r="H396" s="374"/>
      <c r="I396" s="374"/>
      <c r="J396" s="374"/>
      <c r="K396" s="374"/>
      <c r="L396" s="374"/>
      <c r="M396" s="374"/>
      <c r="N396" s="374"/>
      <c r="O396" s="374"/>
      <c r="P396" s="374"/>
      <c r="Q396" s="374"/>
      <c r="R396" s="374"/>
      <c r="S396" s="374"/>
      <c r="T396" s="374"/>
      <c r="U396" s="374"/>
      <c r="V396" s="374"/>
      <c r="W396" s="374"/>
      <c r="X396" s="374"/>
      <c r="Y396" s="374"/>
      <c r="Z396" s="374"/>
      <c r="AA396" s="374"/>
      <c r="AB396" s="374"/>
      <c r="AC396" s="374"/>
      <c r="AD396" s="374"/>
      <c r="AE396" s="374"/>
      <c r="AF396" s="374"/>
      <c r="AG396" s="374"/>
      <c r="AH396" s="374"/>
      <c r="AI396" s="374"/>
      <c r="AJ396" s="374"/>
      <c r="AK396" s="374"/>
      <c r="AL396" s="374"/>
      <c r="AM396" s="374"/>
      <c r="AN396" s="374"/>
      <c r="AO396" s="374"/>
      <c r="AP396" s="374"/>
      <c r="AQ396" s="374"/>
      <c r="AR396" s="374"/>
      <c r="AS396" s="374"/>
      <c r="AT396" s="374"/>
    </row>
    <row r="397" spans="1:46" ht="18" customHeight="1">
      <c r="A397" s="387"/>
      <c r="B397" s="374"/>
      <c r="C397" s="374"/>
      <c r="D397" s="374"/>
      <c r="E397" s="374"/>
      <c r="F397" s="374"/>
      <c r="G397" s="374"/>
      <c r="H397" s="374"/>
      <c r="I397" s="374"/>
      <c r="J397" s="374"/>
      <c r="K397" s="374"/>
      <c r="L397" s="374"/>
      <c r="M397" s="374"/>
      <c r="N397" s="374"/>
      <c r="O397" s="374"/>
      <c r="P397" s="374"/>
      <c r="Q397" s="374"/>
      <c r="R397" s="374"/>
      <c r="S397" s="374"/>
      <c r="T397" s="374"/>
      <c r="U397" s="374"/>
      <c r="V397" s="374"/>
      <c r="W397" s="374"/>
      <c r="X397" s="374"/>
      <c r="Y397" s="374"/>
      <c r="Z397" s="374"/>
      <c r="AA397" s="374"/>
      <c r="AB397" s="374"/>
      <c r="AC397" s="374"/>
      <c r="AD397" s="374"/>
      <c r="AE397" s="374"/>
      <c r="AF397" s="374"/>
      <c r="AG397" s="374"/>
      <c r="AH397" s="374"/>
      <c r="AI397" s="374"/>
      <c r="AJ397" s="374"/>
      <c r="AK397" s="374"/>
      <c r="AL397" s="374"/>
      <c r="AM397" s="374"/>
      <c r="AN397" s="374"/>
      <c r="AO397" s="374"/>
      <c r="AP397" s="374"/>
      <c r="AQ397" s="374"/>
      <c r="AR397" s="374"/>
      <c r="AS397" s="374"/>
      <c r="AT397" s="374"/>
    </row>
    <row r="398" spans="1:46" ht="18" customHeight="1">
      <c r="A398" s="387"/>
      <c r="B398" s="374"/>
      <c r="C398" s="664" t="s">
        <v>424</v>
      </c>
      <c r="D398" s="664"/>
      <c r="E398" s="389" t="s">
        <v>695</v>
      </c>
      <c r="F398" s="387" t="s">
        <v>121</v>
      </c>
      <c r="G398" s="387"/>
      <c r="H398" s="374"/>
      <c r="I398" s="374"/>
      <c r="J398" s="374"/>
      <c r="K398" s="374"/>
      <c r="L398" s="374"/>
      <c r="M398" s="374"/>
      <c r="N398" s="374"/>
      <c r="O398" s="374"/>
      <c r="P398" s="374"/>
      <c r="Q398" s="374"/>
      <c r="R398" s="374"/>
      <c r="S398" s="374"/>
      <c r="T398" s="374"/>
      <c r="U398" s="374"/>
      <c r="V398" s="374"/>
      <c r="W398" s="374"/>
      <c r="X398" s="374"/>
      <c r="Y398" s="374"/>
      <c r="Z398" s="374"/>
      <c r="AA398" s="374"/>
      <c r="AB398" s="374"/>
      <c r="AC398" s="374"/>
      <c r="AD398" s="374"/>
      <c r="AE398" s="374"/>
      <c r="AF398" s="374"/>
      <c r="AG398" s="374"/>
      <c r="AH398" s="374"/>
      <c r="AI398" s="374"/>
      <c r="AJ398" s="374"/>
      <c r="AK398" s="374"/>
      <c r="AL398" s="374"/>
      <c r="AM398" s="374"/>
      <c r="AN398" s="374"/>
      <c r="AO398" s="374"/>
      <c r="AP398" s="374"/>
      <c r="AQ398" s="374"/>
      <c r="AR398" s="374"/>
      <c r="AS398" s="374"/>
      <c r="AT398" s="374"/>
    </row>
    <row r="399" spans="1:46" ht="18" customHeight="1">
      <c r="A399" s="387"/>
      <c r="B399" s="374"/>
      <c r="C399" s="664" t="s">
        <v>425</v>
      </c>
      <c r="D399" s="664"/>
      <c r="E399" s="389" t="s">
        <v>695</v>
      </c>
      <c r="F399" s="387" t="s">
        <v>696</v>
      </c>
      <c r="G399" s="387"/>
      <c r="H399" s="374"/>
      <c r="I399" s="374"/>
      <c r="J399" s="374"/>
      <c r="K399" s="374"/>
      <c r="L399" s="374"/>
      <c r="M399" s="374"/>
      <c r="N399" s="374"/>
      <c r="O399" s="374"/>
      <c r="P399" s="374"/>
      <c r="Q399" s="374"/>
      <c r="R399" s="374"/>
      <c r="S399" s="374"/>
      <c r="T399" s="374"/>
      <c r="U399" s="374"/>
      <c r="V399" s="374"/>
      <c r="W399" s="374"/>
      <c r="X399" s="374"/>
      <c r="Y399" s="374"/>
      <c r="Z399" s="374"/>
      <c r="AA399" s="374"/>
      <c r="AB399" s="374"/>
      <c r="AC399" s="374"/>
      <c r="AD399" s="374"/>
      <c r="AE399" s="374"/>
      <c r="AF399" s="374"/>
      <c r="AG399" s="374"/>
      <c r="AH399" s="374"/>
      <c r="AI399" s="374"/>
      <c r="AJ399" s="374"/>
      <c r="AK399" s="374"/>
      <c r="AL399" s="374"/>
      <c r="AM399" s="374"/>
      <c r="AN399" s="374"/>
      <c r="AO399" s="374"/>
      <c r="AP399" s="374"/>
      <c r="AQ399" s="374"/>
      <c r="AR399" s="374"/>
      <c r="AS399" s="374"/>
      <c r="AT399" s="374"/>
    </row>
    <row r="400" spans="1:46" ht="18" customHeight="1">
      <c r="A400" s="387"/>
      <c r="B400" s="374"/>
      <c r="C400" s="664" t="s">
        <v>426</v>
      </c>
      <c r="D400" s="664"/>
      <c r="E400" s="389" t="s">
        <v>695</v>
      </c>
      <c r="F400" s="387" t="s">
        <v>697</v>
      </c>
      <c r="G400" s="387"/>
      <c r="H400" s="374"/>
      <c r="I400" s="374"/>
      <c r="J400" s="374"/>
      <c r="K400" s="374"/>
      <c r="L400" s="374"/>
      <c r="M400" s="374"/>
      <c r="N400" s="374"/>
      <c r="O400" s="374"/>
      <c r="P400" s="374"/>
      <c r="Q400" s="374"/>
      <c r="R400" s="374"/>
      <c r="S400" s="374"/>
      <c r="T400" s="374"/>
      <c r="U400" s="374"/>
      <c r="V400" s="374"/>
      <c r="W400" s="374"/>
      <c r="X400" s="374"/>
      <c r="Y400" s="374"/>
      <c r="Z400" s="374"/>
      <c r="AA400" s="374"/>
      <c r="AB400" s="374"/>
      <c r="AC400" s="374"/>
      <c r="AD400" s="374"/>
      <c r="AE400" s="374"/>
      <c r="AF400" s="374"/>
      <c r="AG400" s="374"/>
      <c r="AH400" s="374"/>
      <c r="AI400" s="374"/>
      <c r="AJ400" s="374"/>
      <c r="AK400" s="374"/>
      <c r="AL400" s="374"/>
      <c r="AM400" s="374"/>
      <c r="AN400" s="374"/>
      <c r="AO400" s="374"/>
      <c r="AP400" s="374"/>
      <c r="AQ400" s="374"/>
      <c r="AR400" s="374"/>
      <c r="AS400" s="374"/>
      <c r="AT400" s="374"/>
    </row>
    <row r="401" spans="1:46" ht="18" customHeight="1">
      <c r="A401" s="387"/>
      <c r="B401" s="374"/>
      <c r="C401" s="93"/>
      <c r="D401" s="374"/>
      <c r="E401" s="374"/>
      <c r="F401" s="374"/>
      <c r="G401" s="374"/>
      <c r="H401" s="374"/>
      <c r="I401" s="374"/>
      <c r="J401" s="374"/>
      <c r="K401" s="374"/>
      <c r="L401" s="374"/>
      <c r="M401" s="374"/>
      <c r="N401" s="374"/>
      <c r="O401" s="374"/>
      <c r="P401" s="374"/>
      <c r="Q401" s="374"/>
      <c r="R401" s="374"/>
      <c r="S401" s="374"/>
      <c r="T401" s="374"/>
      <c r="U401" s="374"/>
      <c r="V401" s="374"/>
      <c r="W401" s="374"/>
      <c r="X401" s="374"/>
      <c r="Y401" s="374"/>
      <c r="Z401" s="374"/>
      <c r="AA401" s="374"/>
      <c r="AB401" s="374"/>
      <c r="AC401" s="374"/>
      <c r="AD401" s="374"/>
      <c r="AE401" s="374"/>
      <c r="AF401" s="374"/>
      <c r="AG401" s="374"/>
      <c r="AH401" s="374"/>
      <c r="AI401" s="374"/>
      <c r="AJ401" s="374"/>
      <c r="AK401" s="374"/>
      <c r="AL401" s="374"/>
      <c r="AM401" s="374"/>
      <c r="AN401" s="374"/>
      <c r="AO401" s="374"/>
      <c r="AP401" s="374"/>
      <c r="AQ401" s="374"/>
      <c r="AR401" s="374"/>
      <c r="AS401" s="374"/>
      <c r="AT401" s="374"/>
    </row>
    <row r="402" spans="1:46" ht="18" customHeight="1">
      <c r="A402" s="387"/>
      <c r="B402" s="374"/>
      <c r="C402" s="374" t="s">
        <v>427</v>
      </c>
      <c r="E402" s="374"/>
      <c r="F402" s="374"/>
      <c r="G402" s="374"/>
      <c r="H402" s="374"/>
      <c r="I402" s="374"/>
      <c r="J402" s="374"/>
      <c r="K402" s="374"/>
      <c r="L402" s="374"/>
      <c r="M402" s="374"/>
      <c r="N402" s="374"/>
      <c r="O402" s="374"/>
      <c r="P402" s="374"/>
      <c r="Q402" s="374"/>
      <c r="R402" s="374"/>
      <c r="S402" s="374"/>
      <c r="T402" s="374"/>
      <c r="U402" s="374"/>
      <c r="V402" s="374"/>
      <c r="W402" s="374"/>
      <c r="X402" s="374"/>
      <c r="Y402" s="374"/>
      <c r="Z402" s="374"/>
      <c r="AA402" s="374"/>
      <c r="AB402" s="374"/>
      <c r="AC402" s="374"/>
      <c r="AD402" s="374"/>
      <c r="AE402" s="374"/>
      <c r="AF402" s="374"/>
      <c r="AG402" s="374"/>
      <c r="AH402" s="374"/>
      <c r="AI402" s="374"/>
      <c r="AJ402" s="374"/>
      <c r="AK402" s="374"/>
      <c r="AL402" s="374"/>
      <c r="AM402" s="374"/>
      <c r="AN402" s="374"/>
      <c r="AO402" s="374"/>
      <c r="AP402" s="374"/>
      <c r="AQ402" s="374"/>
      <c r="AR402" s="374"/>
      <c r="AS402" s="374"/>
      <c r="AT402" s="374"/>
    </row>
    <row r="403" spans="1:46" ht="18" customHeight="1">
      <c r="A403" s="387"/>
      <c r="B403" s="374"/>
      <c r="C403" s="374"/>
      <c r="E403" s="374"/>
      <c r="F403" s="374"/>
      <c r="G403" s="374"/>
      <c r="H403" s="374"/>
      <c r="I403" s="374"/>
      <c r="J403" s="374"/>
      <c r="K403" s="374"/>
      <c r="L403" s="374"/>
      <c r="M403" s="374"/>
      <c r="N403" s="374"/>
      <c r="O403" s="374"/>
      <c r="P403" s="374"/>
      <c r="Q403" s="374"/>
      <c r="R403" s="374"/>
      <c r="S403" s="374"/>
      <c r="T403" s="374"/>
      <c r="U403" s="374"/>
      <c r="V403" s="374"/>
      <c r="W403" s="374"/>
      <c r="X403" s="374"/>
      <c r="Y403" s="374"/>
      <c r="Z403" s="374"/>
      <c r="AA403" s="374"/>
      <c r="AB403" s="374"/>
      <c r="AC403" s="374"/>
      <c r="AD403" s="374"/>
      <c r="AE403" s="374"/>
      <c r="AF403" s="374"/>
      <c r="AG403" s="374"/>
      <c r="AH403" s="374"/>
      <c r="AI403" s="374"/>
      <c r="AJ403" s="374"/>
      <c r="AK403" s="374"/>
      <c r="AL403" s="374"/>
      <c r="AM403" s="374"/>
      <c r="AN403" s="374"/>
      <c r="AO403" s="374"/>
      <c r="AP403" s="374"/>
      <c r="AQ403" s="374"/>
      <c r="AR403" s="374"/>
      <c r="AS403" s="374"/>
      <c r="AT403" s="374"/>
    </row>
    <row r="404" spans="1:46" ht="18" customHeight="1">
      <c r="A404" s="387"/>
      <c r="B404" s="374"/>
      <c r="C404" s="374"/>
      <c r="E404" s="374"/>
      <c r="F404" s="374"/>
      <c r="G404" s="374"/>
      <c r="H404" s="374"/>
      <c r="I404" s="374"/>
      <c r="J404" s="374"/>
      <c r="K404" s="374"/>
      <c r="L404" s="374"/>
      <c r="M404" s="374"/>
      <c r="N404" s="374"/>
      <c r="O404" s="374"/>
      <c r="P404" s="374"/>
      <c r="Q404" s="374"/>
      <c r="R404" s="374"/>
      <c r="S404" s="374"/>
      <c r="T404" s="374"/>
      <c r="U404" s="374"/>
      <c r="V404" s="374"/>
      <c r="W404" s="374"/>
      <c r="X404" s="374"/>
      <c r="Y404" s="374"/>
      <c r="Z404" s="374"/>
      <c r="AA404" s="374"/>
      <c r="AB404" s="374"/>
      <c r="AC404" s="374"/>
      <c r="AD404" s="374"/>
      <c r="AE404" s="374"/>
      <c r="AF404" s="374"/>
      <c r="AG404" s="374"/>
      <c r="AH404" s="374"/>
      <c r="AI404" s="374"/>
      <c r="AJ404" s="374"/>
      <c r="AK404" s="374"/>
      <c r="AL404" s="374"/>
      <c r="AM404" s="374"/>
      <c r="AN404" s="374"/>
      <c r="AO404" s="374"/>
      <c r="AP404" s="374"/>
      <c r="AQ404" s="374"/>
      <c r="AR404" s="374"/>
      <c r="AS404" s="374"/>
      <c r="AT404" s="374"/>
    </row>
    <row r="405" spans="1:46" ht="18" customHeight="1">
      <c r="A405" s="387"/>
      <c r="B405" s="374"/>
      <c r="C405" s="93"/>
      <c r="D405" s="374"/>
      <c r="E405" s="374"/>
      <c r="F405" s="374"/>
      <c r="G405" s="374"/>
      <c r="H405" s="374"/>
      <c r="I405" s="374"/>
      <c r="J405" s="374"/>
      <c r="K405" s="374"/>
      <c r="L405" s="374"/>
      <c r="M405" s="374"/>
      <c r="N405" s="374"/>
      <c r="O405" s="374"/>
      <c r="P405" s="374"/>
      <c r="Q405" s="374"/>
      <c r="R405" s="374"/>
      <c r="S405" s="374"/>
      <c r="T405" s="374"/>
      <c r="U405" s="374"/>
      <c r="V405" s="374"/>
      <c r="W405" s="374"/>
      <c r="X405" s="374"/>
      <c r="Y405" s="374"/>
      <c r="Z405" s="374"/>
      <c r="AA405" s="374"/>
      <c r="AB405" s="374"/>
      <c r="AC405" s="374"/>
      <c r="AD405" s="374"/>
      <c r="AE405" s="374"/>
      <c r="AF405" s="374"/>
      <c r="AG405" s="374"/>
      <c r="AH405" s="374"/>
      <c r="AI405" s="374"/>
      <c r="AJ405" s="374"/>
      <c r="AK405" s="374"/>
      <c r="AL405" s="374"/>
      <c r="AM405" s="374"/>
      <c r="AN405" s="374"/>
      <c r="AO405" s="374"/>
      <c r="AP405" s="374"/>
      <c r="AQ405" s="374"/>
      <c r="AR405" s="374"/>
      <c r="AS405" s="374"/>
      <c r="AT405" s="374"/>
    </row>
    <row r="406" spans="1:46" s="95" customFormat="1" ht="18" customHeight="1">
      <c r="A406" s="102" t="s">
        <v>428</v>
      </c>
      <c r="B406" s="94"/>
      <c r="C406" s="94"/>
      <c r="D406" s="94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4"/>
      <c r="R406" s="94"/>
      <c r="S406" s="94"/>
      <c r="T406" s="94"/>
      <c r="U406" s="94"/>
      <c r="V406" s="94"/>
      <c r="W406" s="94"/>
      <c r="X406" s="94"/>
      <c r="Y406" s="94"/>
      <c r="Z406" s="94"/>
      <c r="AA406" s="94"/>
      <c r="AB406" s="94"/>
      <c r="AC406" s="94"/>
      <c r="AD406" s="94"/>
      <c r="AE406" s="94"/>
      <c r="AF406" s="94"/>
      <c r="AG406" s="94"/>
      <c r="AH406" s="94"/>
      <c r="AI406" s="94"/>
      <c r="AJ406" s="94"/>
      <c r="AK406" s="94"/>
      <c r="AL406" s="94"/>
      <c r="AM406" s="94"/>
      <c r="AN406" s="94"/>
      <c r="AO406" s="94"/>
      <c r="AP406" s="94"/>
      <c r="AQ406" s="94"/>
      <c r="AR406" s="94"/>
      <c r="AS406" s="94"/>
      <c r="AT406" s="94"/>
    </row>
    <row r="407" spans="1:46" s="95" customFormat="1" ht="18" customHeight="1">
      <c r="A407" s="132"/>
      <c r="B407" s="94"/>
      <c r="C407" s="94"/>
      <c r="D407" s="94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  <c r="W407" s="94"/>
      <c r="X407" s="94"/>
      <c r="Y407" s="94"/>
      <c r="Z407" s="94"/>
      <c r="AA407" s="94"/>
      <c r="AB407" s="94"/>
      <c r="AC407" s="94"/>
      <c r="AD407" s="94"/>
      <c r="AE407" s="94"/>
      <c r="AF407" s="94"/>
      <c r="AG407" s="94"/>
      <c r="AH407" s="94"/>
      <c r="AI407" s="94"/>
      <c r="AJ407" s="94"/>
      <c r="AK407" s="94"/>
      <c r="AL407" s="94"/>
      <c r="AM407" s="94"/>
      <c r="AN407" s="94"/>
      <c r="AO407" s="94"/>
      <c r="AP407" s="94"/>
      <c r="AQ407" s="94"/>
      <c r="AR407" s="94"/>
      <c r="AS407" s="94"/>
      <c r="AT407" s="94"/>
    </row>
    <row r="408" spans="1:46" s="95" customFormat="1" ht="18" customHeight="1">
      <c r="A408" s="132"/>
      <c r="B408" s="94"/>
      <c r="C408" s="94"/>
      <c r="D408" s="94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94"/>
      <c r="S408" s="94"/>
      <c r="T408" s="94"/>
      <c r="U408" s="94"/>
      <c r="V408" s="94"/>
      <c r="W408" s="94"/>
      <c r="X408" s="94"/>
      <c r="Y408" s="94"/>
      <c r="Z408" s="94"/>
      <c r="AA408" s="94"/>
      <c r="AB408" s="94"/>
      <c r="AC408" s="94"/>
      <c r="AD408" s="94"/>
      <c r="AE408" s="94"/>
      <c r="AF408" s="94"/>
      <c r="AG408" s="94"/>
      <c r="AH408" s="94"/>
      <c r="AI408" s="94"/>
      <c r="AJ408" s="94"/>
      <c r="AK408" s="94"/>
      <c r="AL408" s="94"/>
      <c r="AM408" s="94"/>
      <c r="AN408" s="94"/>
      <c r="AO408" s="94"/>
      <c r="AP408" s="94"/>
      <c r="AQ408" s="94"/>
      <c r="AR408" s="94"/>
      <c r="AS408" s="94"/>
      <c r="AT408" s="94"/>
    </row>
    <row r="409" spans="1:46" s="95" customFormat="1" ht="18" customHeight="1">
      <c r="A409" s="132"/>
      <c r="B409" s="94"/>
      <c r="C409" s="94"/>
      <c r="D409" s="94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94"/>
      <c r="S409" s="94"/>
      <c r="T409" s="94"/>
      <c r="U409" s="94"/>
      <c r="V409" s="94"/>
      <c r="W409" s="94"/>
      <c r="X409" s="94"/>
      <c r="Y409" s="94"/>
      <c r="Z409" s="94"/>
      <c r="AA409" s="94"/>
      <c r="AB409" s="94"/>
      <c r="AC409" s="94"/>
      <c r="AD409" s="94"/>
      <c r="AE409" s="94"/>
      <c r="AF409" s="94"/>
      <c r="AG409" s="94"/>
      <c r="AH409" s="94"/>
      <c r="AI409" s="94"/>
      <c r="AJ409" s="94"/>
      <c r="AK409" s="94"/>
      <c r="AL409" s="94"/>
      <c r="AM409" s="94"/>
      <c r="AN409" s="94"/>
      <c r="AO409" s="94"/>
      <c r="AP409" s="94"/>
      <c r="AQ409" s="94"/>
      <c r="AR409" s="94"/>
      <c r="AS409" s="94"/>
      <c r="AT409" s="94"/>
    </row>
    <row r="410" spans="1:46" s="95" customFormat="1" ht="18" customHeight="1">
      <c r="A410" s="132"/>
      <c r="B410" s="94"/>
      <c r="C410" s="94" t="s">
        <v>429</v>
      </c>
      <c r="D410" s="94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S410" s="94"/>
      <c r="T410" s="94"/>
      <c r="U410" s="94"/>
      <c r="V410" s="94"/>
      <c r="W410" s="94"/>
      <c r="X410" s="94"/>
      <c r="Y410" s="94"/>
      <c r="Z410" s="94"/>
      <c r="AA410" s="94"/>
      <c r="AB410" s="94"/>
      <c r="AC410" s="94"/>
      <c r="AD410" s="94"/>
      <c r="AE410" s="94"/>
      <c r="AF410" s="94"/>
      <c r="AG410" s="94"/>
      <c r="AH410" s="94"/>
      <c r="AI410" s="94"/>
      <c r="AJ410" s="94"/>
      <c r="AK410" s="94"/>
      <c r="AL410" s="94"/>
      <c r="AM410" s="94"/>
      <c r="AN410" s="94"/>
      <c r="AO410" s="94"/>
      <c r="AP410" s="94"/>
      <c r="AQ410" s="94"/>
      <c r="AR410" s="94"/>
      <c r="AS410" s="94"/>
      <c r="AT410" s="94"/>
    </row>
    <row r="411" spans="1:46" s="95" customFormat="1" ht="18" customHeight="1">
      <c r="A411" s="132"/>
      <c r="B411" s="94"/>
      <c r="C411" s="94"/>
      <c r="D411" s="94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94"/>
      <c r="S411" s="94"/>
      <c r="T411" s="94"/>
      <c r="U411" s="94"/>
      <c r="V411" s="94"/>
      <c r="W411" s="94"/>
      <c r="X411" s="94"/>
      <c r="Y411" s="94"/>
      <c r="Z411" s="94"/>
      <c r="AA411" s="94"/>
      <c r="AB411" s="94"/>
      <c r="AC411" s="94"/>
      <c r="AD411" s="94"/>
      <c r="AE411" s="94"/>
      <c r="AF411" s="94"/>
      <c r="AG411" s="94"/>
      <c r="AH411" s="94"/>
      <c r="AI411" s="94"/>
      <c r="AJ411" s="94"/>
      <c r="AK411" s="94"/>
      <c r="AL411" s="94"/>
      <c r="AM411" s="94"/>
      <c r="AN411" s="94"/>
      <c r="AO411" s="94"/>
      <c r="AP411" s="94"/>
      <c r="AQ411" s="94"/>
      <c r="AR411" s="94"/>
      <c r="AS411" s="94"/>
      <c r="AT411" s="94"/>
    </row>
    <row r="412" spans="1:46" s="95" customFormat="1" ht="18" customHeight="1">
      <c r="A412" s="132"/>
      <c r="B412" s="94"/>
      <c r="C412" s="94"/>
      <c r="D412" s="94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94"/>
      <c r="S412" s="94"/>
      <c r="T412" s="94"/>
      <c r="U412" s="94"/>
      <c r="V412" s="94"/>
      <c r="W412" s="94"/>
      <c r="X412" s="94"/>
      <c r="Y412" s="94"/>
      <c r="Z412" s="94"/>
      <c r="AA412" s="94"/>
      <c r="AB412" s="94"/>
      <c r="AC412" s="94"/>
      <c r="AD412" s="94"/>
      <c r="AE412" s="94"/>
      <c r="AF412" s="94"/>
      <c r="AG412" s="94"/>
      <c r="AH412" s="94"/>
      <c r="AI412" s="94"/>
      <c r="AJ412" s="94"/>
      <c r="AK412" s="94"/>
      <c r="AL412" s="94"/>
      <c r="AM412" s="94"/>
      <c r="AN412" s="94"/>
      <c r="AO412" s="94"/>
      <c r="AP412" s="94"/>
      <c r="AQ412" s="94"/>
      <c r="AR412" s="94"/>
      <c r="AS412" s="94"/>
      <c r="AT412" s="94"/>
    </row>
    <row r="413" spans="1:46" s="95" customFormat="1" ht="18" customHeight="1">
      <c r="A413" s="132"/>
      <c r="B413" s="94"/>
      <c r="C413" s="94"/>
      <c r="D413" s="94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94"/>
      <c r="S413" s="94"/>
      <c r="T413" s="94"/>
      <c r="U413" s="94"/>
      <c r="V413" s="94"/>
      <c r="W413" s="94"/>
      <c r="X413" s="94"/>
      <c r="Y413" s="94"/>
      <c r="Z413" s="94"/>
      <c r="AA413" s="94"/>
      <c r="AB413" s="94"/>
      <c r="AC413" s="94"/>
      <c r="AD413" s="94"/>
      <c r="AE413" s="94"/>
      <c r="AF413" s="94"/>
      <c r="AG413" s="94"/>
      <c r="AH413" s="94"/>
      <c r="AI413" s="94"/>
      <c r="AJ413" s="94"/>
      <c r="AK413" s="94"/>
      <c r="AL413" s="94"/>
      <c r="AM413" s="94"/>
      <c r="AN413" s="94"/>
      <c r="AO413" s="94"/>
      <c r="AP413" s="94"/>
      <c r="AQ413" s="94"/>
      <c r="AR413" s="94"/>
      <c r="AS413" s="94"/>
      <c r="AT413" s="94"/>
    </row>
    <row r="414" spans="1:46" s="95" customFormat="1" ht="18" customHeight="1">
      <c r="A414" s="132"/>
      <c r="B414" s="94"/>
      <c r="C414" s="94"/>
      <c r="D414" s="94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S414" s="94"/>
      <c r="T414" s="94"/>
      <c r="U414" s="94"/>
      <c r="V414" s="94"/>
      <c r="W414" s="94"/>
      <c r="X414" s="94"/>
      <c r="Y414" s="94"/>
      <c r="Z414" s="94"/>
      <c r="AA414" s="94"/>
      <c r="AB414" s="94"/>
      <c r="AC414" s="94"/>
      <c r="AD414" s="94"/>
      <c r="AE414" s="94"/>
      <c r="AF414" s="94"/>
      <c r="AG414" s="94"/>
      <c r="AH414" s="94"/>
      <c r="AI414" s="94"/>
      <c r="AJ414" s="94"/>
      <c r="AK414" s="94"/>
      <c r="AL414" s="94"/>
      <c r="AM414" s="94"/>
      <c r="AN414" s="94"/>
      <c r="AO414" s="94"/>
      <c r="AP414" s="94"/>
      <c r="AQ414" s="94"/>
      <c r="AR414" s="94"/>
      <c r="AS414" s="94"/>
      <c r="AT414" s="94"/>
    </row>
    <row r="415" spans="1:46" s="95" customFormat="1" ht="18" customHeight="1">
      <c r="A415" s="132"/>
      <c r="B415" s="94"/>
      <c r="C415" s="94"/>
      <c r="D415" s="94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94"/>
      <c r="X415" s="94"/>
      <c r="Y415" s="94"/>
      <c r="Z415" s="94"/>
      <c r="AA415" s="94"/>
      <c r="AB415" s="94"/>
      <c r="AC415" s="94"/>
      <c r="AD415" s="94"/>
      <c r="AE415" s="94"/>
      <c r="AF415" s="94"/>
      <c r="AG415" s="94"/>
      <c r="AH415" s="94"/>
      <c r="AI415" s="94"/>
      <c r="AJ415" s="94"/>
      <c r="AK415" s="94"/>
      <c r="AL415" s="94"/>
      <c r="AM415" s="94"/>
      <c r="AN415" s="94"/>
      <c r="AO415" s="94"/>
      <c r="AP415" s="94"/>
      <c r="AQ415" s="94"/>
      <c r="AR415" s="94"/>
      <c r="AS415" s="94"/>
      <c r="AT415" s="94"/>
    </row>
    <row r="416" spans="1:46" s="95" customFormat="1" ht="18" customHeight="1">
      <c r="A416" s="218" t="e">
        <f ca="1">"■ "&amp;B249&amp;" "&amp;H249&amp;" 에서의 교정데이터"</f>
        <v>#N/A</v>
      </c>
      <c r="D416" s="219"/>
      <c r="E416" s="219"/>
      <c r="F416" s="219"/>
      <c r="H416" s="94"/>
      <c r="I416" s="216"/>
      <c r="K416" s="94"/>
      <c r="L416" s="94"/>
      <c r="M416" s="94"/>
      <c r="N416" s="94"/>
      <c r="O416" s="94"/>
      <c r="P416" s="94"/>
      <c r="Q416" s="94"/>
      <c r="R416" s="94"/>
      <c r="S416" s="94"/>
      <c r="T416" s="94"/>
      <c r="U416" s="94"/>
      <c r="V416" s="94"/>
      <c r="W416" s="94"/>
      <c r="X416" s="94"/>
      <c r="Y416" s="94"/>
      <c r="Z416" s="94"/>
      <c r="AA416" s="94"/>
      <c r="AB416" s="94"/>
      <c r="AC416" s="94"/>
      <c r="AD416" s="94"/>
      <c r="AE416" s="94"/>
      <c r="AF416" s="94"/>
      <c r="AG416" s="94"/>
      <c r="AH416" s="94"/>
      <c r="AI416" s="94"/>
      <c r="AJ416" s="94"/>
      <c r="AK416" s="94"/>
      <c r="AL416" s="94"/>
      <c r="AM416" s="94"/>
      <c r="AN416" s="94"/>
      <c r="AO416" s="94"/>
      <c r="AP416" s="94"/>
      <c r="AQ416" s="94"/>
      <c r="AR416" s="94"/>
      <c r="AS416" s="94"/>
      <c r="AT416" s="94"/>
    </row>
    <row r="417" spans="1:46" s="95" customFormat="1" ht="18" customHeight="1">
      <c r="A417" s="132"/>
      <c r="B417" s="753" t="s">
        <v>57</v>
      </c>
      <c r="C417" s="753"/>
      <c r="D417" s="753"/>
      <c r="E417" s="753"/>
      <c r="F417" s="753"/>
      <c r="G417" s="754" t="s">
        <v>430</v>
      </c>
      <c r="H417" s="755"/>
      <c r="I417" s="755"/>
      <c r="J417" s="755"/>
      <c r="K417" s="755"/>
      <c r="L417" s="756"/>
      <c r="M417" s="760" t="s">
        <v>431</v>
      </c>
      <c r="N417" s="761"/>
      <c r="O417" s="761"/>
      <c r="P417" s="761"/>
      <c r="Q417" s="761"/>
      <c r="R417" s="761"/>
      <c r="S417" s="761"/>
      <c r="T417" s="761"/>
      <c r="U417" s="761"/>
      <c r="V417" s="761"/>
      <c r="W417" s="761"/>
      <c r="X417" s="761"/>
      <c r="Y417" s="761"/>
      <c r="Z417" s="761"/>
      <c r="AA417" s="761"/>
      <c r="AB417" s="761"/>
      <c r="AC417" s="761"/>
      <c r="AD417" s="761"/>
      <c r="AE417" s="761"/>
      <c r="AF417" s="761"/>
      <c r="AG417" s="761"/>
      <c r="AH417" s="761"/>
      <c r="AI417" s="761"/>
      <c r="AJ417" s="761"/>
      <c r="AK417" s="761"/>
      <c r="AL417" s="761"/>
      <c r="AM417" s="761"/>
      <c r="AN417" s="761"/>
      <c r="AO417" s="761"/>
      <c r="AP417" s="761"/>
      <c r="AQ417" s="761"/>
      <c r="AR417" s="761"/>
      <c r="AS417" s="762"/>
      <c r="AT417" s="94"/>
    </row>
    <row r="418" spans="1:46" s="95" customFormat="1" ht="18" customHeight="1">
      <c r="A418" s="132"/>
      <c r="B418" s="753"/>
      <c r="C418" s="753"/>
      <c r="D418" s="753"/>
      <c r="E418" s="753"/>
      <c r="F418" s="753"/>
      <c r="G418" s="757"/>
      <c r="H418" s="758"/>
      <c r="I418" s="758"/>
      <c r="J418" s="758"/>
      <c r="K418" s="758"/>
      <c r="L418" s="759"/>
      <c r="M418" s="753" t="s">
        <v>395</v>
      </c>
      <c r="N418" s="753"/>
      <c r="O418" s="753"/>
      <c r="P418" s="753"/>
      <c r="Q418" s="753"/>
      <c r="R418" s="763" t="s">
        <v>432</v>
      </c>
      <c r="S418" s="764"/>
      <c r="T418" s="764"/>
      <c r="U418" s="764"/>
      <c r="V418" s="765"/>
      <c r="W418" s="763" t="s">
        <v>94</v>
      </c>
      <c r="X418" s="764"/>
      <c r="Y418" s="764"/>
      <c r="Z418" s="764"/>
      <c r="AA418" s="765"/>
      <c r="AB418" s="763" t="s">
        <v>433</v>
      </c>
      <c r="AC418" s="764"/>
      <c r="AD418" s="764"/>
      <c r="AE418" s="764"/>
      <c r="AF418" s="764"/>
      <c r="AG418" s="764"/>
      <c r="AH418" s="764"/>
      <c r="AI418" s="764"/>
      <c r="AJ418" s="764"/>
      <c r="AK418" s="764"/>
      <c r="AL418" s="764"/>
      <c r="AM418" s="765"/>
      <c r="AN418" s="766" t="s">
        <v>121</v>
      </c>
      <c r="AO418" s="767"/>
      <c r="AP418" s="767"/>
      <c r="AQ418" s="767"/>
      <c r="AR418" s="767"/>
      <c r="AS418" s="768"/>
      <c r="AT418" s="94"/>
    </row>
    <row r="419" spans="1:46" s="95" customFormat="1" ht="18" customHeight="1">
      <c r="A419" s="132"/>
      <c r="B419" s="753"/>
      <c r="C419" s="753"/>
      <c r="D419" s="753"/>
      <c r="E419" s="753"/>
      <c r="F419" s="753"/>
      <c r="G419" s="769">
        <f>I256</f>
        <v>0</v>
      </c>
      <c r="H419" s="769"/>
      <c r="I419" s="769"/>
      <c r="J419" s="769"/>
      <c r="K419" s="769"/>
      <c r="L419" s="769"/>
      <c r="M419" s="769">
        <f>P256</f>
        <v>0</v>
      </c>
      <c r="N419" s="769"/>
      <c r="O419" s="769"/>
      <c r="P419" s="769"/>
      <c r="Q419" s="769"/>
      <c r="R419" s="780">
        <f>W256</f>
        <v>0</v>
      </c>
      <c r="S419" s="781"/>
      <c r="T419" s="781"/>
      <c r="U419" s="781"/>
      <c r="V419" s="782"/>
      <c r="W419" s="780">
        <f>AD256</f>
        <v>0</v>
      </c>
      <c r="X419" s="781"/>
      <c r="Y419" s="781"/>
      <c r="Z419" s="781"/>
      <c r="AA419" s="782"/>
      <c r="AB419" s="780">
        <f>Calcu_ADJ!H44</f>
        <v>0</v>
      </c>
      <c r="AC419" s="781"/>
      <c r="AD419" s="781"/>
      <c r="AE419" s="781"/>
      <c r="AF419" s="781"/>
      <c r="AG419" s="781"/>
      <c r="AH419" s="780">
        <f>Calcu_ADJ!N44</f>
        <v>0</v>
      </c>
      <c r="AI419" s="781"/>
      <c r="AJ419" s="781"/>
      <c r="AK419" s="781"/>
      <c r="AL419" s="781"/>
      <c r="AM419" s="781"/>
      <c r="AN419" s="769">
        <f>Calcu_ADJ!J44</f>
        <v>0</v>
      </c>
      <c r="AO419" s="769"/>
      <c r="AP419" s="769"/>
      <c r="AQ419" s="769"/>
      <c r="AR419" s="769"/>
      <c r="AS419" s="769"/>
      <c r="AT419" s="94"/>
    </row>
    <row r="420" spans="1:46" s="95" customFormat="1" ht="18" customHeight="1">
      <c r="A420" s="132"/>
      <c r="B420" s="779" t="e">
        <f>AL249</f>
        <v>#N/A</v>
      </c>
      <c r="C420" s="779"/>
      <c r="D420" s="779"/>
      <c r="E420" s="779"/>
      <c r="F420" s="779"/>
      <c r="G420" s="776" t="e">
        <f ca="1">OFFSET(I256,B420,0)</f>
        <v>#N/A</v>
      </c>
      <c r="H420" s="777"/>
      <c r="I420" s="777"/>
      <c r="J420" s="777"/>
      <c r="K420" s="777"/>
      <c r="L420" s="778"/>
      <c r="M420" s="776" t="e">
        <f ca="1">OFFSET(Calcu_ADJ!V8,B420,0)</f>
        <v>#N/A</v>
      </c>
      <c r="N420" s="777"/>
      <c r="O420" s="777"/>
      <c r="P420" s="777"/>
      <c r="Q420" s="778"/>
      <c r="R420" s="776" t="e">
        <f ca="1">OFFSET(Calcu_ADJ!W8,B420,0)</f>
        <v>#N/A</v>
      </c>
      <c r="S420" s="777"/>
      <c r="T420" s="777"/>
      <c r="U420" s="777"/>
      <c r="V420" s="778"/>
      <c r="W420" s="776" t="e">
        <f ca="1">OFFSET(Calcu_ADJ!X8,B420,0)</f>
        <v>#N/A</v>
      </c>
      <c r="X420" s="777"/>
      <c r="Y420" s="777"/>
      <c r="Z420" s="777"/>
      <c r="AA420" s="778"/>
      <c r="AB420" s="770" t="e">
        <f ca="1">OFFSET(Calcu_ADJ!H44,B420,0)</f>
        <v>#N/A</v>
      </c>
      <c r="AC420" s="771"/>
      <c r="AD420" s="771"/>
      <c r="AE420" s="771"/>
      <c r="AF420" s="771"/>
      <c r="AG420" s="771"/>
      <c r="AH420" s="770" t="e">
        <f ca="1">OFFSET(Calcu_ADJ!I44,B420,0)</f>
        <v>#N/A</v>
      </c>
      <c r="AI420" s="771"/>
      <c r="AJ420" s="771"/>
      <c r="AK420" s="771"/>
      <c r="AL420" s="771"/>
      <c r="AM420" s="771"/>
      <c r="AN420" s="774" t="e">
        <f ca="1">OFFSET(Calcu_ADJ!J44,B420,0)</f>
        <v>#N/A</v>
      </c>
      <c r="AO420" s="774"/>
      <c r="AP420" s="774"/>
      <c r="AQ420" s="774"/>
      <c r="AR420" s="774"/>
      <c r="AS420" s="774"/>
      <c r="AT420" s="94"/>
    </row>
    <row r="421" spans="1:46" s="95" customFormat="1" ht="18" customHeight="1">
      <c r="A421" s="132"/>
      <c r="B421" s="775" t="e">
        <f>B420</f>
        <v>#N/A</v>
      </c>
      <c r="C421" s="775"/>
      <c r="D421" s="775"/>
      <c r="E421" s="775"/>
      <c r="F421" s="775"/>
      <c r="G421" s="774" t="e">
        <f ca="1">G420</f>
        <v>#N/A</v>
      </c>
      <c r="H421" s="774"/>
      <c r="I421" s="774"/>
      <c r="J421" s="774"/>
      <c r="K421" s="774"/>
      <c r="L421" s="774"/>
      <c r="M421" s="776" t="e">
        <f ca="1">OFFSET(Calcu_ADJ!V23,B421,0)</f>
        <v>#N/A</v>
      </c>
      <c r="N421" s="777"/>
      <c r="O421" s="777"/>
      <c r="P421" s="777"/>
      <c r="Q421" s="778"/>
      <c r="R421" s="776" t="e">
        <f ca="1">OFFSET(Calcu_ADJ!W23,B421,0)</f>
        <v>#N/A</v>
      </c>
      <c r="S421" s="777"/>
      <c r="T421" s="777"/>
      <c r="U421" s="777"/>
      <c r="V421" s="778"/>
      <c r="W421" s="776" t="e">
        <f ca="1">OFFSET(Calcu_ADJ!X23,B421,0)</f>
        <v>#N/A</v>
      </c>
      <c r="X421" s="777"/>
      <c r="Y421" s="777"/>
      <c r="Z421" s="777"/>
      <c r="AA421" s="778"/>
      <c r="AB421" s="772"/>
      <c r="AC421" s="773"/>
      <c r="AD421" s="773"/>
      <c r="AE421" s="773"/>
      <c r="AF421" s="773"/>
      <c r="AG421" s="773"/>
      <c r="AH421" s="772"/>
      <c r="AI421" s="773"/>
      <c r="AJ421" s="773"/>
      <c r="AK421" s="773"/>
      <c r="AL421" s="773"/>
      <c r="AM421" s="773"/>
      <c r="AN421" s="774"/>
      <c r="AO421" s="774"/>
      <c r="AP421" s="774"/>
      <c r="AQ421" s="774"/>
      <c r="AR421" s="774"/>
      <c r="AS421" s="774"/>
      <c r="AT421" s="94"/>
    </row>
    <row r="422" spans="1:46" s="95" customFormat="1" ht="18" customHeight="1">
      <c r="A422" s="132"/>
      <c r="B422" s="94"/>
      <c r="C422" s="94"/>
      <c r="D422" s="94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94"/>
      <c r="S422" s="94"/>
      <c r="T422" s="94"/>
      <c r="U422" s="94"/>
      <c r="V422" s="94"/>
      <c r="W422" s="94"/>
      <c r="X422" s="94"/>
      <c r="Y422" s="94"/>
      <c r="Z422" s="94"/>
      <c r="AA422" s="94"/>
      <c r="AB422" s="94"/>
      <c r="AC422" s="94"/>
      <c r="AD422" s="94"/>
      <c r="AE422" s="94"/>
      <c r="AF422" s="94"/>
      <c r="AG422" s="94"/>
      <c r="AH422" s="94"/>
      <c r="AI422" s="94"/>
      <c r="AJ422" s="94"/>
      <c r="AK422" s="94"/>
      <c r="AL422" s="94"/>
      <c r="AM422" s="94"/>
      <c r="AN422" s="94"/>
      <c r="AO422" s="94"/>
      <c r="AP422" s="94"/>
      <c r="AQ422" s="94"/>
      <c r="AR422" s="94"/>
      <c r="AS422" s="94"/>
      <c r="AT422" s="94"/>
    </row>
    <row r="423" spans="1:46" s="95" customFormat="1" ht="18" customHeight="1">
      <c r="A423" s="102" t="e">
        <f ca="1">"■ "&amp;B249&amp;" "&amp;H249&amp;" 에서의 영점보정 후 교정데이터"</f>
        <v>#N/A</v>
      </c>
      <c r="B423" s="94"/>
      <c r="C423" s="215"/>
      <c r="D423" s="215"/>
      <c r="E423" s="215"/>
      <c r="F423" s="215"/>
      <c r="G423" s="216"/>
      <c r="H423" s="216"/>
      <c r="I423" s="216"/>
      <c r="K423" s="94"/>
      <c r="L423" s="94"/>
      <c r="M423" s="94"/>
      <c r="N423" s="94"/>
      <c r="O423" s="94"/>
      <c r="P423" s="94"/>
      <c r="Q423" s="94"/>
      <c r="R423" s="94"/>
      <c r="S423" s="94"/>
      <c r="T423" s="94"/>
      <c r="U423" s="94"/>
      <c r="V423" s="94"/>
      <c r="W423" s="94"/>
      <c r="X423" s="94"/>
      <c r="Y423" s="94"/>
      <c r="Z423" s="94"/>
      <c r="AA423" s="94"/>
      <c r="AB423" s="94"/>
      <c r="AC423" s="94"/>
      <c r="AD423" s="94"/>
      <c r="AE423" s="94"/>
      <c r="AF423" s="94"/>
      <c r="AG423" s="94"/>
      <c r="AH423" s="94"/>
      <c r="AI423" s="94"/>
      <c r="AJ423" s="94"/>
      <c r="AK423" s="94"/>
      <c r="AL423" s="94"/>
      <c r="AM423" s="94"/>
      <c r="AN423" s="94"/>
      <c r="AO423" s="94"/>
      <c r="AP423" s="94"/>
      <c r="AQ423" s="94"/>
      <c r="AR423" s="94"/>
      <c r="AS423" s="94"/>
      <c r="AT423" s="94"/>
    </row>
    <row r="424" spans="1:46" s="95" customFormat="1" ht="18" customHeight="1">
      <c r="A424" s="132"/>
      <c r="B424" s="754" t="s">
        <v>57</v>
      </c>
      <c r="C424" s="755"/>
      <c r="D424" s="755"/>
      <c r="E424" s="755"/>
      <c r="F424" s="755"/>
      <c r="G424" s="756"/>
      <c r="H424" s="754" t="s">
        <v>430</v>
      </c>
      <c r="I424" s="755"/>
      <c r="J424" s="755"/>
      <c r="K424" s="755"/>
      <c r="L424" s="755"/>
      <c r="M424" s="756"/>
      <c r="N424" s="753" t="e">
        <f>Calcu!$J$103&amp;"의 출력값 (영점보정)"</f>
        <v>#N/A</v>
      </c>
      <c r="O424" s="753"/>
      <c r="P424" s="753"/>
      <c r="Q424" s="753"/>
      <c r="R424" s="753"/>
      <c r="S424" s="753"/>
      <c r="T424" s="753"/>
      <c r="U424" s="753"/>
      <c r="V424" s="753"/>
      <c r="W424" s="753"/>
      <c r="X424" s="753"/>
      <c r="Y424" s="753"/>
      <c r="Z424" s="753"/>
      <c r="AA424" s="753"/>
      <c r="AB424" s="753"/>
      <c r="AC424" s="753"/>
      <c r="AD424" s="753"/>
      <c r="AE424" s="753"/>
      <c r="AF424" s="753"/>
      <c r="AG424" s="753"/>
      <c r="AH424" s="753"/>
      <c r="AI424" s="753"/>
      <c r="AJ424" s="753"/>
      <c r="AK424" s="753"/>
      <c r="AL424" s="753"/>
      <c r="AM424" s="753"/>
      <c r="AN424" s="753"/>
      <c r="AO424" s="753"/>
      <c r="AP424" s="753"/>
      <c r="AQ424" s="753"/>
      <c r="AR424" s="753"/>
      <c r="AS424" s="753"/>
      <c r="AT424" s="94"/>
    </row>
    <row r="425" spans="1:46" s="95" customFormat="1" ht="18" customHeight="1">
      <c r="A425" s="132"/>
      <c r="B425" s="789"/>
      <c r="C425" s="790"/>
      <c r="D425" s="790"/>
      <c r="E425" s="790"/>
      <c r="F425" s="790"/>
      <c r="G425" s="791"/>
      <c r="H425" s="757"/>
      <c r="I425" s="758"/>
      <c r="J425" s="758"/>
      <c r="K425" s="758"/>
      <c r="L425" s="758"/>
      <c r="M425" s="759"/>
      <c r="N425" s="753" t="s">
        <v>395</v>
      </c>
      <c r="O425" s="753"/>
      <c r="P425" s="753"/>
      <c r="Q425" s="753"/>
      <c r="R425" s="753"/>
      <c r="S425" s="753"/>
      <c r="T425" s="753" t="s">
        <v>66</v>
      </c>
      <c r="U425" s="753"/>
      <c r="V425" s="753"/>
      <c r="W425" s="753"/>
      <c r="X425" s="753"/>
      <c r="Y425" s="753"/>
      <c r="Z425" s="753" t="s">
        <v>94</v>
      </c>
      <c r="AA425" s="753"/>
      <c r="AB425" s="753"/>
      <c r="AC425" s="753"/>
      <c r="AD425" s="753"/>
      <c r="AE425" s="753"/>
      <c r="AF425" s="763" t="s">
        <v>435</v>
      </c>
      <c r="AG425" s="764"/>
      <c r="AH425" s="764"/>
      <c r="AI425" s="764"/>
      <c r="AJ425" s="764"/>
      <c r="AK425" s="764"/>
      <c r="AL425" s="764"/>
      <c r="AM425" s="764"/>
      <c r="AN425" s="764"/>
      <c r="AO425" s="764"/>
      <c r="AP425" s="764"/>
      <c r="AQ425" s="764"/>
      <c r="AR425" s="764"/>
      <c r="AS425" s="765"/>
      <c r="AT425" s="94"/>
    </row>
    <row r="426" spans="1:46" s="95" customFormat="1" ht="18" customHeight="1">
      <c r="A426" s="132"/>
      <c r="B426" s="757"/>
      <c r="C426" s="758"/>
      <c r="D426" s="758"/>
      <c r="E426" s="758"/>
      <c r="F426" s="758"/>
      <c r="G426" s="759"/>
      <c r="H426" s="783">
        <f>G419</f>
        <v>0</v>
      </c>
      <c r="I426" s="784"/>
      <c r="J426" s="784"/>
      <c r="K426" s="784"/>
      <c r="L426" s="784"/>
      <c r="M426" s="785"/>
      <c r="N426" s="783">
        <f>M419</f>
        <v>0</v>
      </c>
      <c r="O426" s="784"/>
      <c r="P426" s="784"/>
      <c r="Q426" s="784"/>
      <c r="R426" s="784"/>
      <c r="S426" s="785"/>
      <c r="T426" s="783">
        <f>R419</f>
        <v>0</v>
      </c>
      <c r="U426" s="784"/>
      <c r="V426" s="784"/>
      <c r="W426" s="784"/>
      <c r="X426" s="784"/>
      <c r="Y426" s="785"/>
      <c r="Z426" s="783">
        <f>W419</f>
        <v>0</v>
      </c>
      <c r="AA426" s="784"/>
      <c r="AB426" s="784"/>
      <c r="AC426" s="784"/>
      <c r="AD426" s="784"/>
      <c r="AE426" s="785"/>
      <c r="AF426" s="783">
        <f>AB419</f>
        <v>0</v>
      </c>
      <c r="AG426" s="784"/>
      <c r="AH426" s="784"/>
      <c r="AI426" s="784"/>
      <c r="AJ426" s="784"/>
      <c r="AK426" s="784"/>
      <c r="AL426" s="785"/>
      <c r="AM426" s="783">
        <f>H426</f>
        <v>0</v>
      </c>
      <c r="AN426" s="781"/>
      <c r="AO426" s="781"/>
      <c r="AP426" s="781"/>
      <c r="AQ426" s="781"/>
      <c r="AR426" s="781"/>
      <c r="AS426" s="782"/>
      <c r="AT426" s="94"/>
    </row>
    <row r="427" spans="1:46" s="95" customFormat="1" ht="18" customHeight="1">
      <c r="A427" s="132"/>
      <c r="B427" s="786" t="e">
        <f>B420</f>
        <v>#N/A</v>
      </c>
      <c r="C427" s="787"/>
      <c r="D427" s="787"/>
      <c r="E427" s="787"/>
      <c r="F427" s="787"/>
      <c r="G427" s="788"/>
      <c r="H427" s="776" t="e">
        <f ca="1">G420</f>
        <v>#N/A</v>
      </c>
      <c r="I427" s="777"/>
      <c r="J427" s="777"/>
      <c r="K427" s="777"/>
      <c r="L427" s="777"/>
      <c r="M427" s="778"/>
      <c r="N427" s="776" t="e">
        <f ca="1">OFFSET(Calcu_ADJ!AA8,B427,0)</f>
        <v>#N/A</v>
      </c>
      <c r="O427" s="777"/>
      <c r="P427" s="777"/>
      <c r="Q427" s="777"/>
      <c r="R427" s="777"/>
      <c r="S427" s="778"/>
      <c r="T427" s="776" t="e">
        <f ca="1">OFFSET(Calcu_ADJ!AB8,B427,0)</f>
        <v>#N/A</v>
      </c>
      <c r="U427" s="777"/>
      <c r="V427" s="777"/>
      <c r="W427" s="777"/>
      <c r="X427" s="777"/>
      <c r="Y427" s="778"/>
      <c r="Z427" s="776" t="e">
        <f ca="1">OFFSET(Calcu_ADJ!AC8,B427,0)</f>
        <v>#N/A</v>
      </c>
      <c r="AA427" s="777"/>
      <c r="AB427" s="777"/>
      <c r="AC427" s="777"/>
      <c r="AD427" s="777"/>
      <c r="AE427" s="778"/>
      <c r="AF427" s="776" t="e">
        <f ca="1">OFFSET(Calcu_ADJ!AD8,B427,0)</f>
        <v>#N/A</v>
      </c>
      <c r="AG427" s="777"/>
      <c r="AH427" s="777"/>
      <c r="AI427" s="777"/>
      <c r="AJ427" s="777"/>
      <c r="AK427" s="777"/>
      <c r="AL427" s="778"/>
      <c r="AM427" s="776" t="e">
        <f ca="1">AF427*AJ$302</f>
        <v>#N/A</v>
      </c>
      <c r="AN427" s="777"/>
      <c r="AO427" s="777"/>
      <c r="AP427" s="777"/>
      <c r="AQ427" s="777"/>
      <c r="AR427" s="777"/>
      <c r="AS427" s="778"/>
      <c r="AT427" s="94"/>
    </row>
    <row r="428" spans="1:46" s="95" customFormat="1" ht="18" customHeight="1">
      <c r="A428" s="132"/>
      <c r="B428" s="811" t="e">
        <f>B421</f>
        <v>#N/A</v>
      </c>
      <c r="C428" s="812"/>
      <c r="D428" s="812"/>
      <c r="E428" s="812"/>
      <c r="F428" s="812"/>
      <c r="G428" s="813"/>
      <c r="H428" s="776" t="e">
        <f ca="1">G421</f>
        <v>#N/A</v>
      </c>
      <c r="I428" s="777"/>
      <c r="J428" s="777"/>
      <c r="K428" s="777"/>
      <c r="L428" s="777"/>
      <c r="M428" s="778"/>
      <c r="N428" s="776" t="e">
        <f ca="1">OFFSET(Calcu_ADJ!AA23,B428,0)</f>
        <v>#N/A</v>
      </c>
      <c r="O428" s="777"/>
      <c r="P428" s="777"/>
      <c r="Q428" s="777"/>
      <c r="R428" s="777"/>
      <c r="S428" s="778"/>
      <c r="T428" s="776" t="e">
        <f ca="1">OFFSET(Calcu_ADJ!AB23,B428,0)</f>
        <v>#N/A</v>
      </c>
      <c r="U428" s="777"/>
      <c r="V428" s="777"/>
      <c r="W428" s="777"/>
      <c r="X428" s="777"/>
      <c r="Y428" s="778"/>
      <c r="Z428" s="776" t="e">
        <f ca="1">OFFSET(Calcu_ADJ!AC23,B428,0)</f>
        <v>#N/A</v>
      </c>
      <c r="AA428" s="777"/>
      <c r="AB428" s="777"/>
      <c r="AC428" s="777"/>
      <c r="AD428" s="777"/>
      <c r="AE428" s="778"/>
      <c r="AF428" s="776" t="e">
        <f ca="1">OFFSET(Calcu_ADJ!AD23,B428,0)</f>
        <v>#N/A</v>
      </c>
      <c r="AG428" s="777"/>
      <c r="AH428" s="777"/>
      <c r="AI428" s="777"/>
      <c r="AJ428" s="777"/>
      <c r="AK428" s="777"/>
      <c r="AL428" s="778"/>
      <c r="AM428" s="776" t="e">
        <f ca="1">AF428*AJ$302</f>
        <v>#N/A</v>
      </c>
      <c r="AN428" s="777"/>
      <c r="AO428" s="777"/>
      <c r="AP428" s="777"/>
      <c r="AQ428" s="777"/>
      <c r="AR428" s="777"/>
      <c r="AS428" s="778"/>
      <c r="AT428" s="94"/>
    </row>
    <row r="429" spans="1:46" s="95" customFormat="1" ht="18" customHeight="1">
      <c r="A429" s="132"/>
      <c r="B429" s="366"/>
      <c r="C429" s="365"/>
      <c r="D429" s="365"/>
      <c r="E429" s="365"/>
      <c r="F429" s="365"/>
      <c r="G429" s="365"/>
      <c r="H429" s="365"/>
      <c r="I429" s="366"/>
      <c r="J429" s="366"/>
      <c r="K429" s="366"/>
      <c r="L429" s="366"/>
      <c r="M429" s="366"/>
      <c r="N429" s="366"/>
      <c r="O429" s="366"/>
      <c r="P429" s="366"/>
      <c r="Q429" s="366"/>
      <c r="R429" s="366"/>
      <c r="S429" s="366"/>
      <c r="T429" s="366"/>
      <c r="U429" s="366"/>
      <c r="V429" s="366"/>
      <c r="W429" s="366"/>
      <c r="X429" s="366"/>
      <c r="Y429" s="366"/>
      <c r="Z429" s="366"/>
      <c r="AA429" s="366"/>
      <c r="AB429" s="366"/>
      <c r="AC429" s="366"/>
      <c r="AD429" s="366"/>
      <c r="AE429" s="366"/>
      <c r="AF429" s="366"/>
      <c r="AG429" s="366"/>
      <c r="AH429" s="366"/>
      <c r="AI429" s="366"/>
      <c r="AJ429" s="366"/>
      <c r="AK429" s="366"/>
      <c r="AL429" s="366"/>
      <c r="AM429" s="366"/>
      <c r="AN429" s="366"/>
      <c r="AO429" s="366"/>
      <c r="AP429" s="366"/>
      <c r="AQ429" s="366"/>
      <c r="AR429" s="366"/>
      <c r="AS429" s="366"/>
      <c r="AT429" s="94"/>
    </row>
    <row r="430" spans="1:46" ht="18" customHeight="1">
      <c r="A430" s="131" t="s">
        <v>436</v>
      </c>
      <c r="B430" s="374"/>
      <c r="C430" s="374"/>
      <c r="D430" s="374"/>
      <c r="E430" s="374"/>
      <c r="F430" s="374"/>
      <c r="G430" s="374"/>
      <c r="H430" s="374"/>
      <c r="I430" s="374"/>
      <c r="J430" s="374"/>
      <c r="K430" s="374"/>
      <c r="L430" s="374"/>
      <c r="M430" s="374"/>
      <c r="N430" s="374"/>
      <c r="O430" s="374"/>
      <c r="P430" s="374"/>
      <c r="Q430" s="374"/>
      <c r="R430" s="374"/>
      <c r="S430" s="374"/>
      <c r="T430" s="374"/>
      <c r="U430" s="374"/>
      <c r="V430" s="374"/>
      <c r="W430" s="374"/>
      <c r="X430" s="374"/>
      <c r="Y430" s="374"/>
      <c r="Z430" s="374"/>
      <c r="AA430" s="374"/>
      <c r="AB430" s="374"/>
      <c r="AC430" s="374"/>
      <c r="AD430" s="374"/>
      <c r="AE430" s="374"/>
      <c r="AF430" s="374"/>
      <c r="AG430" s="374"/>
      <c r="AH430" s="374"/>
      <c r="AI430" s="374"/>
      <c r="AJ430" s="374"/>
      <c r="AK430" s="374"/>
      <c r="AL430" s="374"/>
      <c r="AM430" s="374"/>
      <c r="AN430" s="374"/>
      <c r="AO430" s="374"/>
      <c r="AP430" s="374"/>
      <c r="AQ430" s="374"/>
      <c r="AR430" s="374"/>
      <c r="AS430" s="374"/>
      <c r="AT430" s="374"/>
    </row>
    <row r="431" spans="1:46" ht="18" customHeight="1">
      <c r="A431" s="387"/>
      <c r="B431" s="798"/>
      <c r="C431" s="799"/>
      <c r="D431" s="802"/>
      <c r="E431" s="803"/>
      <c r="F431" s="803"/>
      <c r="G431" s="803"/>
      <c r="H431" s="804"/>
      <c r="I431" s="802">
        <v>1</v>
      </c>
      <c r="J431" s="803"/>
      <c r="K431" s="803"/>
      <c r="L431" s="803"/>
      <c r="M431" s="803"/>
      <c r="N431" s="803"/>
      <c r="O431" s="804"/>
      <c r="P431" s="802">
        <v>2</v>
      </c>
      <c r="Q431" s="803"/>
      <c r="R431" s="803"/>
      <c r="S431" s="803"/>
      <c r="T431" s="803"/>
      <c r="U431" s="803"/>
      <c r="V431" s="803"/>
      <c r="W431" s="804"/>
      <c r="X431" s="802">
        <v>3</v>
      </c>
      <c r="Y431" s="805"/>
      <c r="Z431" s="805"/>
      <c r="AA431" s="805"/>
      <c r="AB431" s="806"/>
      <c r="AC431" s="802">
        <v>4</v>
      </c>
      <c r="AD431" s="803"/>
      <c r="AE431" s="803"/>
      <c r="AF431" s="803"/>
      <c r="AG431" s="804"/>
      <c r="AH431" s="802">
        <v>5</v>
      </c>
      <c r="AI431" s="803"/>
      <c r="AJ431" s="803"/>
      <c r="AK431" s="803"/>
      <c r="AL431" s="803"/>
      <c r="AM431" s="803"/>
      <c r="AN431" s="803"/>
      <c r="AO431" s="804"/>
      <c r="AP431" s="802">
        <v>6</v>
      </c>
      <c r="AQ431" s="807"/>
      <c r="AR431" s="807"/>
      <c r="AS431" s="806"/>
      <c r="AT431" s="374"/>
    </row>
    <row r="432" spans="1:46" ht="18" customHeight="1">
      <c r="A432" s="387"/>
      <c r="B432" s="800"/>
      <c r="C432" s="801"/>
      <c r="D432" s="792" t="s">
        <v>437</v>
      </c>
      <c r="E432" s="793"/>
      <c r="F432" s="793"/>
      <c r="G432" s="793"/>
      <c r="H432" s="794"/>
      <c r="I432" s="792" t="s">
        <v>438</v>
      </c>
      <c r="J432" s="793"/>
      <c r="K432" s="793"/>
      <c r="L432" s="793"/>
      <c r="M432" s="793"/>
      <c r="N432" s="793"/>
      <c r="O432" s="794"/>
      <c r="P432" s="792" t="s">
        <v>138</v>
      </c>
      <c r="Q432" s="793"/>
      <c r="R432" s="793"/>
      <c r="S432" s="793"/>
      <c r="T432" s="793"/>
      <c r="U432" s="793"/>
      <c r="V432" s="793"/>
      <c r="W432" s="794"/>
      <c r="X432" s="792" t="s">
        <v>439</v>
      </c>
      <c r="Y432" s="795"/>
      <c r="Z432" s="795"/>
      <c r="AA432" s="795"/>
      <c r="AB432" s="796"/>
      <c r="AC432" s="792" t="s">
        <v>440</v>
      </c>
      <c r="AD432" s="793"/>
      <c r="AE432" s="793"/>
      <c r="AF432" s="793"/>
      <c r="AG432" s="794"/>
      <c r="AH432" s="792" t="s">
        <v>441</v>
      </c>
      <c r="AI432" s="793"/>
      <c r="AJ432" s="793"/>
      <c r="AK432" s="793"/>
      <c r="AL432" s="793"/>
      <c r="AM432" s="793"/>
      <c r="AN432" s="793"/>
      <c r="AO432" s="794"/>
      <c r="AP432" s="792" t="s">
        <v>139</v>
      </c>
      <c r="AQ432" s="797"/>
      <c r="AR432" s="797"/>
      <c r="AS432" s="796"/>
      <c r="AT432" s="374"/>
    </row>
    <row r="433" spans="1:92" ht="18" customHeight="1">
      <c r="A433" s="387"/>
      <c r="B433" s="800"/>
      <c r="C433" s="801"/>
      <c r="D433" s="808"/>
      <c r="E433" s="809"/>
      <c r="F433" s="809"/>
      <c r="G433" s="809"/>
      <c r="H433" s="810"/>
      <c r="I433" s="827" t="s">
        <v>442</v>
      </c>
      <c r="J433" s="828"/>
      <c r="K433" s="828"/>
      <c r="L433" s="828"/>
      <c r="M433" s="828"/>
      <c r="N433" s="828"/>
      <c r="O433" s="829"/>
      <c r="P433" s="830" t="s">
        <v>443</v>
      </c>
      <c r="Q433" s="831"/>
      <c r="R433" s="831"/>
      <c r="S433" s="831"/>
      <c r="T433" s="831"/>
      <c r="U433" s="831"/>
      <c r="V433" s="831"/>
      <c r="W433" s="832"/>
      <c r="X433" s="833"/>
      <c r="Y433" s="834"/>
      <c r="Z433" s="834"/>
      <c r="AA433" s="834"/>
      <c r="AB433" s="835"/>
      <c r="AC433" s="830" t="s">
        <v>444</v>
      </c>
      <c r="AD433" s="831"/>
      <c r="AE433" s="831"/>
      <c r="AF433" s="831"/>
      <c r="AG433" s="832"/>
      <c r="AH433" s="827" t="s">
        <v>445</v>
      </c>
      <c r="AI433" s="828"/>
      <c r="AJ433" s="828"/>
      <c r="AK433" s="828"/>
      <c r="AL433" s="828"/>
      <c r="AM433" s="828"/>
      <c r="AN433" s="828"/>
      <c r="AO433" s="829"/>
      <c r="AP433" s="833"/>
      <c r="AQ433" s="836"/>
      <c r="AR433" s="836"/>
      <c r="AS433" s="835"/>
      <c r="AT433" s="374"/>
    </row>
    <row r="434" spans="1:92" ht="18" customHeight="1">
      <c r="A434" s="387"/>
      <c r="B434" s="823" t="s">
        <v>140</v>
      </c>
      <c r="C434" s="824"/>
      <c r="D434" s="818" t="s">
        <v>446</v>
      </c>
      <c r="E434" s="819"/>
      <c r="F434" s="819"/>
      <c r="G434" s="819"/>
      <c r="H434" s="820"/>
      <c r="I434" s="814" t="e">
        <f ca="1">G420</f>
        <v>#N/A</v>
      </c>
      <c r="J434" s="815"/>
      <c r="K434" s="815"/>
      <c r="L434" s="815"/>
      <c r="M434" s="816">
        <f>G419</f>
        <v>0</v>
      </c>
      <c r="N434" s="669"/>
      <c r="O434" s="670"/>
      <c r="P434" s="825" t="e">
        <f ca="1">IF(OR(Z249="% of Reading",Z249="% of F.S"),I434*T249%,T249)/AF249</f>
        <v>#N/A</v>
      </c>
      <c r="Q434" s="826"/>
      <c r="R434" s="826"/>
      <c r="S434" s="826"/>
      <c r="T434" s="826"/>
      <c r="U434" s="816">
        <f>M434</f>
        <v>0</v>
      </c>
      <c r="V434" s="816"/>
      <c r="W434" s="817"/>
      <c r="X434" s="802" t="s">
        <v>447</v>
      </c>
      <c r="Y434" s="807"/>
      <c r="Z434" s="807"/>
      <c r="AA434" s="807"/>
      <c r="AB434" s="806"/>
      <c r="AC434" s="706">
        <v>1</v>
      </c>
      <c r="AD434" s="707"/>
      <c r="AE434" s="707"/>
      <c r="AF434" s="707"/>
      <c r="AG434" s="708"/>
      <c r="AH434" s="814" t="e">
        <f ca="1">P434*AC434</f>
        <v>#N/A</v>
      </c>
      <c r="AI434" s="815"/>
      <c r="AJ434" s="815"/>
      <c r="AK434" s="815"/>
      <c r="AL434" s="815"/>
      <c r="AM434" s="816">
        <f>U434</f>
        <v>0</v>
      </c>
      <c r="AN434" s="816"/>
      <c r="AO434" s="817"/>
      <c r="AP434" s="802" t="s">
        <v>448</v>
      </c>
      <c r="AQ434" s="807"/>
      <c r="AR434" s="807"/>
      <c r="AS434" s="806"/>
      <c r="AT434" s="374"/>
    </row>
    <row r="435" spans="1:92" ht="18" customHeight="1">
      <c r="A435" s="387"/>
      <c r="B435" s="798" t="s">
        <v>449</v>
      </c>
      <c r="C435" s="799"/>
      <c r="D435" s="818" t="s">
        <v>450</v>
      </c>
      <c r="E435" s="819"/>
      <c r="F435" s="819"/>
      <c r="G435" s="819"/>
      <c r="H435" s="820"/>
      <c r="I435" s="821" t="e">
        <f ca="1">AH420</f>
        <v>#N/A</v>
      </c>
      <c r="J435" s="822"/>
      <c r="K435" s="822"/>
      <c r="L435" s="822"/>
      <c r="M435" s="816">
        <f>AH419</f>
        <v>0</v>
      </c>
      <c r="N435" s="669"/>
      <c r="O435" s="670"/>
      <c r="P435" s="821" t="e">
        <f ca="1">SQRT(SUMSQ(P436,P437,P438,P439))</f>
        <v>#N/A</v>
      </c>
      <c r="Q435" s="822"/>
      <c r="R435" s="822"/>
      <c r="S435" s="822"/>
      <c r="T435" s="822"/>
      <c r="U435" s="816">
        <f>M435</f>
        <v>0</v>
      </c>
      <c r="V435" s="816"/>
      <c r="W435" s="817"/>
      <c r="X435" s="792" t="s">
        <v>451</v>
      </c>
      <c r="Y435" s="793"/>
      <c r="Z435" s="793"/>
      <c r="AA435" s="793"/>
      <c r="AB435" s="794"/>
      <c r="AC435" s="846">
        <v>-1</v>
      </c>
      <c r="AD435" s="847"/>
      <c r="AE435" s="847"/>
      <c r="AF435" s="847"/>
      <c r="AG435" s="848"/>
      <c r="AH435" s="821" t="e">
        <f ca="1">ABS(P435*AC435)</f>
        <v>#N/A</v>
      </c>
      <c r="AI435" s="822"/>
      <c r="AJ435" s="822"/>
      <c r="AK435" s="822"/>
      <c r="AL435" s="822"/>
      <c r="AM435" s="816">
        <f>U435</f>
        <v>0</v>
      </c>
      <c r="AN435" s="816"/>
      <c r="AO435" s="817"/>
      <c r="AP435" s="792" t="e">
        <f ca="1">IF(AH436/AH435*100&gt;70,AP436,ROUNDDOWN(AH435^4/SUM(AH437^4/AP437,AH438^4/AP438,AH439^4/AP439),0))</f>
        <v>#N/A</v>
      </c>
      <c r="AQ435" s="793"/>
      <c r="AR435" s="793"/>
      <c r="AS435" s="794"/>
      <c r="AT435" s="374"/>
    </row>
    <row r="436" spans="1:92" ht="18" customHeight="1">
      <c r="A436" s="387"/>
      <c r="B436" s="823" t="s">
        <v>142</v>
      </c>
      <c r="C436" s="824"/>
      <c r="D436" s="843" t="s">
        <v>452</v>
      </c>
      <c r="E436" s="844"/>
      <c r="F436" s="844"/>
      <c r="G436" s="844"/>
      <c r="H436" s="845"/>
      <c r="I436" s="698">
        <v>0</v>
      </c>
      <c r="J436" s="699"/>
      <c r="K436" s="699"/>
      <c r="L436" s="699"/>
      <c r="M436" s="699"/>
      <c r="N436" s="699"/>
      <c r="O436" s="700"/>
      <c r="P436" s="814" t="e">
        <f ca="1">N249/2*AJ302</f>
        <v>#N/A</v>
      </c>
      <c r="Q436" s="815"/>
      <c r="R436" s="815"/>
      <c r="S436" s="815"/>
      <c r="T436" s="815"/>
      <c r="U436" s="815"/>
      <c r="V436" s="816">
        <f>U435</f>
        <v>0</v>
      </c>
      <c r="W436" s="817"/>
      <c r="X436" s="840" t="s">
        <v>451</v>
      </c>
      <c r="Y436" s="841"/>
      <c r="Z436" s="841"/>
      <c r="AA436" s="841"/>
      <c r="AB436" s="842"/>
      <c r="AC436" s="837">
        <v>1</v>
      </c>
      <c r="AD436" s="838"/>
      <c r="AE436" s="838"/>
      <c r="AF436" s="838"/>
      <c r="AG436" s="839"/>
      <c r="AH436" s="814" t="e">
        <f ca="1">P436*AC436</f>
        <v>#N/A</v>
      </c>
      <c r="AI436" s="815"/>
      <c r="AJ436" s="815"/>
      <c r="AK436" s="815"/>
      <c r="AL436" s="815"/>
      <c r="AM436" s="815"/>
      <c r="AN436" s="816">
        <f>V436</f>
        <v>0</v>
      </c>
      <c r="AO436" s="817"/>
      <c r="AP436" s="840" t="s">
        <v>141</v>
      </c>
      <c r="AQ436" s="841"/>
      <c r="AR436" s="841"/>
      <c r="AS436" s="842"/>
      <c r="AT436" s="374"/>
    </row>
    <row r="437" spans="1:92" ht="18" customHeight="1">
      <c r="A437" s="387"/>
      <c r="B437" s="823" t="s">
        <v>143</v>
      </c>
      <c r="C437" s="824"/>
      <c r="D437" s="843" t="s">
        <v>453</v>
      </c>
      <c r="E437" s="844"/>
      <c r="F437" s="844"/>
      <c r="G437" s="844"/>
      <c r="H437" s="845"/>
      <c r="I437" s="698">
        <v>0</v>
      </c>
      <c r="J437" s="699"/>
      <c r="K437" s="699"/>
      <c r="L437" s="699"/>
      <c r="M437" s="699"/>
      <c r="N437" s="699"/>
      <c r="O437" s="700"/>
      <c r="P437" s="814" t="e">
        <f ca="1">B251/2/SQRT(3)</f>
        <v>#VALUE!</v>
      </c>
      <c r="Q437" s="815"/>
      <c r="R437" s="815"/>
      <c r="S437" s="815"/>
      <c r="T437" s="815"/>
      <c r="U437" s="815"/>
      <c r="V437" s="816">
        <f>V436</f>
        <v>0</v>
      </c>
      <c r="W437" s="817"/>
      <c r="X437" s="840" t="s">
        <v>454</v>
      </c>
      <c r="Y437" s="841"/>
      <c r="Z437" s="841"/>
      <c r="AA437" s="841"/>
      <c r="AB437" s="842"/>
      <c r="AC437" s="837">
        <v>1</v>
      </c>
      <c r="AD437" s="838"/>
      <c r="AE437" s="838"/>
      <c r="AF437" s="838"/>
      <c r="AG437" s="839"/>
      <c r="AH437" s="814" t="e">
        <f ca="1">P437*AC437</f>
        <v>#VALUE!</v>
      </c>
      <c r="AI437" s="815"/>
      <c r="AJ437" s="815"/>
      <c r="AK437" s="815"/>
      <c r="AL437" s="815"/>
      <c r="AM437" s="815"/>
      <c r="AN437" s="816">
        <f>V437</f>
        <v>0</v>
      </c>
      <c r="AO437" s="817"/>
      <c r="AP437" s="840">
        <f>1/2*(100/20)^2</f>
        <v>12.5</v>
      </c>
      <c r="AQ437" s="841"/>
      <c r="AR437" s="841"/>
      <c r="AS437" s="842"/>
      <c r="AT437" s="374"/>
    </row>
    <row r="438" spans="1:92" ht="18" customHeight="1">
      <c r="A438" s="387"/>
      <c r="B438" s="823" t="s">
        <v>455</v>
      </c>
      <c r="C438" s="824"/>
      <c r="D438" s="843" t="s">
        <v>456</v>
      </c>
      <c r="E438" s="844"/>
      <c r="F438" s="844"/>
      <c r="G438" s="844"/>
      <c r="H438" s="845"/>
      <c r="I438" s="698">
        <v>0</v>
      </c>
      <c r="J438" s="699"/>
      <c r="K438" s="699"/>
      <c r="L438" s="699"/>
      <c r="M438" s="699"/>
      <c r="N438" s="699"/>
      <c r="O438" s="700"/>
      <c r="P438" s="814" t="e">
        <f ca="1">MAX(AM427:AS428)/2/SQRT(3)</f>
        <v>#N/A</v>
      </c>
      <c r="Q438" s="815"/>
      <c r="R438" s="815"/>
      <c r="S438" s="815"/>
      <c r="T438" s="815"/>
      <c r="U438" s="815"/>
      <c r="V438" s="816">
        <f>V437</f>
        <v>0</v>
      </c>
      <c r="W438" s="817"/>
      <c r="X438" s="840" t="s">
        <v>451</v>
      </c>
      <c r="Y438" s="841"/>
      <c r="Z438" s="841"/>
      <c r="AA438" s="841"/>
      <c r="AB438" s="842"/>
      <c r="AC438" s="837">
        <v>1</v>
      </c>
      <c r="AD438" s="838"/>
      <c r="AE438" s="838"/>
      <c r="AF438" s="838"/>
      <c r="AG438" s="839"/>
      <c r="AH438" s="814" t="e">
        <f ca="1">P438*AC438</f>
        <v>#N/A</v>
      </c>
      <c r="AI438" s="815"/>
      <c r="AJ438" s="815"/>
      <c r="AK438" s="815"/>
      <c r="AL438" s="815"/>
      <c r="AM438" s="815"/>
      <c r="AN438" s="816">
        <f>V438</f>
        <v>0</v>
      </c>
      <c r="AO438" s="817"/>
      <c r="AP438" s="840">
        <f>1/2*(100/20)^2</f>
        <v>12.5</v>
      </c>
      <c r="AQ438" s="841"/>
      <c r="AR438" s="841"/>
      <c r="AS438" s="842"/>
      <c r="AT438" s="374"/>
    </row>
    <row r="439" spans="1:92" ht="18" customHeight="1">
      <c r="A439" s="387"/>
      <c r="B439" s="823" t="s">
        <v>458</v>
      </c>
      <c r="C439" s="824"/>
      <c r="D439" s="843" t="s">
        <v>459</v>
      </c>
      <c r="E439" s="844"/>
      <c r="F439" s="844"/>
      <c r="G439" s="844"/>
      <c r="H439" s="845"/>
      <c r="I439" s="698">
        <v>0</v>
      </c>
      <c r="J439" s="699"/>
      <c r="K439" s="699"/>
      <c r="L439" s="699"/>
      <c r="M439" s="699"/>
      <c r="N439" s="699"/>
      <c r="O439" s="700"/>
      <c r="P439" s="814" t="e">
        <f ca="1">ABS(H251/2/SQRT(3))</f>
        <v>#N/A</v>
      </c>
      <c r="Q439" s="815"/>
      <c r="R439" s="815"/>
      <c r="S439" s="815"/>
      <c r="T439" s="815"/>
      <c r="U439" s="815"/>
      <c r="V439" s="816">
        <f>V438</f>
        <v>0</v>
      </c>
      <c r="W439" s="817"/>
      <c r="X439" s="840" t="s">
        <v>451</v>
      </c>
      <c r="Y439" s="841"/>
      <c r="Z439" s="841"/>
      <c r="AA439" s="841"/>
      <c r="AB439" s="842"/>
      <c r="AC439" s="837">
        <v>1</v>
      </c>
      <c r="AD439" s="838"/>
      <c r="AE439" s="838"/>
      <c r="AF439" s="838"/>
      <c r="AG439" s="839"/>
      <c r="AH439" s="814" t="e">
        <f ca="1">ABS(P439*AC439)</f>
        <v>#N/A</v>
      </c>
      <c r="AI439" s="815"/>
      <c r="AJ439" s="815"/>
      <c r="AK439" s="815"/>
      <c r="AL439" s="815"/>
      <c r="AM439" s="815"/>
      <c r="AN439" s="816">
        <f>V439</f>
        <v>0</v>
      </c>
      <c r="AO439" s="817"/>
      <c r="AP439" s="840">
        <f>1/2*(100/20)^2</f>
        <v>12.5</v>
      </c>
      <c r="AQ439" s="841"/>
      <c r="AR439" s="841"/>
      <c r="AS439" s="842"/>
      <c r="AT439" s="374"/>
    </row>
    <row r="440" spans="1:92" ht="18" customHeight="1">
      <c r="A440" s="387"/>
      <c r="B440" s="823" t="s">
        <v>460</v>
      </c>
      <c r="C440" s="824"/>
      <c r="D440" s="818" t="s">
        <v>461</v>
      </c>
      <c r="E440" s="819"/>
      <c r="F440" s="819"/>
      <c r="G440" s="819"/>
      <c r="H440" s="820"/>
      <c r="I440" s="825" t="e">
        <f ca="1">AN420</f>
        <v>#N/A</v>
      </c>
      <c r="J440" s="826"/>
      <c r="K440" s="826"/>
      <c r="L440" s="826"/>
      <c r="M440" s="816">
        <f>AN419</f>
        <v>0</v>
      </c>
      <c r="N440" s="669"/>
      <c r="O440" s="670"/>
      <c r="P440" s="849" t="s">
        <v>462</v>
      </c>
      <c r="Q440" s="850"/>
      <c r="R440" s="850"/>
      <c r="S440" s="850"/>
      <c r="T440" s="850"/>
      <c r="U440" s="850"/>
      <c r="V440" s="850"/>
      <c r="W440" s="851"/>
      <c r="X440" s="802" t="s">
        <v>462</v>
      </c>
      <c r="Y440" s="807"/>
      <c r="Z440" s="807"/>
      <c r="AA440" s="807"/>
      <c r="AB440" s="806"/>
      <c r="AC440" s="706" t="s">
        <v>462</v>
      </c>
      <c r="AD440" s="707"/>
      <c r="AE440" s="707"/>
      <c r="AF440" s="707"/>
      <c r="AG440" s="708"/>
      <c r="AH440" s="814" t="e">
        <f ca="1">SQRT(SUMSQ(AH434,AH435))</f>
        <v>#N/A</v>
      </c>
      <c r="AI440" s="815"/>
      <c r="AJ440" s="815"/>
      <c r="AK440" s="815"/>
      <c r="AL440" s="815"/>
      <c r="AM440" s="816">
        <f>M440</f>
        <v>0</v>
      </c>
      <c r="AN440" s="816"/>
      <c r="AO440" s="817"/>
      <c r="AP440" s="802" t="s">
        <v>464</v>
      </c>
      <c r="AQ440" s="807"/>
      <c r="AR440" s="807"/>
      <c r="AS440" s="806"/>
      <c r="AT440" s="374"/>
      <c r="BD440" s="96"/>
      <c r="BE440" s="96"/>
      <c r="BF440" s="96"/>
      <c r="BG440" s="96"/>
      <c r="BH440" s="97"/>
      <c r="BI440" s="98"/>
      <c r="BJ440" s="98"/>
      <c r="BK440" s="99"/>
      <c r="BL440" s="99"/>
      <c r="BM440" s="99"/>
      <c r="BN440" s="99"/>
      <c r="BO440" s="99"/>
      <c r="BP440" s="99"/>
      <c r="BQ440" s="99"/>
      <c r="BR440" s="99"/>
      <c r="BS440" s="100"/>
      <c r="BT440" s="370"/>
      <c r="BU440" s="370"/>
      <c r="BV440" s="370"/>
      <c r="BW440" s="369"/>
      <c r="BX440" s="101"/>
      <c r="BY440" s="101"/>
      <c r="BZ440" s="101"/>
      <c r="CA440" s="101"/>
      <c r="CB440" s="101"/>
      <c r="CC440" s="130"/>
      <c r="CD440" s="130"/>
      <c r="CE440" s="130"/>
      <c r="CF440" s="130"/>
      <c r="CG440" s="130"/>
      <c r="CH440" s="97"/>
      <c r="CI440" s="98"/>
      <c r="CJ440" s="98"/>
      <c r="CK440" s="100"/>
      <c r="CL440" s="370"/>
      <c r="CM440" s="370"/>
      <c r="CN440" s="369"/>
    </row>
    <row r="441" spans="1:92" s="374" customFormat="1" ht="18" customHeight="1">
      <c r="A441" s="387"/>
    </row>
    <row r="442" spans="1:92" ht="18" customHeight="1">
      <c r="A442" s="102" t="s">
        <v>465</v>
      </c>
      <c r="B442" s="374"/>
      <c r="C442" s="374"/>
      <c r="D442" s="374"/>
      <c r="E442" s="374"/>
      <c r="F442" s="374"/>
      <c r="G442" s="374"/>
      <c r="H442" s="374"/>
      <c r="I442" s="374"/>
      <c r="J442" s="374"/>
      <c r="K442" s="374"/>
      <c r="L442" s="374"/>
      <c r="M442" s="374"/>
      <c r="N442" s="374"/>
      <c r="O442" s="374"/>
      <c r="P442" s="374"/>
      <c r="Q442" s="374"/>
      <c r="R442" s="374"/>
      <c r="S442" s="374"/>
      <c r="T442" s="374"/>
      <c r="U442" s="374"/>
      <c r="V442" s="374"/>
      <c r="W442" s="374"/>
      <c r="X442" s="374"/>
      <c r="Y442" s="374"/>
      <c r="Z442" s="374"/>
      <c r="AA442" s="374"/>
      <c r="AB442" s="374"/>
      <c r="AC442" s="374"/>
      <c r="AD442" s="374"/>
      <c r="AE442" s="374"/>
      <c r="AF442" s="374"/>
      <c r="AG442" s="374"/>
      <c r="AH442" s="374"/>
      <c r="AI442" s="374"/>
      <c r="AJ442" s="374"/>
      <c r="AK442" s="374"/>
      <c r="AL442" s="374"/>
      <c r="AM442" s="374"/>
      <c r="AN442" s="374"/>
      <c r="AO442" s="374"/>
      <c r="AP442" s="374"/>
      <c r="AQ442" s="374"/>
      <c r="AR442" s="374"/>
      <c r="AS442" s="374"/>
      <c r="AT442" s="374"/>
    </row>
    <row r="443" spans="1:92" ht="18" customHeight="1">
      <c r="A443" s="102"/>
      <c r="B443" s="102" t="s">
        <v>466</v>
      </c>
      <c r="C443" s="374"/>
      <c r="D443" s="374"/>
      <c r="E443" s="374"/>
      <c r="F443" s="374"/>
      <c r="G443" s="374"/>
      <c r="H443" s="374"/>
      <c r="I443" s="374"/>
      <c r="J443" s="374"/>
      <c r="K443" s="374"/>
      <c r="L443" s="374"/>
      <c r="M443" s="374"/>
      <c r="N443" s="374"/>
      <c r="O443" s="374"/>
      <c r="P443" s="374"/>
      <c r="Q443" s="374"/>
      <c r="R443" s="374"/>
      <c r="S443" s="374"/>
      <c r="T443" s="374"/>
      <c r="U443" s="374"/>
      <c r="V443" s="374"/>
      <c r="W443" s="374"/>
      <c r="X443" s="374"/>
      <c r="Y443" s="374"/>
      <c r="Z443" s="374"/>
      <c r="AA443" s="374"/>
      <c r="AB443" s="374"/>
      <c r="AC443" s="374"/>
      <c r="AD443" s="374"/>
      <c r="AE443" s="374"/>
      <c r="AF443" s="374"/>
      <c r="AG443" s="374"/>
      <c r="AH443" s="374"/>
      <c r="AI443" s="374"/>
      <c r="AJ443" s="374"/>
      <c r="AK443" s="374"/>
      <c r="AL443" s="374"/>
      <c r="AM443" s="374"/>
      <c r="AN443" s="374"/>
      <c r="AO443" s="374"/>
      <c r="AP443" s="374"/>
      <c r="AQ443" s="374"/>
      <c r="AR443" s="374"/>
      <c r="AS443" s="374"/>
      <c r="AT443" s="374"/>
    </row>
    <row r="444" spans="1:92" ht="18" customHeight="1">
      <c r="A444" s="102"/>
      <c r="B444" s="374" t="s">
        <v>467</v>
      </c>
      <c r="C444" s="374"/>
      <c r="D444" s="374"/>
      <c r="E444" s="374"/>
      <c r="F444" s="374"/>
      <c r="G444" s="853" t="e">
        <f ca="1">I434</f>
        <v>#N/A</v>
      </c>
      <c r="H444" s="853"/>
      <c r="I444" s="853"/>
      <c r="J444" s="853"/>
      <c r="K444" s="853"/>
      <c r="L444" s="855">
        <f>M434</f>
        <v>0</v>
      </c>
      <c r="M444" s="855"/>
      <c r="N444" s="855"/>
      <c r="O444" s="855"/>
      <c r="P444" s="855"/>
      <c r="Q444" s="855"/>
      <c r="R444" s="374"/>
      <c r="S444" s="374"/>
      <c r="T444" s="374"/>
      <c r="U444" s="374"/>
      <c r="V444" s="374"/>
      <c r="W444" s="374"/>
      <c r="X444" s="374"/>
      <c r="Y444" s="374"/>
      <c r="Z444" s="374"/>
      <c r="AA444" s="374"/>
      <c r="AB444" s="374"/>
      <c r="AC444" s="374"/>
      <c r="AD444" s="374"/>
      <c r="AE444" s="374"/>
      <c r="AF444" s="374"/>
      <c r="AG444" s="374"/>
      <c r="AH444" s="374"/>
      <c r="AI444" s="374"/>
      <c r="AJ444" s="374"/>
      <c r="AK444" s="374"/>
      <c r="AL444" s="374"/>
      <c r="AM444" s="374"/>
      <c r="AN444" s="374"/>
      <c r="AO444" s="374"/>
      <c r="AP444" s="374"/>
      <c r="AQ444" s="374"/>
      <c r="AR444" s="374"/>
      <c r="AS444" s="374"/>
      <c r="AT444" s="374"/>
    </row>
    <row r="445" spans="1:92" ht="18" customHeight="1">
      <c r="A445" s="102"/>
      <c r="B445" s="374"/>
      <c r="C445" s="374"/>
      <c r="D445" s="374"/>
      <c r="E445" s="374"/>
      <c r="F445" s="374"/>
      <c r="G445" s="220" t="s">
        <v>144</v>
      </c>
      <c r="H445" s="373"/>
      <c r="I445" s="373"/>
      <c r="J445" s="373"/>
      <c r="K445" s="373"/>
      <c r="L445" s="375"/>
      <c r="M445" s="375"/>
      <c r="N445" s="375"/>
      <c r="O445" s="375"/>
      <c r="P445" s="375"/>
      <c r="Q445" s="375"/>
      <c r="R445" s="374"/>
      <c r="S445" s="374"/>
      <c r="T445" s="374"/>
      <c r="U445" s="374"/>
      <c r="V445" s="374"/>
      <c r="W445" s="374"/>
      <c r="X445" s="374"/>
      <c r="Y445" s="374"/>
      <c r="Z445" s="374"/>
      <c r="AA445" s="374"/>
      <c r="AB445" s="374"/>
      <c r="AC445" s="374"/>
      <c r="AD445" s="374"/>
      <c r="AE445" s="374"/>
      <c r="AF445" s="374"/>
      <c r="AG445" s="374"/>
      <c r="AH445" s="374"/>
      <c r="AI445" s="374"/>
      <c r="AJ445" s="374"/>
      <c r="AK445" s="374"/>
      <c r="AL445" s="374"/>
      <c r="AM445" s="374"/>
      <c r="AN445" s="374"/>
      <c r="AO445" s="374"/>
      <c r="AP445" s="374"/>
      <c r="AQ445" s="374"/>
      <c r="AR445" s="374"/>
      <c r="AS445" s="374"/>
      <c r="AT445" s="374"/>
    </row>
    <row r="446" spans="1:92" ht="18" customHeight="1">
      <c r="A446" s="102"/>
      <c r="B446" s="374"/>
      <c r="C446" s="374"/>
      <c r="D446" s="374"/>
      <c r="E446" s="374"/>
      <c r="F446" s="374"/>
      <c r="G446" s="374" t="s">
        <v>145</v>
      </c>
      <c r="H446" s="374"/>
      <c r="I446" s="374"/>
      <c r="J446" s="374"/>
      <c r="K446" s="374"/>
      <c r="L446" s="374"/>
      <c r="M446" s="374"/>
      <c r="N446" s="374"/>
      <c r="O446" s="374"/>
      <c r="P446" s="374"/>
      <c r="Q446" s="374"/>
      <c r="R446" s="374"/>
      <c r="S446" s="374"/>
      <c r="T446" s="374"/>
      <c r="U446" s="103"/>
      <c r="V446" s="103"/>
      <c r="W446" s="103"/>
      <c r="X446" s="374"/>
      <c r="Y446" s="104"/>
      <c r="Z446" s="104"/>
      <c r="AA446" s="104"/>
      <c r="AB446" s="104"/>
      <c r="AC446" s="104"/>
      <c r="AD446" s="374"/>
      <c r="AE446" s="374"/>
      <c r="AF446" s="374"/>
      <c r="AG446" s="374"/>
      <c r="AH446" s="374"/>
      <c r="AI446" s="374"/>
      <c r="AJ446" s="374"/>
      <c r="AK446" s="374"/>
      <c r="AL446" s="374"/>
      <c r="AM446" s="374"/>
      <c r="AN446" s="374"/>
      <c r="AO446" s="374"/>
      <c r="AP446" s="374"/>
      <c r="AQ446" s="374"/>
      <c r="AR446" s="374"/>
      <c r="AS446" s="374"/>
      <c r="AT446" s="374"/>
    </row>
    <row r="447" spans="1:92" ht="18" customHeight="1">
      <c r="A447" s="102"/>
      <c r="B447" s="374"/>
      <c r="C447" s="374"/>
      <c r="D447" s="374"/>
      <c r="E447" s="374"/>
      <c r="F447" s="374"/>
      <c r="G447" s="374"/>
      <c r="H447" s="374"/>
      <c r="I447" s="374"/>
      <c r="J447" s="374"/>
      <c r="K447" s="374"/>
      <c r="L447" s="374"/>
      <c r="M447" s="374"/>
      <c r="N447" s="374"/>
      <c r="O447" s="374"/>
      <c r="P447" s="374"/>
      <c r="Q447" s="374"/>
      <c r="R447" s="374"/>
      <c r="S447" s="374"/>
      <c r="T447" s="374"/>
      <c r="U447" s="103"/>
      <c r="V447" s="103"/>
      <c r="W447" s="103"/>
      <c r="X447" s="374"/>
      <c r="Y447" s="104"/>
      <c r="Z447" s="104"/>
      <c r="AA447" s="104"/>
      <c r="AB447" s="104"/>
      <c r="AC447" s="104"/>
      <c r="AD447" s="374"/>
      <c r="AE447" s="374"/>
      <c r="AF447" s="374"/>
      <c r="AG447" s="374"/>
      <c r="AH447" s="374"/>
      <c r="AI447" s="374"/>
      <c r="AJ447" s="374"/>
      <c r="AK447" s="374"/>
      <c r="AL447" s="374"/>
      <c r="AM447" s="374"/>
      <c r="AN447" s="374"/>
      <c r="AO447" s="374"/>
      <c r="AP447" s="374"/>
      <c r="AQ447" s="374"/>
      <c r="AR447" s="374"/>
      <c r="AS447" s="374"/>
      <c r="AT447" s="374"/>
    </row>
    <row r="448" spans="1:92" ht="18" customHeight="1">
      <c r="A448" s="102"/>
      <c r="B448" s="374"/>
      <c r="C448" s="374"/>
      <c r="D448" s="374"/>
      <c r="E448" s="374"/>
      <c r="F448" s="374"/>
      <c r="G448" s="374"/>
      <c r="H448" s="374"/>
      <c r="I448" s="374"/>
      <c r="J448" s="374"/>
      <c r="K448" s="374"/>
      <c r="L448" s="374"/>
      <c r="M448" s="374"/>
      <c r="N448" s="374"/>
      <c r="O448" s="374"/>
      <c r="P448" s="374"/>
      <c r="Q448" s="374"/>
      <c r="R448" s="374"/>
      <c r="S448" s="374"/>
      <c r="T448" s="374"/>
      <c r="U448" s="103"/>
      <c r="V448" s="103"/>
      <c r="W448" s="103"/>
      <c r="X448" s="374"/>
      <c r="Y448" s="104"/>
      <c r="Z448" s="104"/>
      <c r="AE448" s="852" t="e">
        <f ca="1">G444</f>
        <v>#N/A</v>
      </c>
      <c r="AF448" s="852"/>
      <c r="AG448" s="852"/>
      <c r="AH448" s="852"/>
      <c r="AI448" s="853">
        <f>L444</f>
        <v>0</v>
      </c>
      <c r="AJ448" s="853"/>
      <c r="AK448" s="853"/>
      <c r="AL448" s="374"/>
      <c r="AM448" s="374"/>
      <c r="AN448" s="374"/>
      <c r="AO448" s="374"/>
      <c r="AP448" s="374"/>
      <c r="AQ448" s="374"/>
      <c r="AR448" s="374"/>
      <c r="AS448" s="374"/>
      <c r="AT448" s="374"/>
    </row>
    <row r="449" spans="1:47" ht="18" customHeight="1">
      <c r="A449" s="102"/>
      <c r="B449" s="374"/>
      <c r="C449" s="374"/>
      <c r="D449" s="374"/>
      <c r="E449" s="374"/>
      <c r="F449" s="374"/>
      <c r="G449" s="374"/>
      <c r="H449" s="374"/>
      <c r="I449" s="374"/>
      <c r="J449" s="374"/>
      <c r="K449" s="374"/>
      <c r="L449" s="374"/>
      <c r="M449" s="374"/>
      <c r="N449" s="374"/>
      <c r="O449" s="374"/>
      <c r="P449" s="374"/>
      <c r="Q449" s="374"/>
      <c r="R449" s="374"/>
      <c r="S449" s="374"/>
      <c r="T449" s="374"/>
      <c r="U449" s="103"/>
      <c r="V449" s="103"/>
      <c r="W449" s="103"/>
      <c r="X449" s="374"/>
      <c r="Y449" s="104"/>
      <c r="Z449" s="104"/>
      <c r="AE449" s="852"/>
      <c r="AF449" s="852"/>
      <c r="AG449" s="852"/>
      <c r="AH449" s="852"/>
      <c r="AI449" s="853"/>
      <c r="AJ449" s="853"/>
      <c r="AK449" s="853"/>
      <c r="AL449" s="374"/>
      <c r="AM449" s="374"/>
      <c r="AN449" s="374"/>
      <c r="AO449" s="374"/>
      <c r="AP449" s="374"/>
      <c r="AQ449" s="374"/>
      <c r="AR449" s="374"/>
      <c r="AS449" s="374"/>
      <c r="AT449" s="374"/>
    </row>
    <row r="450" spans="1:47" ht="18" customHeight="1">
      <c r="A450" s="102"/>
      <c r="B450" s="374"/>
      <c r="C450" s="374"/>
      <c r="D450" s="374"/>
      <c r="E450" s="374"/>
      <c r="F450" s="374"/>
      <c r="G450" s="220" t="s">
        <v>468</v>
      </c>
      <c r="H450" s="374"/>
      <c r="I450" s="374"/>
      <c r="J450" s="374"/>
      <c r="K450" s="374"/>
      <c r="L450" s="374"/>
      <c r="M450" s="374"/>
      <c r="N450" s="374"/>
      <c r="O450" s="374"/>
      <c r="P450" s="374"/>
      <c r="Q450" s="374"/>
      <c r="R450" s="374"/>
      <c r="S450" s="374"/>
      <c r="T450" s="374"/>
      <c r="U450" s="103"/>
      <c r="V450" s="103"/>
      <c r="W450" s="103"/>
      <c r="X450" s="374"/>
      <c r="Y450" s="104"/>
      <c r="Z450" s="104"/>
      <c r="AH450" s="374"/>
      <c r="AI450" s="374"/>
      <c r="AJ450" s="374"/>
      <c r="AK450" s="374"/>
      <c r="AL450" s="374"/>
      <c r="AM450" s="374"/>
      <c r="AN450" s="374"/>
      <c r="AO450" s="374"/>
      <c r="AP450" s="374"/>
      <c r="AQ450" s="374"/>
      <c r="AR450" s="374"/>
      <c r="AS450" s="374"/>
      <c r="AT450" s="374"/>
    </row>
    <row r="451" spans="1:47" ht="18" customHeight="1">
      <c r="A451" s="102"/>
      <c r="B451" s="374"/>
      <c r="C451" s="374"/>
      <c r="D451" s="374"/>
      <c r="E451" s="374"/>
      <c r="F451" s="374"/>
      <c r="G451" s="374" t="s">
        <v>469</v>
      </c>
      <c r="H451" s="374"/>
      <c r="I451" s="374"/>
      <c r="J451" s="374"/>
      <c r="K451" s="374"/>
      <c r="L451" s="374"/>
      <c r="M451" s="374"/>
      <c r="N451" s="374"/>
      <c r="O451" s="374"/>
      <c r="P451" s="374"/>
      <c r="Q451" s="374"/>
      <c r="R451" s="374"/>
      <c r="S451" s="374"/>
      <c r="T451" s="374"/>
      <c r="U451" s="103"/>
      <c r="V451" s="103"/>
      <c r="W451" s="103"/>
      <c r="X451" s="374"/>
      <c r="Y451" s="104"/>
      <c r="Z451" s="104"/>
      <c r="AH451" s="374"/>
      <c r="AI451" s="374"/>
      <c r="AJ451" s="374"/>
      <c r="AK451" s="374"/>
      <c r="AL451" s="374"/>
      <c r="AM451" s="374"/>
      <c r="AN451" s="374"/>
      <c r="AO451" s="374"/>
      <c r="AP451" s="374"/>
      <c r="AQ451" s="374"/>
      <c r="AR451" s="374"/>
      <c r="AS451" s="374"/>
      <c r="AT451" s="374"/>
    </row>
    <row r="452" spans="1:47" ht="18" customHeight="1">
      <c r="A452" s="102"/>
      <c r="B452" s="374"/>
      <c r="C452" s="374"/>
      <c r="D452" s="374"/>
      <c r="E452" s="374"/>
      <c r="F452" s="374"/>
      <c r="G452" s="374"/>
      <c r="H452" s="374"/>
      <c r="I452" s="374"/>
      <c r="J452" s="374"/>
      <c r="K452" s="107" t="s">
        <v>409</v>
      </c>
      <c r="N452" s="853" t="e">
        <f ca="1">G444</f>
        <v>#N/A</v>
      </c>
      <c r="O452" s="853"/>
      <c r="P452" s="853"/>
      <c r="Q452" s="853"/>
      <c r="R452" s="853">
        <f>L444</f>
        <v>0</v>
      </c>
      <c r="S452" s="853"/>
      <c r="T452" s="853"/>
      <c r="U452" s="103"/>
      <c r="V452" s="103"/>
      <c r="W452" s="103"/>
      <c r="X452" s="374"/>
      <c r="Y452" s="104"/>
      <c r="Z452" s="104"/>
      <c r="AA452" s="371"/>
      <c r="AB452" s="371"/>
      <c r="AJ452" s="374"/>
      <c r="AK452" s="374"/>
      <c r="AL452" s="374"/>
      <c r="AM452" s="374"/>
      <c r="AN452" s="374"/>
      <c r="AO452" s="374"/>
      <c r="AP452" s="374"/>
      <c r="AQ452" s="374"/>
      <c r="AR452" s="374"/>
      <c r="AS452" s="374"/>
      <c r="AT452" s="374"/>
    </row>
    <row r="453" spans="1:47" ht="18" customHeight="1">
      <c r="A453" s="102"/>
      <c r="B453" s="374"/>
      <c r="C453" s="374"/>
      <c r="D453" s="374"/>
      <c r="E453" s="374"/>
      <c r="F453" s="374"/>
      <c r="G453" s="387"/>
      <c r="H453" s="374"/>
      <c r="I453" s="93" t="s">
        <v>470</v>
      </c>
      <c r="J453" s="372" t="s">
        <v>409</v>
      </c>
      <c r="K453" s="374" t="s">
        <v>64</v>
      </c>
      <c r="L453" s="374"/>
      <c r="M453" s="374"/>
      <c r="N453" s="374"/>
      <c r="O453" s="374"/>
      <c r="P453" s="374"/>
      <c r="Q453" s="374"/>
      <c r="R453" s="374"/>
      <c r="S453" s="374"/>
      <c r="T453" s="374"/>
      <c r="U453" s="374"/>
      <c r="V453" s="103"/>
      <c r="W453" s="103"/>
      <c r="X453" s="103"/>
      <c r="Y453" s="374"/>
      <c r="Z453" s="104"/>
      <c r="AA453" s="104"/>
      <c r="AB453" s="371"/>
      <c r="AC453" s="371"/>
      <c r="AD453" s="371"/>
      <c r="AE453" s="371"/>
      <c r="AF453" s="373"/>
      <c r="AG453" s="373"/>
      <c r="AH453" s="373"/>
      <c r="AI453" s="374"/>
      <c r="AJ453" s="374"/>
      <c r="AK453" s="374"/>
      <c r="AL453" s="374"/>
      <c r="AM453" s="374"/>
      <c r="AN453" s="374"/>
      <c r="AO453" s="374"/>
      <c r="AP453" s="374"/>
      <c r="AQ453" s="374"/>
      <c r="AR453" s="374"/>
      <c r="AS453" s="374"/>
      <c r="AT453" s="374"/>
      <c r="AU453" s="374"/>
    </row>
    <row r="454" spans="1:47" ht="18" customHeight="1">
      <c r="A454" s="102"/>
      <c r="B454" s="374"/>
      <c r="C454" s="374"/>
      <c r="D454" s="374"/>
      <c r="E454" s="374"/>
      <c r="F454" s="374"/>
      <c r="G454" s="387"/>
      <c r="H454" s="374"/>
      <c r="I454" s="93" t="s">
        <v>471</v>
      </c>
      <c r="J454" s="372" t="s">
        <v>409</v>
      </c>
      <c r="K454" s="854" t="e">
        <f ca="1">AL8</f>
        <v>#N/A</v>
      </c>
      <c r="L454" s="854"/>
      <c r="M454" s="854"/>
      <c r="N454" s="854"/>
      <c r="O454" s="854"/>
      <c r="P454" s="854"/>
      <c r="Q454" s="854"/>
      <c r="R454" s="374"/>
      <c r="S454" s="374"/>
      <c r="T454" s="374"/>
      <c r="U454" s="374"/>
      <c r="V454" s="103"/>
      <c r="W454" s="103"/>
      <c r="X454" s="103"/>
      <c r="Y454" s="374"/>
      <c r="Z454" s="104"/>
      <c r="AA454" s="104"/>
      <c r="AB454" s="371"/>
      <c r="AC454" s="371"/>
      <c r="AD454" s="371"/>
      <c r="AE454" s="371"/>
      <c r="AF454" s="373"/>
      <c r="AG454" s="373"/>
      <c r="AH454" s="373"/>
      <c r="AI454" s="374"/>
      <c r="AJ454" s="374"/>
      <c r="AK454" s="374"/>
      <c r="AL454" s="374"/>
      <c r="AM454" s="374"/>
      <c r="AN454" s="374"/>
      <c r="AO454" s="374"/>
      <c r="AP454" s="374"/>
      <c r="AQ454" s="374"/>
      <c r="AR454" s="374"/>
      <c r="AS454" s="374"/>
      <c r="AT454" s="374"/>
      <c r="AU454" s="374"/>
    </row>
    <row r="455" spans="1:47" ht="18" customHeight="1">
      <c r="A455" s="102"/>
      <c r="B455" s="374"/>
      <c r="C455" s="374"/>
      <c r="D455" s="374"/>
      <c r="E455" s="374"/>
      <c r="F455" s="374"/>
      <c r="G455" s="387"/>
      <c r="H455" s="374"/>
      <c r="I455" s="93" t="s">
        <v>209</v>
      </c>
      <c r="J455" s="372" t="s">
        <v>409</v>
      </c>
      <c r="K455" s="854" t="e">
        <f ca="1">AR8</f>
        <v>#N/A</v>
      </c>
      <c r="L455" s="854"/>
      <c r="M455" s="854"/>
      <c r="N455" s="854"/>
      <c r="O455" s="854"/>
      <c r="P455" s="854"/>
      <c r="Q455" s="854"/>
      <c r="R455" s="374"/>
      <c r="S455" s="374"/>
      <c r="T455" s="374"/>
      <c r="U455" s="374"/>
      <c r="V455" s="103"/>
      <c r="W455" s="103"/>
      <c r="X455" s="103"/>
      <c r="Y455" s="374"/>
      <c r="Z455" s="104"/>
      <c r="AA455" s="104"/>
      <c r="AB455" s="371"/>
      <c r="AC455" s="371"/>
      <c r="AD455" s="371"/>
      <c r="AE455" s="371"/>
      <c r="AF455" s="373"/>
      <c r="AG455" s="373"/>
      <c r="AH455" s="373"/>
      <c r="AI455" s="374"/>
      <c r="AJ455" s="374"/>
      <c r="AK455" s="374"/>
      <c r="AL455" s="374"/>
      <c r="AM455" s="374"/>
      <c r="AN455" s="374"/>
      <c r="AO455" s="374"/>
      <c r="AP455" s="374"/>
      <c r="AQ455" s="374"/>
      <c r="AR455" s="374"/>
      <c r="AS455" s="374"/>
      <c r="AT455" s="374"/>
      <c r="AU455" s="374"/>
    </row>
    <row r="456" spans="1:47" ht="18" customHeight="1">
      <c r="A456" s="102"/>
      <c r="B456" s="374"/>
      <c r="C456" s="374"/>
      <c r="D456" s="374"/>
      <c r="E456" s="374"/>
      <c r="F456" s="374"/>
      <c r="G456" s="387"/>
      <c r="H456" s="374"/>
      <c r="I456" s="93" t="s">
        <v>472</v>
      </c>
      <c r="J456" s="372" t="s">
        <v>409</v>
      </c>
      <c r="K456" s="368" t="s">
        <v>473</v>
      </c>
      <c r="L456" s="368"/>
      <c r="M456" s="368"/>
      <c r="N456" s="368"/>
      <c r="O456" s="368"/>
      <c r="P456" s="368"/>
      <c r="Q456" s="368"/>
      <c r="R456" s="374"/>
      <c r="S456" s="374"/>
      <c r="T456" s="374"/>
      <c r="U456" s="374"/>
      <c r="V456" s="103"/>
      <c r="W456" s="103"/>
      <c r="X456" s="103"/>
      <c r="Y456" s="374"/>
      <c r="Z456" s="104"/>
      <c r="AA456" s="104"/>
      <c r="AB456" s="371"/>
      <c r="AC456" s="371"/>
      <c r="AD456" s="371"/>
      <c r="AE456" s="371"/>
      <c r="AF456" s="373"/>
      <c r="AG456" s="373"/>
      <c r="AH456" s="373"/>
      <c r="AI456" s="374"/>
      <c r="AJ456" s="374"/>
      <c r="AK456" s="374"/>
      <c r="AL456" s="374"/>
      <c r="AM456" s="374"/>
      <c r="AN456" s="374"/>
      <c r="AO456" s="374"/>
      <c r="AP456" s="374"/>
      <c r="AQ456" s="374"/>
      <c r="AR456" s="374"/>
      <c r="AS456" s="374"/>
      <c r="AT456" s="374"/>
      <c r="AU456" s="374"/>
    </row>
    <row r="457" spans="1:47" ht="18" customHeight="1">
      <c r="A457" s="102"/>
      <c r="B457" s="220" t="s">
        <v>714</v>
      </c>
      <c r="C457" s="408"/>
      <c r="D457" s="408"/>
      <c r="E457" s="408"/>
      <c r="F457" s="408"/>
      <c r="G457" s="408"/>
      <c r="H457" s="408"/>
      <c r="I457" s="93"/>
      <c r="J457" s="405"/>
      <c r="K457" s="406"/>
      <c r="L457" s="406"/>
      <c r="M457" s="406"/>
      <c r="N457" s="406"/>
      <c r="O457" s="406"/>
      <c r="P457" s="406"/>
      <c r="Q457" s="406"/>
      <c r="R457" s="408"/>
      <c r="S457" s="408"/>
      <c r="T457" s="408"/>
      <c r="U457" s="408"/>
      <c r="V457" s="103"/>
      <c r="W457" s="103"/>
      <c r="X457" s="103"/>
      <c r="Y457" s="408"/>
      <c r="Z457" s="104"/>
      <c r="AA457" s="104"/>
      <c r="AB457" s="404"/>
      <c r="AC457" s="404"/>
      <c r="AD457" s="404"/>
      <c r="AE457" s="404"/>
      <c r="AF457" s="407"/>
      <c r="AG457" s="407"/>
      <c r="AH457" s="407"/>
      <c r="AI457" s="408"/>
      <c r="AJ457" s="408"/>
      <c r="AK457" s="408"/>
      <c r="AL457" s="408"/>
      <c r="AM457" s="408"/>
      <c r="AN457" s="408"/>
      <c r="AO457" s="408"/>
      <c r="AP457" s="408"/>
      <c r="AQ457" s="408"/>
      <c r="AR457" s="408"/>
      <c r="AS457" s="408"/>
      <c r="AT457" s="408"/>
      <c r="AU457" s="408"/>
    </row>
    <row r="458" spans="1:47" ht="18" customHeight="1">
      <c r="A458" s="102"/>
      <c r="B458" s="374" t="s">
        <v>474</v>
      </c>
      <c r="C458" s="374"/>
      <c r="D458" s="374"/>
      <c r="E458" s="374"/>
      <c r="F458" s="374"/>
      <c r="G458" s="374"/>
      <c r="H458" s="374"/>
      <c r="I458" s="374" t="e">
        <f ca="1">"※ 표준기의 불확도 평가결과에서 계산된 측정불확도는 "&amp;TRIM(TEXT(T249,"0.### ###"))&amp;" "&amp;Z249&amp;" 이고,"</f>
        <v>#N/A</v>
      </c>
      <c r="J458" s="374"/>
      <c r="K458" s="374"/>
      <c r="L458" s="374"/>
      <c r="M458" s="374"/>
      <c r="N458" s="374"/>
      <c r="O458" s="374"/>
      <c r="P458" s="374"/>
      <c r="Q458" s="374"/>
      <c r="R458" s="374"/>
      <c r="S458" s="374"/>
      <c r="T458" s="374"/>
      <c r="U458" s="105"/>
      <c r="V458" s="105"/>
      <c r="W458" s="105"/>
      <c r="X458" s="374"/>
      <c r="Y458" s="106"/>
      <c r="Z458" s="106"/>
      <c r="AA458" s="106"/>
      <c r="AB458" s="104"/>
      <c r="AC458" s="104"/>
      <c r="AD458" s="374"/>
      <c r="AE458" s="374"/>
      <c r="AF458" s="374"/>
      <c r="AG458" s="374"/>
      <c r="AH458" s="374"/>
      <c r="AI458" s="374"/>
      <c r="AJ458" s="374"/>
      <c r="AK458" s="374"/>
      <c r="AL458" s="374"/>
      <c r="AM458" s="374"/>
      <c r="AN458" s="374"/>
      <c r="AO458" s="374"/>
      <c r="AP458" s="374"/>
      <c r="AQ458" s="374"/>
      <c r="AR458" s="374"/>
      <c r="AS458" s="374"/>
      <c r="AT458" s="374"/>
    </row>
    <row r="459" spans="1:47" ht="18" customHeight="1">
      <c r="A459" s="102"/>
      <c r="B459" s="374"/>
      <c r="C459" s="374"/>
      <c r="D459" s="374"/>
      <c r="E459" s="374"/>
      <c r="F459" s="374"/>
      <c r="G459" s="374"/>
      <c r="H459" s="374"/>
      <c r="I459" s="374"/>
      <c r="J459" s="374" t="e">
        <f ca="1">"표준기 압력값은 "&amp;TEXT(O460,"0.000000")&amp;" "&amp;L444&amp;" 이므로 아래와 같이 계산된다."</f>
        <v>#N/A</v>
      </c>
      <c r="K459" s="374"/>
      <c r="L459" s="374"/>
      <c r="M459" s="374"/>
      <c r="N459" s="374"/>
      <c r="O459" s="374"/>
      <c r="P459" s="374"/>
      <c r="Q459" s="374"/>
      <c r="R459" s="374"/>
      <c r="S459" s="374"/>
      <c r="T459" s="374"/>
      <c r="U459" s="105"/>
      <c r="V459" s="105"/>
      <c r="W459" s="105"/>
      <c r="X459" s="374"/>
      <c r="Y459" s="106"/>
      <c r="Z459" s="106"/>
      <c r="AA459" s="106"/>
      <c r="AB459" s="104"/>
      <c r="AC459" s="104"/>
      <c r="AD459" s="374"/>
      <c r="AE459" s="374"/>
      <c r="AF459" s="374"/>
      <c r="AG459" s="374"/>
      <c r="AH459" s="374"/>
      <c r="AI459" s="374"/>
      <c r="AJ459" s="374"/>
      <c r="AK459" s="374"/>
      <c r="AL459" s="374"/>
      <c r="AM459" s="374"/>
      <c r="AN459" s="374"/>
      <c r="AO459" s="374"/>
      <c r="AP459" s="374"/>
      <c r="AQ459" s="374"/>
      <c r="AR459" s="374"/>
      <c r="AS459" s="374"/>
      <c r="AT459" s="374"/>
    </row>
    <row r="460" spans="1:47" ht="18" customHeight="1">
      <c r="A460" s="102"/>
      <c r="B460" s="374"/>
      <c r="C460" s="374"/>
      <c r="D460" s="374"/>
      <c r="E460" s="374"/>
      <c r="F460" s="374"/>
      <c r="G460" s="387"/>
      <c r="H460" s="374"/>
      <c r="I460" s="374"/>
      <c r="J460" s="374"/>
      <c r="K460" s="374"/>
      <c r="L460" s="374"/>
      <c r="M460" s="374"/>
      <c r="N460" s="374"/>
      <c r="O460" s="852" t="e">
        <f ca="1">AE448</f>
        <v>#N/A</v>
      </c>
      <c r="P460" s="678"/>
      <c r="Q460" s="678"/>
      <c r="R460" s="678"/>
      <c r="S460" s="678"/>
      <c r="T460" s="710" t="s">
        <v>475</v>
      </c>
      <c r="U460" s="859" t="e">
        <f ca="1">T249/100</f>
        <v>#N/A</v>
      </c>
      <c r="V460" s="859"/>
      <c r="W460" s="859"/>
      <c r="X460" s="859"/>
      <c r="Y460" s="859"/>
      <c r="Z460" s="710" t="s">
        <v>409</v>
      </c>
      <c r="AA460" s="852" t="e">
        <f ca="1">P434</f>
        <v>#N/A</v>
      </c>
      <c r="AB460" s="852"/>
      <c r="AC460" s="852"/>
      <c r="AD460" s="852"/>
      <c r="AE460" s="856">
        <f>U434</f>
        <v>0</v>
      </c>
      <c r="AF460" s="856"/>
      <c r="AG460" s="856"/>
      <c r="AH460" s="856"/>
      <c r="AI460" s="856"/>
      <c r="AJ460" s="374"/>
      <c r="AK460" s="374"/>
      <c r="AL460" s="374"/>
      <c r="AM460" s="374"/>
      <c r="AN460" s="374"/>
      <c r="AO460" s="374"/>
      <c r="AP460" s="374"/>
      <c r="AQ460" s="374"/>
      <c r="AR460" s="374"/>
      <c r="AS460" s="374"/>
      <c r="AT460" s="374"/>
      <c r="AU460" s="374"/>
    </row>
    <row r="461" spans="1:47" ht="18" customHeight="1">
      <c r="A461" s="102"/>
      <c r="B461" s="374"/>
      <c r="C461" s="374"/>
      <c r="D461" s="374"/>
      <c r="E461" s="374"/>
      <c r="F461" s="374"/>
      <c r="G461" s="387"/>
      <c r="H461" s="374"/>
      <c r="I461" s="374"/>
      <c r="J461" s="374"/>
      <c r="K461" s="374"/>
      <c r="L461" s="374"/>
      <c r="M461" s="374"/>
      <c r="N461" s="374"/>
      <c r="O461" s="678"/>
      <c r="P461" s="678"/>
      <c r="Q461" s="678"/>
      <c r="R461" s="678"/>
      <c r="S461" s="678"/>
      <c r="T461" s="710"/>
      <c r="U461" s="861">
        <f>AF249</f>
        <v>2</v>
      </c>
      <c r="V461" s="861"/>
      <c r="W461" s="861"/>
      <c r="X461" s="861"/>
      <c r="Y461" s="861"/>
      <c r="Z461" s="710"/>
      <c r="AA461" s="852"/>
      <c r="AB461" s="852"/>
      <c r="AC461" s="852"/>
      <c r="AD461" s="852"/>
      <c r="AE461" s="856"/>
      <c r="AF461" s="856"/>
      <c r="AG461" s="856"/>
      <c r="AH461" s="856"/>
      <c r="AI461" s="856"/>
      <c r="AJ461" s="374"/>
      <c r="AK461" s="374"/>
      <c r="AL461" s="374"/>
      <c r="AM461" s="374"/>
      <c r="AN461" s="374"/>
      <c r="AO461" s="374"/>
      <c r="AP461" s="374"/>
      <c r="AQ461" s="374"/>
      <c r="AR461" s="374"/>
      <c r="AS461" s="374"/>
      <c r="AT461" s="374"/>
      <c r="AU461" s="374"/>
    </row>
    <row r="462" spans="1:47" ht="18" customHeight="1">
      <c r="A462" s="102"/>
      <c r="B462" s="220" t="s">
        <v>715</v>
      </c>
      <c r="C462" s="408"/>
      <c r="D462" s="408"/>
      <c r="E462" s="408"/>
      <c r="F462" s="408"/>
      <c r="H462" s="408"/>
      <c r="I462" s="408"/>
      <c r="J462" s="408"/>
      <c r="K462" s="408"/>
      <c r="L462" s="408"/>
      <c r="M462" s="408"/>
      <c r="N462" s="408"/>
      <c r="O462" s="408"/>
      <c r="P462" s="408"/>
      <c r="Q462" s="408"/>
      <c r="R462" s="408"/>
      <c r="S462" s="408"/>
      <c r="T462" s="408"/>
      <c r="U462" s="103"/>
      <c r="V462" s="103"/>
      <c r="W462" s="103"/>
      <c r="X462" s="408"/>
      <c r="Y462" s="104"/>
      <c r="Z462" s="104"/>
      <c r="AA462" s="404"/>
      <c r="AB462" s="404"/>
      <c r="AC462" s="404"/>
      <c r="AD462" s="404"/>
      <c r="AE462" s="407"/>
      <c r="AF462" s="407"/>
      <c r="AG462" s="407"/>
      <c r="AH462" s="408"/>
      <c r="AI462" s="408"/>
      <c r="AJ462" s="408"/>
      <c r="AK462" s="408"/>
      <c r="AL462" s="408"/>
      <c r="AM462" s="408"/>
      <c r="AN462" s="408"/>
      <c r="AO462" s="408"/>
      <c r="AP462" s="408"/>
      <c r="AQ462" s="408"/>
      <c r="AR462" s="408"/>
      <c r="AS462" s="408"/>
      <c r="AT462" s="408"/>
    </row>
    <row r="463" spans="1:47" ht="18" customHeight="1">
      <c r="A463" s="102"/>
      <c r="B463" s="408" t="s">
        <v>474</v>
      </c>
      <c r="C463" s="408"/>
      <c r="D463" s="408"/>
      <c r="E463" s="408"/>
      <c r="F463" s="408"/>
      <c r="G463" s="408"/>
      <c r="H463" s="408"/>
      <c r="I463" s="408" t="e">
        <f ca="1">"표준기의 교정성적서에서 측정불확도는 "&amp;TRIM(TEXT(T249,"0.### ###"))&amp;" "&amp;Z249&amp;" 이다."</f>
        <v>#N/A</v>
      </c>
      <c r="J463" s="408"/>
      <c r="K463" s="408"/>
      <c r="L463" s="408"/>
      <c r="M463" s="408"/>
      <c r="N463" s="408"/>
      <c r="O463" s="408"/>
      <c r="P463" s="408"/>
      <c r="Q463" s="408"/>
      <c r="R463" s="408"/>
      <c r="S463" s="408"/>
      <c r="T463" s="408"/>
      <c r="U463" s="105"/>
      <c r="V463" s="105"/>
      <c r="W463" s="105"/>
      <c r="X463" s="408"/>
      <c r="Y463" s="106"/>
      <c r="Z463" s="106"/>
      <c r="AA463" s="106"/>
      <c r="AB463" s="104"/>
      <c r="AC463" s="104"/>
      <c r="AD463" s="408"/>
      <c r="AE463" s="408"/>
      <c r="AF463" s="408"/>
      <c r="AG463" s="408"/>
      <c r="AH463" s="408"/>
      <c r="AI463" s="408"/>
      <c r="AJ463" s="408"/>
      <c r="AK463" s="408"/>
      <c r="AL463" s="408"/>
      <c r="AM463" s="408"/>
      <c r="AN463" s="408"/>
      <c r="AO463" s="408"/>
      <c r="AP463" s="408"/>
      <c r="AQ463" s="408"/>
      <c r="AR463" s="408"/>
      <c r="AS463" s="408"/>
      <c r="AT463" s="408"/>
    </row>
    <row r="464" spans="1:47" ht="18" customHeight="1">
      <c r="A464" s="102"/>
      <c r="B464" s="408"/>
      <c r="C464" s="408"/>
      <c r="D464" s="408"/>
      <c r="E464" s="408"/>
      <c r="F464" s="408"/>
      <c r="G464" s="408"/>
      <c r="H464" s="408"/>
      <c r="I464" s="408" t="s">
        <v>716</v>
      </c>
      <c r="K464" s="408"/>
      <c r="L464" s="408"/>
      <c r="M464" s="408"/>
      <c r="N464" s="408"/>
      <c r="O464" s="408"/>
      <c r="P464" s="408"/>
      <c r="Q464" s="408"/>
      <c r="R464" s="408"/>
      <c r="S464" s="408"/>
      <c r="T464" s="408"/>
      <c r="U464" s="105"/>
      <c r="V464" s="105"/>
      <c r="W464" s="105"/>
      <c r="X464" s="408"/>
      <c r="Y464" s="106"/>
      <c r="Z464" s="106"/>
      <c r="AA464" s="106"/>
      <c r="AB464" s="104"/>
      <c r="AC464" s="104"/>
      <c r="AD464" s="408"/>
      <c r="AE464" s="408"/>
      <c r="AF464" s="408"/>
      <c r="AG464" s="408"/>
      <c r="AH464" s="408"/>
      <c r="AI464" s="408"/>
      <c r="AJ464" s="408"/>
      <c r="AK464" s="408"/>
      <c r="AL464" s="408"/>
      <c r="AM464" s="408"/>
      <c r="AN464" s="408"/>
      <c r="AO464" s="408"/>
      <c r="AP464" s="408"/>
      <c r="AQ464" s="408"/>
      <c r="AR464" s="408"/>
      <c r="AS464" s="408"/>
      <c r="AT464" s="408"/>
    </row>
    <row r="465" spans="1:46" ht="18" customHeight="1">
      <c r="A465" s="102"/>
      <c r="B465" s="408"/>
      <c r="C465" s="408"/>
      <c r="D465" s="408"/>
      <c r="E465" s="408"/>
      <c r="F465" s="408"/>
      <c r="G465" s="408"/>
      <c r="H465" s="408"/>
      <c r="I465" s="408"/>
      <c r="J465" s="408"/>
      <c r="K465" s="408"/>
      <c r="L465" s="408"/>
      <c r="M465" s="859" t="e">
        <f ca="1">T249</f>
        <v>#N/A</v>
      </c>
      <c r="N465" s="859"/>
      <c r="O465" s="859"/>
      <c r="P465" s="859"/>
      <c r="Q465" s="859"/>
      <c r="R465" s="710" t="s">
        <v>67</v>
      </c>
      <c r="S465" s="852" t="e">
        <f ca="1">P434</f>
        <v>#N/A</v>
      </c>
      <c r="T465" s="852"/>
      <c r="U465" s="852"/>
      <c r="V465" s="852"/>
      <c r="W465" s="856">
        <f>U434</f>
        <v>0</v>
      </c>
      <c r="X465" s="856"/>
      <c r="Y465" s="856"/>
      <c r="Z465" s="856"/>
      <c r="AA465" s="856"/>
      <c r="AB465" s="408"/>
      <c r="AC465" s="408"/>
      <c r="AD465" s="408"/>
      <c r="AE465" s="408"/>
      <c r="AF465" s="408"/>
      <c r="AG465" s="408"/>
      <c r="AH465" s="408"/>
      <c r="AI465" s="408"/>
      <c r="AJ465" s="408"/>
      <c r="AK465" s="408"/>
    </row>
    <row r="466" spans="1:46" ht="18" customHeight="1">
      <c r="A466" s="102"/>
      <c r="B466" s="408"/>
      <c r="C466" s="408"/>
      <c r="D466" s="408"/>
      <c r="E466" s="408"/>
      <c r="F466" s="408"/>
      <c r="G466" s="408"/>
      <c r="H466" s="408"/>
      <c r="I466" s="408"/>
      <c r="J466" s="408"/>
      <c r="K466" s="408"/>
      <c r="L466" s="408"/>
      <c r="M466" s="860">
        <f>AF249</f>
        <v>2</v>
      </c>
      <c r="N466" s="860"/>
      <c r="O466" s="860"/>
      <c r="P466" s="860"/>
      <c r="Q466" s="860"/>
      <c r="R466" s="710"/>
      <c r="S466" s="852"/>
      <c r="T466" s="852"/>
      <c r="U466" s="852"/>
      <c r="V466" s="852"/>
      <c r="W466" s="856"/>
      <c r="X466" s="856"/>
      <c r="Y466" s="856"/>
      <c r="Z466" s="856"/>
      <c r="AA466" s="856"/>
      <c r="AB466" s="408"/>
      <c r="AC466" s="408"/>
      <c r="AD466" s="408"/>
      <c r="AE466" s="408"/>
      <c r="AF466" s="408"/>
      <c r="AG466" s="408"/>
      <c r="AH466" s="408"/>
      <c r="AI466" s="408"/>
      <c r="AJ466" s="408"/>
      <c r="AK466" s="408"/>
    </row>
    <row r="467" spans="1:46" ht="18" customHeight="1">
      <c r="A467" s="102"/>
      <c r="B467" s="374" t="s">
        <v>476</v>
      </c>
      <c r="C467" s="374"/>
      <c r="D467" s="374"/>
      <c r="E467" s="374"/>
      <c r="F467" s="374"/>
      <c r="G467" s="374"/>
      <c r="H467" s="856" t="str">
        <f>X434</f>
        <v>정규</v>
      </c>
      <c r="I467" s="856"/>
      <c r="J467" s="856"/>
      <c r="K467" s="856"/>
      <c r="L467" s="856"/>
      <c r="M467" s="374"/>
      <c r="N467" s="374"/>
      <c r="O467" s="374"/>
      <c r="P467" s="374"/>
      <c r="Q467" s="374"/>
      <c r="R467" s="374"/>
      <c r="S467" s="374"/>
      <c r="T467" s="374"/>
      <c r="U467" s="374"/>
      <c r="V467" s="374"/>
      <c r="W467" s="374"/>
      <c r="X467" s="374"/>
      <c r="Y467" s="374"/>
      <c r="Z467" s="374"/>
      <c r="AA467" s="374"/>
      <c r="AB467" s="374"/>
      <c r="AC467" s="374"/>
      <c r="AD467" s="374"/>
      <c r="AE467" s="374"/>
      <c r="AF467" s="374"/>
      <c r="AG467" s="374"/>
      <c r="AH467" s="374"/>
      <c r="AI467" s="374"/>
      <c r="AJ467" s="374"/>
      <c r="AK467" s="374"/>
      <c r="AL467" s="374"/>
      <c r="AM467" s="374"/>
      <c r="AN467" s="374"/>
      <c r="AO467" s="374"/>
      <c r="AP467" s="374"/>
      <c r="AQ467" s="374"/>
      <c r="AR467" s="374"/>
      <c r="AS467" s="374"/>
      <c r="AT467" s="374"/>
    </row>
    <row r="468" spans="1:46" ht="18" customHeight="1">
      <c r="A468" s="102"/>
      <c r="B468" s="856" t="s">
        <v>477</v>
      </c>
      <c r="C468" s="856"/>
      <c r="D468" s="856"/>
      <c r="E468" s="856"/>
      <c r="F468" s="856"/>
      <c r="G468" s="856"/>
      <c r="H468" s="374"/>
      <c r="I468" s="374"/>
      <c r="J468" s="374"/>
      <c r="K468" s="374"/>
      <c r="L468" s="374"/>
      <c r="M468" s="374"/>
      <c r="N468" s="374"/>
      <c r="O468" s="374"/>
      <c r="P468" s="374"/>
      <c r="Q468" s="374"/>
      <c r="R468" s="374"/>
      <c r="S468" s="374"/>
      <c r="T468" s="374"/>
      <c r="U468" s="374"/>
      <c r="V468" s="374"/>
      <c r="W468" s="374"/>
      <c r="X468" s="374"/>
      <c r="Y468" s="374"/>
      <c r="Z468" s="374"/>
      <c r="AA468" s="374"/>
      <c r="AB468" s="374"/>
      <c r="AC468" s="374"/>
      <c r="AD468" s="374"/>
      <c r="AE468" s="374"/>
      <c r="AF468" s="374"/>
      <c r="AG468" s="374"/>
      <c r="AH468" s="374"/>
      <c r="AI468" s="374"/>
      <c r="AJ468" s="374"/>
      <c r="AK468" s="374"/>
      <c r="AL468" s="374"/>
      <c r="AM468" s="374"/>
      <c r="AN468" s="374"/>
      <c r="AO468" s="374"/>
      <c r="AP468" s="374"/>
      <c r="AQ468" s="374"/>
      <c r="AR468" s="374"/>
      <c r="AS468" s="374"/>
      <c r="AT468" s="374"/>
    </row>
    <row r="469" spans="1:46" ht="18" customHeight="1">
      <c r="A469" s="102"/>
      <c r="B469" s="856"/>
      <c r="C469" s="856"/>
      <c r="D469" s="856"/>
      <c r="E469" s="856"/>
      <c r="F469" s="856"/>
      <c r="G469" s="856"/>
      <c r="H469" s="374"/>
      <c r="I469" s="374"/>
      <c r="J469" s="374"/>
      <c r="K469" s="374"/>
      <c r="L469" s="374"/>
      <c r="M469" s="374"/>
      <c r="N469" s="374"/>
      <c r="O469" s="374"/>
      <c r="P469" s="374"/>
      <c r="Q469" s="374"/>
      <c r="R469" s="374"/>
      <c r="S469" s="374"/>
      <c r="T469" s="374"/>
      <c r="U469" s="374"/>
      <c r="V469" s="374"/>
      <c r="W469" s="374"/>
      <c r="X469" s="374"/>
      <c r="Y469" s="374"/>
      <c r="Z469" s="374"/>
      <c r="AH469" s="374"/>
      <c r="AI469" s="374"/>
      <c r="AJ469" s="374"/>
      <c r="AK469" s="374"/>
      <c r="AL469" s="374"/>
      <c r="AM469" s="374"/>
      <c r="AN469" s="374"/>
      <c r="AO469" s="374"/>
      <c r="AP469" s="374"/>
      <c r="AQ469" s="374"/>
      <c r="AR469" s="374"/>
      <c r="AS469" s="374"/>
      <c r="AT469" s="374"/>
    </row>
    <row r="470" spans="1:46" ht="18" customHeight="1">
      <c r="A470" s="102"/>
      <c r="B470" s="374" t="s">
        <v>478</v>
      </c>
      <c r="C470" s="374"/>
      <c r="D470" s="374"/>
      <c r="E470" s="374"/>
      <c r="F470" s="374"/>
      <c r="G470" s="374"/>
      <c r="H470" s="374"/>
      <c r="I470" s="374"/>
      <c r="J470" s="374"/>
      <c r="K470" s="107" t="s">
        <v>162</v>
      </c>
      <c r="L470" s="853" t="e">
        <f ca="1">AA460</f>
        <v>#N/A</v>
      </c>
      <c r="M470" s="853"/>
      <c r="N470" s="853"/>
      <c r="O470" s="853"/>
      <c r="P470" s="852">
        <f>AE460</f>
        <v>0</v>
      </c>
      <c r="Q470" s="852"/>
      <c r="R470" s="108" t="s">
        <v>409</v>
      </c>
      <c r="S470" s="853" t="e">
        <f ca="1">1*L470</f>
        <v>#N/A</v>
      </c>
      <c r="T470" s="853"/>
      <c r="U470" s="853"/>
      <c r="V470" s="853"/>
      <c r="W470" s="852">
        <f>P470</f>
        <v>0</v>
      </c>
      <c r="X470" s="852"/>
      <c r="Y470" s="373"/>
      <c r="Z470" s="221"/>
      <c r="AA470" s="374"/>
      <c r="AB470" s="374"/>
      <c r="AC470" s="374"/>
      <c r="AD470" s="374"/>
      <c r="AE470" s="374"/>
      <c r="AF470" s="374"/>
      <c r="AG470" s="374"/>
      <c r="AH470" s="374"/>
      <c r="AI470" s="374"/>
      <c r="AJ470" s="374"/>
      <c r="AK470" s="374"/>
      <c r="AL470" s="374"/>
      <c r="AM470" s="374"/>
      <c r="AN470" s="374"/>
      <c r="AO470" s="374"/>
      <c r="AP470" s="374"/>
      <c r="AQ470" s="374"/>
      <c r="AR470" s="374"/>
      <c r="AS470" s="374"/>
      <c r="AT470" s="374"/>
    </row>
    <row r="471" spans="1:46" ht="18" customHeight="1">
      <c r="A471" s="102"/>
      <c r="B471" s="374" t="s">
        <v>479</v>
      </c>
      <c r="C471" s="374"/>
      <c r="D471" s="374"/>
      <c r="E471" s="374"/>
      <c r="F471" s="374"/>
      <c r="G471" s="374"/>
      <c r="H471" s="374"/>
      <c r="I471" s="374"/>
      <c r="J471" s="374"/>
      <c r="K471" s="109" t="s">
        <v>480</v>
      </c>
      <c r="L471" s="856" t="str">
        <f>AP434</f>
        <v>∞</v>
      </c>
      <c r="M471" s="856"/>
      <c r="N471" s="856"/>
      <c r="O471" s="856"/>
      <c r="P471" s="856"/>
      <c r="Q471" s="374"/>
      <c r="R471" s="374"/>
      <c r="S471" s="374"/>
      <c r="T471" s="374"/>
      <c r="U471" s="374"/>
      <c r="V471" s="374"/>
      <c r="W471" s="374"/>
      <c r="X471" s="374"/>
      <c r="Y471" s="374"/>
      <c r="Z471" s="374"/>
      <c r="AA471" s="374"/>
      <c r="AB471" s="374"/>
      <c r="AC471" s="374"/>
      <c r="AD471" s="374"/>
      <c r="AE471" s="374"/>
      <c r="AF471" s="374"/>
      <c r="AG471" s="374"/>
      <c r="AH471" s="374"/>
      <c r="AI471" s="374"/>
      <c r="AJ471" s="374"/>
      <c r="AK471" s="374"/>
      <c r="AL471" s="374"/>
      <c r="AM471" s="374"/>
      <c r="AN471" s="374"/>
      <c r="AO471" s="374"/>
      <c r="AP471" s="374"/>
      <c r="AQ471" s="374"/>
      <c r="AR471" s="374"/>
      <c r="AS471" s="374"/>
      <c r="AT471" s="374"/>
    </row>
    <row r="472" spans="1:46" ht="18" customHeight="1">
      <c r="A472" s="102"/>
      <c r="B472" s="374"/>
      <c r="C472" s="374"/>
      <c r="D472" s="374"/>
      <c r="E472" s="374"/>
      <c r="F472" s="374"/>
      <c r="G472" s="374"/>
      <c r="H472" s="374"/>
      <c r="I472" s="374"/>
      <c r="J472" s="374"/>
      <c r="K472" s="374"/>
      <c r="L472" s="374"/>
      <c r="M472" s="374"/>
      <c r="N472" s="374"/>
      <c r="O472" s="374"/>
      <c r="P472" s="374"/>
      <c r="Q472" s="374"/>
      <c r="R472" s="374"/>
      <c r="S472" s="374"/>
      <c r="T472" s="374"/>
      <c r="U472" s="374"/>
      <c r="V472" s="374"/>
      <c r="W472" s="374"/>
      <c r="X472" s="374"/>
      <c r="Y472" s="374"/>
      <c r="Z472" s="374"/>
      <c r="AA472" s="374"/>
      <c r="AB472" s="374"/>
      <c r="AC472" s="374"/>
      <c r="AD472" s="374"/>
      <c r="AE472" s="374"/>
      <c r="AF472" s="374"/>
      <c r="AG472" s="374"/>
      <c r="AH472" s="374"/>
      <c r="AI472" s="374"/>
      <c r="AJ472" s="374"/>
      <c r="AK472" s="374"/>
      <c r="AL472" s="374"/>
      <c r="AM472" s="374"/>
      <c r="AN472" s="374"/>
      <c r="AO472" s="374"/>
      <c r="AP472" s="374"/>
      <c r="AQ472" s="374"/>
      <c r="AR472" s="374"/>
      <c r="AS472" s="374"/>
      <c r="AT472" s="374"/>
    </row>
    <row r="473" spans="1:46" ht="18" customHeight="1">
      <c r="A473" s="102"/>
      <c r="B473" s="110" t="s">
        <v>481</v>
      </c>
      <c r="C473" s="374"/>
      <c r="D473" s="374"/>
      <c r="E473" s="374"/>
      <c r="F473" s="374"/>
      <c r="G473" s="374"/>
      <c r="H473" s="374"/>
      <c r="I473" s="374"/>
      <c r="J473" s="374"/>
      <c r="K473" s="374"/>
      <c r="L473" s="374"/>
      <c r="M473" s="374"/>
      <c r="N473" s="374"/>
      <c r="O473" s="374"/>
      <c r="P473" s="374"/>
      <c r="Q473" s="374"/>
      <c r="R473" s="374"/>
      <c r="S473" s="374"/>
      <c r="T473" s="374"/>
      <c r="U473" s="374"/>
      <c r="V473" s="374"/>
      <c r="W473" s="374"/>
      <c r="X473" s="374"/>
      <c r="Y473" s="374"/>
      <c r="Z473" s="374"/>
      <c r="AA473" s="374"/>
      <c r="AB473" s="374"/>
      <c r="AC473" s="374"/>
      <c r="AD473" s="374"/>
      <c r="AE473" s="374"/>
      <c r="AF473" s="374"/>
      <c r="AG473" s="374"/>
      <c r="AH473" s="374"/>
      <c r="AI473" s="374"/>
      <c r="AJ473" s="374"/>
      <c r="AK473" s="374"/>
      <c r="AL473" s="374"/>
      <c r="AM473" s="374"/>
      <c r="AN473" s="374"/>
      <c r="AO473" s="374"/>
      <c r="AP473" s="374"/>
      <c r="AQ473" s="374"/>
      <c r="AR473" s="374"/>
      <c r="AS473" s="374"/>
      <c r="AT473" s="374"/>
    </row>
    <row r="474" spans="1:46" ht="18" customHeight="1">
      <c r="A474" s="102"/>
      <c r="B474" s="374" t="s">
        <v>482</v>
      </c>
      <c r="C474" s="374"/>
      <c r="D474" s="374"/>
      <c r="E474" s="374"/>
      <c r="F474" s="374"/>
      <c r="G474" s="853" t="e">
        <f ca="1">I435</f>
        <v>#N/A</v>
      </c>
      <c r="H474" s="853"/>
      <c r="I474" s="853"/>
      <c r="J474" s="853"/>
      <c r="K474" s="853"/>
      <c r="L474" s="855">
        <f>M435</f>
        <v>0</v>
      </c>
      <c r="M474" s="855"/>
      <c r="N474" s="855"/>
      <c r="O474" s="855"/>
      <c r="P474" s="855"/>
      <c r="Q474" s="855"/>
      <c r="R474" s="374"/>
      <c r="S474" s="374"/>
      <c r="T474" s="374"/>
      <c r="U474" s="374"/>
      <c r="V474" s="374"/>
      <c r="W474" s="374"/>
      <c r="X474" s="374"/>
      <c r="Y474" s="374"/>
      <c r="Z474" s="374"/>
      <c r="AA474" s="374"/>
      <c r="AB474" s="374"/>
      <c r="AC474" s="374"/>
      <c r="AD474" s="374"/>
      <c r="AE474" s="374"/>
      <c r="AF474" s="374"/>
      <c r="AG474" s="374"/>
      <c r="AH474" s="374"/>
      <c r="AI474" s="374"/>
      <c r="AJ474" s="374"/>
      <c r="AK474" s="374"/>
      <c r="AL474" s="374"/>
      <c r="AM474" s="374"/>
      <c r="AN474" s="374"/>
      <c r="AO474" s="374"/>
      <c r="AP474" s="374"/>
      <c r="AQ474" s="374"/>
      <c r="AR474" s="374"/>
      <c r="AS474" s="374"/>
      <c r="AT474" s="374"/>
    </row>
    <row r="475" spans="1:46" ht="18" customHeight="1">
      <c r="A475" s="102"/>
      <c r="B475" s="374" t="s">
        <v>483</v>
      </c>
      <c r="C475" s="374"/>
      <c r="D475" s="374"/>
      <c r="E475" s="374"/>
      <c r="F475" s="374"/>
      <c r="G475" s="374"/>
      <c r="H475" s="374"/>
      <c r="I475" s="374" t="s">
        <v>484</v>
      </c>
      <c r="J475" s="374"/>
      <c r="K475" s="374"/>
      <c r="L475" s="374"/>
      <c r="M475" s="374"/>
      <c r="N475" s="374"/>
      <c r="O475" s="374"/>
      <c r="P475" s="374"/>
      <c r="Q475" s="374"/>
      <c r="R475" s="374"/>
      <c r="S475" s="374"/>
      <c r="T475" s="374"/>
      <c r="U475" s="105"/>
      <c r="V475" s="105"/>
      <c r="W475" s="105"/>
      <c r="X475" s="374"/>
      <c r="Y475" s="106"/>
      <c r="Z475" s="106"/>
      <c r="AA475" s="106"/>
      <c r="AB475" s="104"/>
      <c r="AC475" s="104"/>
      <c r="AD475" s="374"/>
      <c r="AE475" s="374"/>
      <c r="AF475" s="374"/>
      <c r="AG475" s="374"/>
      <c r="AH475" s="374"/>
      <c r="AI475" s="374"/>
      <c r="AJ475" s="374"/>
      <c r="AK475" s="374"/>
      <c r="AL475" s="374"/>
      <c r="AM475" s="374"/>
      <c r="AN475" s="374"/>
      <c r="AO475" s="374"/>
      <c r="AP475" s="374"/>
      <c r="AQ475" s="374"/>
      <c r="AR475" s="374"/>
      <c r="AS475" s="374"/>
      <c r="AT475" s="374"/>
    </row>
    <row r="476" spans="1:46" ht="18" customHeight="1">
      <c r="A476" s="102"/>
      <c r="B476" s="374"/>
      <c r="C476" s="374"/>
      <c r="D476" s="374"/>
      <c r="E476" s="374"/>
      <c r="F476" s="374"/>
      <c r="G476" s="374"/>
      <c r="H476" s="374"/>
      <c r="I476" s="374"/>
      <c r="J476" s="374"/>
      <c r="K476" s="374"/>
      <c r="L476" s="374"/>
      <c r="M476" s="374"/>
      <c r="N476" s="374"/>
      <c r="O476" s="374"/>
      <c r="P476" s="857"/>
      <c r="Q476" s="857"/>
      <c r="R476" s="374"/>
      <c r="S476" s="111"/>
      <c r="T476" s="112"/>
      <c r="U476" s="112"/>
      <c r="V476" s="112"/>
      <c r="W476" s="112"/>
      <c r="X476" s="112"/>
      <c r="Y476" s="112"/>
      <c r="Z476" s="112"/>
      <c r="AA476" s="112"/>
      <c r="AB476" s="112"/>
      <c r="AC476" s="112"/>
      <c r="AD476" s="112"/>
      <c r="AE476" s="112"/>
      <c r="AF476" s="112"/>
      <c r="AG476" s="112"/>
      <c r="AH476" s="112"/>
      <c r="AI476" s="112"/>
      <c r="AJ476" s="112"/>
      <c r="AK476" s="112"/>
      <c r="AL476" s="374"/>
      <c r="AM476" s="374"/>
      <c r="AN476" s="374"/>
      <c r="AO476" s="374"/>
      <c r="AP476" s="374"/>
      <c r="AQ476" s="374"/>
      <c r="AR476" s="374"/>
      <c r="AS476" s="374"/>
      <c r="AT476" s="374"/>
    </row>
    <row r="477" spans="1:46" ht="18" customHeight="1">
      <c r="A477" s="102"/>
      <c r="B477" s="387"/>
      <c r="C477" s="387"/>
      <c r="D477" s="387"/>
      <c r="E477" s="387"/>
      <c r="F477" s="387"/>
      <c r="G477" s="387"/>
      <c r="H477" s="387"/>
      <c r="I477" s="387"/>
      <c r="J477" s="387"/>
      <c r="K477" s="387"/>
      <c r="L477" s="387"/>
      <c r="M477" s="387"/>
      <c r="N477" s="387"/>
      <c r="O477" s="387"/>
      <c r="P477" s="388"/>
      <c r="Q477" s="388"/>
      <c r="R477" s="387"/>
      <c r="S477" s="111"/>
      <c r="T477" s="112"/>
      <c r="U477" s="112"/>
      <c r="V477" s="112"/>
      <c r="W477" s="112"/>
      <c r="X477" s="112"/>
      <c r="Y477" s="112"/>
      <c r="Z477" s="112"/>
      <c r="AA477" s="112"/>
      <c r="AB477" s="112"/>
      <c r="AC477" s="112"/>
      <c r="AD477" s="112"/>
      <c r="AE477" s="112"/>
      <c r="AF477" s="112"/>
      <c r="AG477" s="112"/>
      <c r="AH477" s="112"/>
      <c r="AI477" s="112"/>
      <c r="AJ477" s="112"/>
      <c r="AK477" s="112"/>
      <c r="AL477" s="387"/>
      <c r="AM477" s="387"/>
      <c r="AN477" s="387"/>
      <c r="AO477" s="387"/>
      <c r="AP477" s="387"/>
      <c r="AQ477" s="387"/>
      <c r="AR477" s="387"/>
      <c r="AS477" s="387"/>
      <c r="AT477" s="387"/>
    </row>
    <row r="478" spans="1:46" ht="18" customHeight="1">
      <c r="A478" s="102"/>
      <c r="B478" s="374"/>
      <c r="C478" s="374"/>
      <c r="D478" s="374"/>
      <c r="E478" s="374"/>
      <c r="F478" s="374"/>
      <c r="G478" s="374"/>
      <c r="H478" s="374"/>
      <c r="I478" s="374"/>
      <c r="J478" s="374"/>
      <c r="K478" s="374"/>
      <c r="L478" s="858" t="e">
        <f ca="1">S496</f>
        <v>#N/A</v>
      </c>
      <c r="M478" s="858"/>
      <c r="N478" s="858"/>
      <c r="O478" s="374"/>
      <c r="P478" s="372"/>
      <c r="Q478" s="858" t="e">
        <f ca="1">S508</f>
        <v>#VALUE!</v>
      </c>
      <c r="R478" s="858"/>
      <c r="S478" s="858"/>
      <c r="U478" s="374"/>
      <c r="V478" s="858" t="e">
        <f ca="1">S529</f>
        <v>#N/A</v>
      </c>
      <c r="W478" s="858"/>
      <c r="X478" s="858"/>
      <c r="AA478" s="858" t="e">
        <f ca="1">S543</f>
        <v>#N/A</v>
      </c>
      <c r="AB478" s="858"/>
      <c r="AC478" s="858"/>
      <c r="AF478" s="853" t="e">
        <f ca="1">P435</f>
        <v>#N/A</v>
      </c>
      <c r="AG478" s="853"/>
      <c r="AH478" s="853"/>
      <c r="AI478" s="853"/>
      <c r="AJ478" s="852">
        <f>U435</f>
        <v>0</v>
      </c>
      <c r="AK478" s="852"/>
      <c r="AO478" s="373"/>
      <c r="AP478" s="221"/>
      <c r="AQ478" s="374"/>
      <c r="AR478" s="374"/>
    </row>
    <row r="479" spans="1:46" ht="18" customHeight="1">
      <c r="A479" s="102"/>
      <c r="B479" s="374" t="s">
        <v>149</v>
      </c>
      <c r="C479" s="374"/>
      <c r="D479" s="374"/>
      <c r="E479" s="374"/>
      <c r="F479" s="374"/>
      <c r="G479" s="374"/>
      <c r="H479" s="856" t="str">
        <f>X435</f>
        <v>직사각형</v>
      </c>
      <c r="I479" s="856"/>
      <c r="J479" s="856"/>
      <c r="K479" s="856"/>
      <c r="L479" s="856"/>
      <c r="M479" s="374"/>
      <c r="N479" s="374"/>
      <c r="O479" s="374"/>
      <c r="P479" s="374"/>
      <c r="Q479" s="374"/>
      <c r="R479" s="374"/>
      <c r="V479" s="374"/>
      <c r="W479" s="374"/>
      <c r="AA479" s="374"/>
      <c r="AB479" s="374"/>
      <c r="AC479" s="374"/>
      <c r="AD479" s="374"/>
      <c r="AE479" s="374"/>
      <c r="AF479" s="374"/>
      <c r="AG479" s="374"/>
      <c r="AH479" s="374"/>
      <c r="AO479" s="374"/>
      <c r="AP479" s="374"/>
      <c r="AQ479" s="374"/>
      <c r="AR479" s="374"/>
      <c r="AS479" s="374"/>
      <c r="AT479" s="374"/>
    </row>
    <row r="480" spans="1:46" ht="18" customHeight="1">
      <c r="A480" s="102"/>
      <c r="B480" s="856" t="s">
        <v>150</v>
      </c>
      <c r="C480" s="856"/>
      <c r="D480" s="856"/>
      <c r="E480" s="856"/>
      <c r="F480" s="856"/>
      <c r="G480" s="856"/>
      <c r="H480" s="374"/>
      <c r="I480" s="374"/>
      <c r="J480" s="374"/>
      <c r="K480" s="374"/>
      <c r="L480" s="374"/>
      <c r="M480" s="374"/>
      <c r="N480" s="374"/>
      <c r="O480" s="374"/>
      <c r="P480" s="374"/>
      <c r="Q480" s="374"/>
      <c r="R480" s="374"/>
      <c r="S480" s="374"/>
      <c r="T480" s="374"/>
      <c r="U480" s="374"/>
      <c r="V480" s="374"/>
      <c r="W480" s="374"/>
      <c r="X480" s="374"/>
      <c r="Y480" s="374"/>
      <c r="Z480" s="374"/>
      <c r="AA480" s="374"/>
      <c r="AB480" s="374"/>
      <c r="AC480" s="374"/>
      <c r="AD480" s="374"/>
      <c r="AE480" s="374"/>
      <c r="AF480" s="374"/>
      <c r="AG480" s="374"/>
      <c r="AH480" s="374"/>
      <c r="AI480" s="374"/>
      <c r="AJ480" s="374"/>
      <c r="AK480" s="374"/>
      <c r="AL480" s="374"/>
      <c r="AM480" s="374"/>
      <c r="AN480" s="374"/>
      <c r="AO480" s="374"/>
      <c r="AP480" s="374"/>
      <c r="AQ480" s="374"/>
      <c r="AR480" s="374"/>
      <c r="AS480" s="374"/>
      <c r="AT480" s="374"/>
    </row>
    <row r="481" spans="1:65" ht="18" customHeight="1">
      <c r="A481" s="102"/>
      <c r="B481" s="856"/>
      <c r="C481" s="856"/>
      <c r="D481" s="856"/>
      <c r="E481" s="856"/>
      <c r="F481" s="856"/>
      <c r="G481" s="856"/>
      <c r="H481" s="374"/>
      <c r="I481" s="374"/>
      <c r="J481" s="374"/>
      <c r="K481" s="374"/>
      <c r="L481" s="374"/>
      <c r="M481" s="374"/>
      <c r="N481" s="374"/>
      <c r="O481" s="374"/>
      <c r="P481" s="374"/>
      <c r="Q481" s="374"/>
      <c r="R481" s="374"/>
      <c r="S481" s="374"/>
      <c r="T481" s="374"/>
      <c r="U481" s="374"/>
      <c r="V481" s="374"/>
      <c r="W481" s="374"/>
      <c r="Y481" s="221"/>
      <c r="Z481" s="221"/>
      <c r="AA481" s="221"/>
      <c r="AB481" s="221"/>
      <c r="AC481" s="221"/>
      <c r="AD481" s="221"/>
      <c r="AE481" s="374"/>
      <c r="AF481" s="374"/>
      <c r="AG481" s="374"/>
      <c r="AH481" s="374"/>
      <c r="AI481" s="374"/>
      <c r="AJ481" s="374"/>
      <c r="AK481" s="374"/>
      <c r="AL481" s="374"/>
      <c r="AM481" s="374"/>
      <c r="AN481" s="374"/>
      <c r="AO481" s="374"/>
      <c r="AP481" s="374"/>
      <c r="AQ481" s="374"/>
      <c r="AR481" s="374"/>
      <c r="AS481" s="374"/>
      <c r="AT481" s="374"/>
    </row>
    <row r="482" spans="1:65" ht="18" customHeight="1">
      <c r="A482" s="102"/>
      <c r="B482" s="374" t="s">
        <v>151</v>
      </c>
      <c r="C482" s="374"/>
      <c r="D482" s="374"/>
      <c r="E482" s="374"/>
      <c r="F482" s="374"/>
      <c r="G482" s="374"/>
      <c r="H482" s="374"/>
      <c r="I482" s="374"/>
      <c r="J482" s="374"/>
      <c r="K482" s="107" t="s">
        <v>152</v>
      </c>
      <c r="L482" s="853" t="e">
        <f ca="1">AF478</f>
        <v>#N/A</v>
      </c>
      <c r="M482" s="853"/>
      <c r="N482" s="853"/>
      <c r="O482" s="853"/>
      <c r="P482" s="852">
        <f>AJ478</f>
        <v>0</v>
      </c>
      <c r="Q482" s="852"/>
      <c r="R482" s="108" t="s">
        <v>153</v>
      </c>
      <c r="S482" s="853" t="e">
        <f ca="1">1*L482</f>
        <v>#N/A</v>
      </c>
      <c r="T482" s="853"/>
      <c r="U482" s="853"/>
      <c r="V482" s="853"/>
      <c r="W482" s="852">
        <f>P482</f>
        <v>0</v>
      </c>
      <c r="X482" s="852"/>
      <c r="Y482" s="373"/>
      <c r="Z482" s="221"/>
      <c r="AA482" s="221"/>
      <c r="AB482" s="374"/>
      <c r="AC482" s="374"/>
      <c r="AD482" s="374"/>
      <c r="AE482" s="374"/>
      <c r="AF482" s="374"/>
      <c r="AG482" s="374"/>
      <c r="AH482" s="374"/>
      <c r="AI482" s="374"/>
      <c r="AJ482" s="374"/>
      <c r="AK482" s="374"/>
      <c r="AL482" s="374"/>
      <c r="AM482" s="374"/>
      <c r="AN482" s="374"/>
      <c r="AO482" s="374"/>
      <c r="AP482" s="374"/>
      <c r="AQ482" s="374"/>
      <c r="AR482" s="374"/>
      <c r="AS482" s="374"/>
      <c r="AT482" s="374"/>
    </row>
    <row r="483" spans="1:65" ht="18" customHeight="1">
      <c r="A483" s="102"/>
      <c r="B483" s="374" t="s">
        <v>154</v>
      </c>
      <c r="C483" s="374"/>
      <c r="D483" s="374"/>
      <c r="E483" s="374"/>
      <c r="F483" s="374"/>
      <c r="G483" s="374"/>
      <c r="H483" s="374"/>
      <c r="I483" s="374"/>
      <c r="J483" s="374"/>
      <c r="K483" s="109"/>
      <c r="Q483" s="866" t="e">
        <f ca="1">S482</f>
        <v>#N/A</v>
      </c>
      <c r="R483" s="866"/>
      <c r="S483" s="866"/>
      <c r="T483" s="866"/>
      <c r="U483" s="866"/>
      <c r="V483" s="866"/>
      <c r="W483" s="866"/>
      <c r="X483" s="866"/>
      <c r="Y483" s="866"/>
      <c r="Z483" s="866"/>
      <c r="AA483" s="866"/>
      <c r="AB483" s="866"/>
      <c r="AC483" s="866"/>
      <c r="AD483" s="866"/>
      <c r="AE483" s="866"/>
      <c r="AF483" s="866"/>
      <c r="AG483" s="866"/>
      <c r="AH483" s="866"/>
      <c r="AI483" s="866"/>
      <c r="AJ483" s="866"/>
      <c r="AK483" s="866"/>
      <c r="AL483" s="866"/>
      <c r="AM483" s="866"/>
      <c r="AN483" s="865" t="s">
        <v>67</v>
      </c>
      <c r="AO483" s="862" t="e">
        <f ca="1">AP435</f>
        <v>#N/A</v>
      </c>
      <c r="AP483" s="862"/>
      <c r="AQ483" s="862"/>
      <c r="AR483" s="862"/>
      <c r="AS483" s="862"/>
    </row>
    <row r="484" spans="1:65" ht="18" customHeight="1">
      <c r="A484" s="102"/>
      <c r="B484" s="374"/>
      <c r="C484" s="374"/>
      <c r="D484" s="374"/>
      <c r="E484" s="374"/>
      <c r="F484" s="374"/>
      <c r="G484" s="374"/>
      <c r="H484" s="374"/>
      <c r="I484" s="374"/>
      <c r="J484" s="374"/>
      <c r="K484" s="109"/>
      <c r="Q484" s="863" t="e">
        <f ca="1">L478</f>
        <v>#N/A</v>
      </c>
      <c r="R484" s="863"/>
      <c r="S484" s="863"/>
      <c r="T484" s="863"/>
      <c r="U484" s="863"/>
      <c r="V484" s="864" t="s">
        <v>148</v>
      </c>
      <c r="W484" s="863" t="e">
        <f ca="1">Q478</f>
        <v>#VALUE!</v>
      </c>
      <c r="X484" s="863"/>
      <c r="Y484" s="863"/>
      <c r="Z484" s="863"/>
      <c r="AA484" s="863"/>
      <c r="AB484" s="864" t="s">
        <v>148</v>
      </c>
      <c r="AC484" s="863" t="e">
        <f ca="1">V478</f>
        <v>#N/A</v>
      </c>
      <c r="AD484" s="863"/>
      <c r="AE484" s="863"/>
      <c r="AF484" s="863"/>
      <c r="AG484" s="863"/>
      <c r="AH484" s="864" t="s">
        <v>148</v>
      </c>
      <c r="AI484" s="863" t="e">
        <f ca="1">AA478</f>
        <v>#N/A</v>
      </c>
      <c r="AJ484" s="863"/>
      <c r="AK484" s="863"/>
      <c r="AL484" s="863"/>
      <c r="AM484" s="863"/>
      <c r="AN484" s="865"/>
      <c r="AO484" s="862"/>
      <c r="AP484" s="862"/>
      <c r="AQ484" s="862"/>
      <c r="AR484" s="862"/>
      <c r="AS484" s="862"/>
    </row>
    <row r="485" spans="1:65" ht="18" customHeight="1">
      <c r="A485" s="102"/>
      <c r="B485" s="374"/>
      <c r="C485" s="374"/>
      <c r="D485" s="374"/>
      <c r="E485" s="374"/>
      <c r="F485" s="374"/>
      <c r="G485" s="374"/>
      <c r="H485" s="374"/>
      <c r="I485" s="374"/>
      <c r="J485" s="374"/>
      <c r="K485" s="109"/>
      <c r="Q485" s="865" t="str">
        <f>AP436</f>
        <v>∞</v>
      </c>
      <c r="R485" s="865"/>
      <c r="S485" s="865"/>
      <c r="T485" s="865"/>
      <c r="U485" s="865"/>
      <c r="V485" s="865"/>
      <c r="W485" s="865">
        <f>AP437</f>
        <v>12.5</v>
      </c>
      <c r="X485" s="865"/>
      <c r="Y485" s="865"/>
      <c r="Z485" s="865"/>
      <c r="AA485" s="865"/>
      <c r="AB485" s="865"/>
      <c r="AC485" s="865">
        <f>AP438</f>
        <v>12.5</v>
      </c>
      <c r="AD485" s="865"/>
      <c r="AE485" s="865"/>
      <c r="AF485" s="865"/>
      <c r="AG485" s="865"/>
      <c r="AH485" s="865"/>
      <c r="AI485" s="865">
        <f>AP439</f>
        <v>12.5</v>
      </c>
      <c r="AJ485" s="865"/>
      <c r="AK485" s="865"/>
      <c r="AL485" s="865"/>
      <c r="AM485" s="865"/>
    </row>
    <row r="486" spans="1:65" ht="18" customHeight="1">
      <c r="A486" s="102"/>
      <c r="B486" s="374"/>
      <c r="C486" s="374"/>
      <c r="D486" s="374"/>
      <c r="E486" s="374"/>
      <c r="F486" s="374"/>
      <c r="G486" s="374"/>
      <c r="H486" s="374"/>
      <c r="I486" s="374"/>
      <c r="J486" s="374"/>
      <c r="K486" s="374"/>
      <c r="L486" s="374"/>
      <c r="M486" s="374"/>
      <c r="N486" s="374"/>
      <c r="O486" s="374"/>
      <c r="P486" s="374"/>
      <c r="Q486" s="374"/>
      <c r="R486" s="374"/>
      <c r="S486" s="374"/>
      <c r="T486" s="374"/>
      <c r="U486" s="374"/>
      <c r="V486" s="374"/>
      <c r="W486" s="374"/>
      <c r="X486" s="374"/>
      <c r="Y486" s="374"/>
      <c r="Z486" s="374"/>
      <c r="AA486" s="374"/>
      <c r="AB486" s="374"/>
      <c r="AC486" s="374"/>
      <c r="AD486" s="374"/>
      <c r="AE486" s="374"/>
      <c r="AF486" s="374"/>
      <c r="AG486" s="374"/>
      <c r="AH486" s="374"/>
      <c r="AI486" s="374"/>
      <c r="AJ486" s="374"/>
      <c r="AK486" s="374"/>
      <c r="AL486" s="374"/>
      <c r="AM486" s="374"/>
    </row>
    <row r="487" spans="1:65" ht="18" customHeight="1">
      <c r="A487" s="102"/>
      <c r="B487" s="110" t="s">
        <v>485</v>
      </c>
      <c r="C487" s="374"/>
      <c r="D487" s="374"/>
      <c r="E487" s="374"/>
      <c r="F487" s="374"/>
      <c r="G487" s="374"/>
      <c r="H487" s="374"/>
      <c r="I487" s="374"/>
      <c r="J487" s="374"/>
      <c r="K487" s="374"/>
      <c r="L487" s="374"/>
      <c r="M487" s="374"/>
      <c r="N487" s="374"/>
      <c r="O487" s="374"/>
      <c r="P487" s="374"/>
      <c r="Q487" s="374"/>
      <c r="R487" s="374"/>
      <c r="S487" s="374"/>
      <c r="T487" s="374"/>
      <c r="U487" s="374"/>
      <c r="V487" s="374"/>
      <c r="W487" s="374"/>
      <c r="X487" s="374"/>
      <c r="Y487" s="374"/>
      <c r="Z487" s="374"/>
      <c r="AA487" s="374"/>
      <c r="AB487" s="374"/>
      <c r="AC487" s="374"/>
      <c r="AD487" s="374"/>
      <c r="AE487" s="374"/>
      <c r="AF487" s="374"/>
      <c r="AG487" s="374"/>
      <c r="AH487" s="374"/>
      <c r="AI487" s="374"/>
      <c r="AJ487" s="374"/>
      <c r="AK487" s="374"/>
      <c r="AL487" s="374"/>
      <c r="AM487" s="374"/>
    </row>
    <row r="488" spans="1:65" ht="18" customHeight="1">
      <c r="A488" s="102"/>
      <c r="B488" s="374" t="s">
        <v>155</v>
      </c>
      <c r="C488" s="374"/>
      <c r="D488" s="374"/>
      <c r="E488" s="374"/>
      <c r="F488" s="374"/>
      <c r="G488" s="862">
        <f>I422</f>
        <v>0</v>
      </c>
      <c r="H488" s="862"/>
      <c r="I488" s="862"/>
      <c r="J488" s="862"/>
      <c r="K488" s="862"/>
      <c r="L488" s="855"/>
      <c r="M488" s="855"/>
      <c r="N488" s="855"/>
      <c r="O488" s="855"/>
      <c r="P488" s="855"/>
      <c r="Q488" s="855"/>
      <c r="R488" s="374"/>
      <c r="S488" s="374"/>
      <c r="T488" s="374"/>
      <c r="U488" s="374"/>
      <c r="V488" s="374"/>
      <c r="W488" s="374"/>
      <c r="X488" s="374"/>
      <c r="Y488" s="374"/>
      <c r="Z488" s="374"/>
      <c r="AA488" s="374"/>
      <c r="AB488" s="374"/>
      <c r="AC488" s="374"/>
      <c r="AD488" s="374"/>
      <c r="AE488" s="374"/>
      <c r="AF488" s="374"/>
      <c r="AG488" s="374"/>
      <c r="AH488" s="374"/>
      <c r="AI488" s="374"/>
      <c r="AJ488" s="374"/>
      <c r="AK488" s="374"/>
      <c r="AL488" s="374"/>
      <c r="AM488" s="374"/>
      <c r="AN488" s="374"/>
      <c r="AO488" s="374"/>
      <c r="AP488" s="374"/>
      <c r="AQ488" s="374"/>
      <c r="AR488" s="374"/>
      <c r="AS488" s="374"/>
      <c r="AT488" s="374"/>
    </row>
    <row r="489" spans="1:65" ht="18" customHeight="1">
      <c r="A489" s="102"/>
      <c r="B489" s="374" t="s">
        <v>156</v>
      </c>
      <c r="C489" s="374"/>
      <c r="D489" s="374"/>
      <c r="E489" s="374"/>
      <c r="F489" s="374"/>
      <c r="G489" s="374"/>
      <c r="H489" s="374"/>
      <c r="I489" s="374" t="s">
        <v>486</v>
      </c>
      <c r="J489" s="374"/>
      <c r="K489" s="374"/>
      <c r="L489" s="374"/>
      <c r="M489" s="374"/>
      <c r="N489" s="374"/>
      <c r="O489" s="374"/>
      <c r="P489" s="374"/>
      <c r="Q489" s="374"/>
      <c r="R489" s="374"/>
      <c r="S489" s="374"/>
      <c r="T489" s="374"/>
      <c r="U489" s="105"/>
      <c r="V489" s="105"/>
      <c r="W489" s="105"/>
      <c r="X489" s="374"/>
      <c r="Y489" s="106"/>
      <c r="Z489" s="106"/>
      <c r="AA489" s="106"/>
      <c r="AB489" s="104"/>
      <c r="AC489" s="104"/>
      <c r="AD489" s="374"/>
      <c r="AE489" s="374"/>
      <c r="AF489" s="374"/>
      <c r="AG489" s="374"/>
      <c r="AH489" s="374"/>
      <c r="AI489" s="374"/>
      <c r="AJ489" s="374"/>
      <c r="AK489" s="374"/>
      <c r="AL489" s="374"/>
      <c r="AM489" s="374"/>
      <c r="AN489" s="374"/>
      <c r="AO489" s="374"/>
      <c r="AP489" s="374"/>
      <c r="AQ489" s="374"/>
      <c r="AR489" s="374"/>
      <c r="AS489" s="374"/>
      <c r="AT489" s="374"/>
    </row>
    <row r="490" spans="1:65" ht="18" customHeight="1">
      <c r="A490" s="102"/>
      <c r="B490" s="374"/>
      <c r="C490" s="374"/>
      <c r="D490" s="374"/>
      <c r="E490" s="374"/>
      <c r="F490" s="374"/>
      <c r="G490" s="374"/>
      <c r="H490" s="374"/>
      <c r="I490" s="374"/>
      <c r="J490" s="374" t="s">
        <v>487</v>
      </c>
      <c r="K490" s="374"/>
      <c r="L490" s="374"/>
      <c r="M490" s="374"/>
      <c r="N490" s="374"/>
      <c r="O490" s="374"/>
      <c r="P490" s="374"/>
      <c r="Q490" s="374"/>
      <c r="R490" s="374"/>
      <c r="S490" s="374"/>
      <c r="T490" s="374"/>
      <c r="U490" s="105"/>
      <c r="V490" s="105"/>
      <c r="W490" s="105"/>
      <c r="X490" s="374"/>
      <c r="Y490" s="106"/>
      <c r="Z490" s="106"/>
      <c r="AA490" s="106"/>
      <c r="AB490" s="104"/>
      <c r="AC490" s="104"/>
      <c r="AD490" s="374"/>
      <c r="AE490" s="374"/>
      <c r="AF490" s="374"/>
      <c r="AG490" s="374"/>
      <c r="AH490" s="374"/>
      <c r="AI490" s="374"/>
      <c r="AJ490" s="374"/>
      <c r="AK490" s="374"/>
      <c r="AL490" s="374"/>
      <c r="AM490" s="374"/>
      <c r="AN490" s="374"/>
      <c r="AO490" s="374"/>
      <c r="AP490" s="374"/>
      <c r="AQ490" s="374"/>
      <c r="AR490" s="374"/>
      <c r="AS490" s="374"/>
      <c r="AT490" s="374"/>
    </row>
    <row r="491" spans="1:65" ht="18" customHeight="1">
      <c r="A491" s="102"/>
      <c r="B491" s="374"/>
      <c r="C491" s="374"/>
      <c r="D491" s="374"/>
      <c r="E491" s="374"/>
      <c r="F491" s="374"/>
      <c r="G491" s="387"/>
      <c r="H491" s="374"/>
      <c r="I491" s="374"/>
      <c r="J491" s="374"/>
      <c r="K491" s="374"/>
      <c r="L491" s="374"/>
      <c r="M491" s="374"/>
      <c r="N491" s="374"/>
      <c r="O491" s="374"/>
      <c r="P491" s="867" t="e">
        <f>TEXT($AJ$302,"0.000 000 0 ")&amp;$AJ$303</f>
        <v>#DIV/0!</v>
      </c>
      <c r="Q491" s="867"/>
      <c r="R491" s="867"/>
      <c r="S491" s="867"/>
      <c r="T491" s="867"/>
      <c r="U491" s="867"/>
      <c r="V491" s="867"/>
      <c r="W491" s="867"/>
      <c r="X491" s="867"/>
      <c r="Y491" s="867"/>
      <c r="Z491" s="867"/>
      <c r="AA491" s="710" t="s">
        <v>475</v>
      </c>
      <c r="AB491" s="868" t="e">
        <f ca="1">N249</f>
        <v>#N/A</v>
      </c>
      <c r="AC491" s="868"/>
      <c r="AD491" s="868"/>
      <c r="AE491" s="868"/>
      <c r="AF491" s="710" t="s">
        <v>67</v>
      </c>
      <c r="AG491" s="852" t="e">
        <f ca="1">P436</f>
        <v>#N/A</v>
      </c>
      <c r="AH491" s="852"/>
      <c r="AI491" s="852"/>
      <c r="AJ491" s="852"/>
      <c r="AK491" s="853">
        <f>H249</f>
        <v>0</v>
      </c>
      <c r="AL491" s="853"/>
      <c r="AM491" s="853"/>
      <c r="AN491" s="374"/>
      <c r="AO491" s="374"/>
      <c r="AP491" s="374"/>
      <c r="AQ491" s="374"/>
      <c r="AR491" s="374"/>
      <c r="AS491" s="374"/>
      <c r="AT491" s="374"/>
      <c r="BM491" s="124"/>
    </row>
    <row r="492" spans="1:65" ht="18" customHeight="1">
      <c r="A492" s="102"/>
      <c r="B492" s="374"/>
      <c r="C492" s="374"/>
      <c r="D492" s="374"/>
      <c r="E492" s="374"/>
      <c r="F492" s="374"/>
      <c r="G492" s="387"/>
      <c r="H492" s="374"/>
      <c r="I492" s="374"/>
      <c r="J492" s="374"/>
      <c r="K492" s="374"/>
      <c r="L492" s="374"/>
      <c r="M492" s="374"/>
      <c r="N492" s="374"/>
      <c r="O492" s="374"/>
      <c r="P492" s="867"/>
      <c r="Q492" s="867"/>
      <c r="R492" s="867"/>
      <c r="S492" s="867"/>
      <c r="T492" s="867"/>
      <c r="U492" s="867"/>
      <c r="V492" s="867"/>
      <c r="W492" s="867"/>
      <c r="X492" s="867"/>
      <c r="Y492" s="867"/>
      <c r="Z492" s="867"/>
      <c r="AA492" s="710"/>
      <c r="AB492" s="861">
        <v>2</v>
      </c>
      <c r="AC492" s="861"/>
      <c r="AD492" s="861"/>
      <c r="AE492" s="861"/>
      <c r="AF492" s="710"/>
      <c r="AG492" s="852"/>
      <c r="AH492" s="852"/>
      <c r="AI492" s="852"/>
      <c r="AJ492" s="852"/>
      <c r="AK492" s="853"/>
      <c r="AL492" s="853"/>
      <c r="AM492" s="853"/>
      <c r="AN492" s="374"/>
      <c r="AO492" s="374"/>
      <c r="AP492" s="374"/>
      <c r="AQ492" s="374"/>
      <c r="AR492" s="374"/>
      <c r="AS492" s="374"/>
      <c r="AT492" s="374"/>
      <c r="BM492" s="124"/>
    </row>
    <row r="493" spans="1:65" ht="18" customHeight="1">
      <c r="A493" s="102"/>
      <c r="B493" s="374" t="s">
        <v>157</v>
      </c>
      <c r="C493" s="374"/>
      <c r="D493" s="374"/>
      <c r="E493" s="374"/>
      <c r="F493" s="374"/>
      <c r="G493" s="374"/>
      <c r="H493" s="856" t="str">
        <f>X436</f>
        <v>직사각형</v>
      </c>
      <c r="I493" s="856"/>
      <c r="J493" s="856"/>
      <c r="K493" s="856"/>
      <c r="L493" s="856"/>
      <c r="M493" s="374"/>
      <c r="N493" s="374"/>
      <c r="O493" s="374"/>
      <c r="P493" s="374"/>
      <c r="Q493" s="374"/>
      <c r="R493" s="374"/>
      <c r="S493" s="374"/>
      <c r="T493" s="374"/>
      <c r="U493" s="374"/>
      <c r="V493" s="374"/>
      <c r="W493" s="374"/>
      <c r="X493" s="374"/>
      <c r="Y493" s="374"/>
      <c r="Z493" s="374"/>
      <c r="AA493" s="374"/>
      <c r="AB493" s="374"/>
      <c r="AC493" s="104"/>
      <c r="AD493" s="374"/>
      <c r="AE493" s="374"/>
      <c r="AF493" s="374"/>
      <c r="AG493" s="374"/>
      <c r="AH493" s="374"/>
      <c r="AI493" s="374"/>
      <c r="AJ493" s="374"/>
      <c r="AK493" s="374"/>
      <c r="AL493" s="374"/>
      <c r="AM493" s="374"/>
      <c r="AN493" s="374"/>
      <c r="AO493" s="374"/>
      <c r="AP493" s="374"/>
      <c r="AQ493" s="374"/>
      <c r="AR493" s="374"/>
      <c r="AS493" s="374"/>
      <c r="AT493" s="374"/>
      <c r="BL493" s="98"/>
    </row>
    <row r="494" spans="1:65" ht="18" customHeight="1">
      <c r="A494" s="102"/>
      <c r="B494" s="856" t="s">
        <v>488</v>
      </c>
      <c r="C494" s="856"/>
      <c r="D494" s="856"/>
      <c r="E494" s="856"/>
      <c r="F494" s="856"/>
      <c r="G494" s="856"/>
      <c r="H494" s="374"/>
      <c r="I494" s="374"/>
      <c r="J494" s="374"/>
      <c r="K494" s="374"/>
      <c r="L494" s="374"/>
      <c r="M494" s="374"/>
      <c r="N494" s="374"/>
      <c r="O494" s="374"/>
      <c r="P494" s="374"/>
      <c r="Q494" s="374"/>
      <c r="R494" s="374"/>
      <c r="S494" s="374"/>
      <c r="T494" s="374"/>
      <c r="U494" s="374"/>
      <c r="V494" s="374"/>
      <c r="W494" s="374"/>
      <c r="X494" s="374"/>
      <c r="Y494" s="374"/>
      <c r="Z494" s="374"/>
      <c r="AA494" s="374"/>
      <c r="AB494" s="374"/>
      <c r="AC494" s="374"/>
      <c r="AD494" s="374"/>
      <c r="AE494" s="374"/>
      <c r="AF494" s="374"/>
      <c r="AG494" s="374"/>
      <c r="AH494" s="374"/>
      <c r="AI494" s="374"/>
      <c r="AJ494" s="374"/>
      <c r="AK494" s="374"/>
      <c r="AL494" s="374"/>
      <c r="AM494" s="374"/>
      <c r="AN494" s="374"/>
      <c r="AO494" s="374"/>
      <c r="AP494" s="374"/>
      <c r="AQ494" s="374"/>
      <c r="AR494" s="374"/>
      <c r="AS494" s="374"/>
      <c r="AT494" s="374"/>
    </row>
    <row r="495" spans="1:65" ht="18" customHeight="1">
      <c r="A495" s="102"/>
      <c r="B495" s="856"/>
      <c r="C495" s="856"/>
      <c r="D495" s="856"/>
      <c r="E495" s="856"/>
      <c r="F495" s="856"/>
      <c r="G495" s="856"/>
      <c r="H495" s="374"/>
      <c r="I495" s="374"/>
      <c r="J495" s="374"/>
      <c r="K495" s="374"/>
      <c r="L495" s="374"/>
      <c r="M495" s="374"/>
      <c r="N495" s="374"/>
      <c r="O495" s="374"/>
      <c r="P495" s="374"/>
      <c r="Q495" s="374"/>
      <c r="R495" s="374"/>
      <c r="S495" s="374"/>
      <c r="T495" s="374"/>
      <c r="U495" s="374"/>
      <c r="V495" s="374"/>
      <c r="W495" s="374"/>
      <c r="X495" s="374"/>
      <c r="Y495" s="374"/>
      <c r="Z495" s="374"/>
      <c r="AA495" s="374"/>
      <c r="AB495" s="374"/>
      <c r="AC495" s="374"/>
      <c r="AD495" s="374"/>
      <c r="AE495" s="374"/>
      <c r="AF495" s="374"/>
      <c r="AG495" s="374"/>
      <c r="AH495" s="374"/>
      <c r="AI495" s="374"/>
      <c r="AJ495" s="374"/>
      <c r="AK495" s="374"/>
      <c r="AL495" s="374"/>
      <c r="AM495" s="374"/>
      <c r="AN495" s="374"/>
      <c r="AO495" s="374"/>
      <c r="AP495" s="374"/>
      <c r="AQ495" s="374"/>
      <c r="AR495" s="374"/>
      <c r="AS495" s="374"/>
      <c r="AT495" s="374"/>
    </row>
    <row r="496" spans="1:65" ht="18" customHeight="1">
      <c r="A496" s="102"/>
      <c r="B496" s="374" t="s">
        <v>489</v>
      </c>
      <c r="C496" s="374"/>
      <c r="D496" s="374"/>
      <c r="E496" s="374"/>
      <c r="F496" s="374"/>
      <c r="G496" s="374"/>
      <c r="H496" s="374"/>
      <c r="I496" s="374"/>
      <c r="J496" s="374"/>
      <c r="K496" s="107" t="s">
        <v>162</v>
      </c>
      <c r="L496" s="853" t="e">
        <f ca="1">AG491</f>
        <v>#N/A</v>
      </c>
      <c r="M496" s="853"/>
      <c r="N496" s="853"/>
      <c r="O496" s="853"/>
      <c r="P496" s="852">
        <f>AK491</f>
        <v>0</v>
      </c>
      <c r="Q496" s="852"/>
      <c r="R496" s="108" t="s">
        <v>67</v>
      </c>
      <c r="S496" s="853" t="e">
        <f ca="1">1*L496</f>
        <v>#N/A</v>
      </c>
      <c r="T496" s="853"/>
      <c r="U496" s="853"/>
      <c r="V496" s="853"/>
      <c r="W496" s="852">
        <f>P496</f>
        <v>0</v>
      </c>
      <c r="X496" s="852"/>
      <c r="Y496" s="373"/>
      <c r="Z496" s="221"/>
      <c r="AA496" s="374"/>
      <c r="AB496" s="374"/>
      <c r="AC496" s="374"/>
      <c r="AD496" s="374"/>
      <c r="AE496" s="374"/>
      <c r="AF496" s="374"/>
      <c r="AG496" s="374"/>
      <c r="AH496" s="374"/>
      <c r="AI496" s="374"/>
      <c r="AJ496" s="374"/>
      <c r="AK496" s="374"/>
      <c r="AL496" s="374"/>
      <c r="AM496" s="374"/>
      <c r="AN496" s="374"/>
      <c r="AO496" s="374"/>
      <c r="AP496" s="374"/>
      <c r="AQ496" s="374"/>
      <c r="AR496" s="374"/>
      <c r="AS496" s="374"/>
      <c r="AT496" s="374"/>
    </row>
    <row r="497" spans="1:48" ht="18" customHeight="1">
      <c r="A497" s="102"/>
      <c r="B497" s="374" t="s">
        <v>158</v>
      </c>
      <c r="C497" s="374"/>
      <c r="D497" s="374"/>
      <c r="E497" s="374"/>
      <c r="F497" s="374"/>
      <c r="G497" s="374"/>
      <c r="H497" s="374"/>
      <c r="I497" s="374"/>
      <c r="J497" s="374"/>
      <c r="K497" s="109" t="s">
        <v>490</v>
      </c>
      <c r="L497" s="856" t="str">
        <f>AP436</f>
        <v>∞</v>
      </c>
      <c r="M497" s="856"/>
      <c r="N497" s="856"/>
      <c r="O497" s="856"/>
      <c r="P497" s="856"/>
      <c r="Q497" s="374"/>
      <c r="R497" s="374"/>
      <c r="S497" s="374"/>
      <c r="T497" s="374"/>
      <c r="U497" s="374"/>
      <c r="V497" s="374"/>
      <c r="W497" s="374"/>
      <c r="X497" s="374"/>
      <c r="Y497" s="374"/>
      <c r="Z497" s="374"/>
      <c r="AA497" s="374"/>
      <c r="AB497" s="374"/>
      <c r="AC497" s="374"/>
      <c r="AD497" s="374"/>
      <c r="AE497" s="374"/>
      <c r="AF497" s="374"/>
      <c r="AG497" s="374"/>
      <c r="AH497" s="374"/>
      <c r="AI497" s="374"/>
      <c r="AJ497" s="374"/>
      <c r="AK497" s="374"/>
      <c r="AL497" s="374"/>
      <c r="AM497" s="374"/>
      <c r="AN497" s="374"/>
      <c r="AO497" s="374"/>
      <c r="AP497" s="374"/>
      <c r="AQ497" s="374"/>
      <c r="AR497" s="374"/>
      <c r="AS497" s="374"/>
      <c r="AT497" s="374"/>
    </row>
    <row r="498" spans="1:48" s="374" customFormat="1" ht="18" customHeight="1">
      <c r="A498" s="102"/>
      <c r="K498" s="109"/>
    </row>
    <row r="499" spans="1:48" ht="18" customHeight="1">
      <c r="A499" s="102"/>
      <c r="B499" s="102" t="s">
        <v>491</v>
      </c>
      <c r="C499" s="374"/>
      <c r="D499" s="374"/>
      <c r="E499" s="374"/>
      <c r="F499" s="374"/>
      <c r="G499" s="374"/>
      <c r="H499" s="374"/>
      <c r="I499" s="374"/>
      <c r="J499" s="374"/>
      <c r="K499" s="374"/>
      <c r="L499" s="374"/>
      <c r="M499" s="374"/>
      <c r="N499" s="374"/>
      <c r="O499" s="374"/>
      <c r="P499" s="374"/>
      <c r="Q499" s="374"/>
      <c r="R499" s="374"/>
      <c r="S499" s="374"/>
      <c r="T499" s="374"/>
      <c r="U499" s="374"/>
      <c r="V499" s="374"/>
      <c r="W499" s="374"/>
      <c r="X499" s="374"/>
      <c r="Y499" s="374"/>
      <c r="Z499" s="374"/>
      <c r="AA499" s="374"/>
      <c r="AB499" s="374"/>
      <c r="AC499" s="374"/>
      <c r="AD499" s="374"/>
      <c r="AE499" s="374"/>
      <c r="AF499" s="374"/>
      <c r="AG499" s="374"/>
      <c r="AH499" s="374"/>
      <c r="AI499" s="374"/>
      <c r="AJ499" s="374"/>
      <c r="AK499" s="374"/>
      <c r="AL499" s="374"/>
      <c r="AM499" s="374"/>
      <c r="AN499" s="374"/>
      <c r="AO499" s="374"/>
      <c r="AP499" s="374"/>
      <c r="AQ499" s="374"/>
      <c r="AR499" s="374"/>
      <c r="AS499" s="374"/>
      <c r="AT499" s="374"/>
    </row>
    <row r="500" spans="1:48" ht="18" customHeight="1">
      <c r="A500" s="102"/>
      <c r="B500" s="374" t="s">
        <v>159</v>
      </c>
      <c r="C500" s="374"/>
      <c r="D500" s="374"/>
      <c r="E500" s="374"/>
      <c r="F500" s="374"/>
      <c r="G500" s="862">
        <f>I436</f>
        <v>0</v>
      </c>
      <c r="H500" s="862"/>
      <c r="I500" s="862"/>
      <c r="J500" s="862"/>
      <c r="K500" s="862"/>
      <c r="L500" s="855"/>
      <c r="M500" s="855"/>
      <c r="N500" s="855"/>
      <c r="O500" s="855"/>
      <c r="P500" s="855"/>
      <c r="Q500" s="855"/>
      <c r="R500" s="374"/>
      <c r="S500" s="374"/>
      <c r="T500" s="374"/>
      <c r="U500" s="374"/>
      <c r="V500" s="374"/>
      <c r="W500" s="374"/>
      <c r="X500" s="374"/>
      <c r="Y500" s="374"/>
      <c r="Z500" s="374"/>
      <c r="AA500" s="374"/>
      <c r="AB500" s="374"/>
      <c r="AC500" s="374"/>
      <c r="AD500" s="374"/>
      <c r="AE500" s="374"/>
      <c r="AF500" s="374"/>
      <c r="AG500" s="374"/>
      <c r="AH500" s="374"/>
      <c r="AI500" s="374"/>
      <c r="AJ500" s="374"/>
      <c r="AK500" s="374"/>
      <c r="AL500" s="374"/>
      <c r="AM500" s="374"/>
      <c r="AN500" s="374"/>
      <c r="AO500" s="374"/>
      <c r="AP500" s="374"/>
      <c r="AQ500" s="374"/>
      <c r="AR500" s="374"/>
      <c r="AS500" s="374"/>
      <c r="AT500" s="374"/>
    </row>
    <row r="501" spans="1:48" ht="18" customHeight="1">
      <c r="A501" s="102"/>
      <c r="B501" s="374" t="s">
        <v>160</v>
      </c>
      <c r="C501" s="374"/>
      <c r="D501" s="374"/>
      <c r="E501" s="374"/>
      <c r="F501" s="374"/>
      <c r="G501" s="374"/>
      <c r="H501" s="374"/>
      <c r="I501" s="374" t="s">
        <v>161</v>
      </c>
      <c r="J501" s="374"/>
      <c r="K501" s="374"/>
      <c r="L501" s="374"/>
      <c r="M501" s="374"/>
      <c r="N501" s="374"/>
      <c r="O501" s="374"/>
      <c r="P501" s="374"/>
      <c r="Q501" s="374"/>
      <c r="R501" s="374"/>
      <c r="S501" s="374"/>
      <c r="T501" s="374"/>
      <c r="U501" s="105"/>
      <c r="V501" s="105"/>
      <c r="W501" s="105"/>
      <c r="X501" s="374"/>
      <c r="Y501" s="106"/>
      <c r="Z501" s="106"/>
      <c r="AA501" s="106"/>
      <c r="AB501" s="104"/>
      <c r="AC501" s="104"/>
      <c r="AD501" s="374"/>
      <c r="AE501" s="374"/>
      <c r="AF501" s="374"/>
      <c r="AG501" s="374"/>
      <c r="AH501" s="374"/>
      <c r="AI501" s="374"/>
      <c r="AJ501" s="374"/>
      <c r="AK501" s="374"/>
      <c r="AL501" s="374"/>
      <c r="AM501" s="374"/>
      <c r="AN501" s="374"/>
      <c r="AO501" s="374"/>
      <c r="AP501" s="374"/>
      <c r="AQ501" s="374"/>
      <c r="AR501" s="374"/>
      <c r="AS501" s="374"/>
      <c r="AT501" s="374"/>
    </row>
    <row r="502" spans="1:48" ht="18" customHeight="1">
      <c r="A502" s="102"/>
      <c r="B502" s="374"/>
      <c r="C502" s="374"/>
      <c r="D502" s="374"/>
      <c r="E502" s="374"/>
      <c r="F502" s="387"/>
      <c r="G502" s="387"/>
      <c r="H502" s="374"/>
      <c r="I502" s="374"/>
      <c r="J502" s="374"/>
      <c r="K502" s="374"/>
      <c r="L502" s="374"/>
      <c r="M502" s="374"/>
      <c r="N502" s="374"/>
      <c r="O502" s="374"/>
      <c r="P502" s="374"/>
      <c r="Q502" s="374"/>
      <c r="R502" s="374"/>
      <c r="S502" s="374"/>
      <c r="T502" s="374"/>
      <c r="U502" s="374"/>
      <c r="V502" s="374"/>
      <c r="W502" s="105"/>
      <c r="X502" s="105"/>
      <c r="Y502" s="105"/>
      <c r="Z502" s="374"/>
      <c r="AA502" s="106"/>
      <c r="AD502" s="852" t="e">
        <f ca="1">MAX(ABS(Calcu_ADJ!V$24-Calcu_ADJ!V$9),ABS(Calcu_ADJ!W$24-Calcu_ADJ!W$9),ABS(Calcu_ADJ!X$24-Calcu_ADJ!X$9))</f>
        <v>#VALUE!</v>
      </c>
      <c r="AE502" s="852"/>
      <c r="AF502" s="852"/>
      <c r="AG502" s="852"/>
      <c r="AH502" s="853">
        <f>P256</f>
        <v>0</v>
      </c>
      <c r="AI502" s="853"/>
      <c r="AJ502" s="853"/>
      <c r="AK502" s="374"/>
      <c r="AL502" s="374"/>
      <c r="AM502" s="374"/>
      <c r="AN502" s="374"/>
      <c r="AV502" s="374"/>
    </row>
    <row r="503" spans="1:48" ht="18" customHeight="1">
      <c r="A503" s="102"/>
      <c r="B503" s="374"/>
      <c r="C503" s="374"/>
      <c r="D503" s="374"/>
      <c r="E503" s="374"/>
      <c r="F503" s="387"/>
      <c r="G503" s="387"/>
      <c r="H503" s="374"/>
      <c r="I503" s="374"/>
      <c r="J503" s="374"/>
      <c r="K503" s="374"/>
      <c r="L503" s="374"/>
      <c r="M503" s="374"/>
      <c r="N503" s="374"/>
      <c r="O503" s="374"/>
      <c r="P503" s="374"/>
      <c r="Q503" s="374"/>
      <c r="R503" s="867" t="e">
        <f>TEXT($AJ$302,"0.000 000 0 ")&amp;$AJ$303</f>
        <v>#DIV/0!</v>
      </c>
      <c r="S503" s="867"/>
      <c r="T503" s="867"/>
      <c r="U503" s="867"/>
      <c r="V503" s="867"/>
      <c r="W503" s="867"/>
      <c r="X503" s="867"/>
      <c r="Y503" s="867"/>
      <c r="Z503" s="867"/>
      <c r="AA503" s="867"/>
      <c r="AB503" s="867"/>
      <c r="AC503" s="710" t="s">
        <v>475</v>
      </c>
      <c r="AD503" s="869" t="e">
        <f ca="1">AD502</f>
        <v>#VALUE!</v>
      </c>
      <c r="AE503" s="869"/>
      <c r="AF503" s="869"/>
      <c r="AG503" s="869"/>
      <c r="AH503" s="710" t="s">
        <v>67</v>
      </c>
      <c r="AI503" s="852" t="e">
        <f ca="1">P437</f>
        <v>#VALUE!</v>
      </c>
      <c r="AJ503" s="852"/>
      <c r="AK503" s="852"/>
      <c r="AL503" s="852"/>
      <c r="AM503" s="853">
        <f>V437</f>
        <v>0</v>
      </c>
      <c r="AN503" s="853"/>
      <c r="AO503" s="853"/>
      <c r="AP503" s="374"/>
      <c r="AQ503" s="374"/>
      <c r="AR503" s="374"/>
      <c r="AS503" s="374"/>
      <c r="AT503" s="374"/>
      <c r="AU503" s="374"/>
      <c r="AV503" s="374"/>
    </row>
    <row r="504" spans="1:48" ht="18" customHeight="1">
      <c r="A504" s="102"/>
      <c r="B504" s="374"/>
      <c r="C504" s="374"/>
      <c r="D504" s="374"/>
      <c r="E504" s="374"/>
      <c r="F504" s="387"/>
      <c r="G504" s="387"/>
      <c r="H504" s="374"/>
      <c r="I504" s="374"/>
      <c r="J504" s="374"/>
      <c r="K504" s="374"/>
      <c r="L504" s="374"/>
      <c r="M504" s="374"/>
      <c r="N504" s="374"/>
      <c r="O504" s="374"/>
      <c r="P504" s="374"/>
      <c r="Q504" s="374"/>
      <c r="R504" s="867"/>
      <c r="S504" s="867"/>
      <c r="T504" s="867"/>
      <c r="U504" s="867"/>
      <c r="V504" s="867"/>
      <c r="W504" s="867"/>
      <c r="X504" s="867"/>
      <c r="Y504" s="867"/>
      <c r="Z504" s="867"/>
      <c r="AA504" s="867"/>
      <c r="AB504" s="867"/>
      <c r="AC504" s="710"/>
      <c r="AD504" s="114"/>
      <c r="AE504" s="114"/>
      <c r="AF504" s="114"/>
      <c r="AG504" s="114"/>
      <c r="AH504" s="710"/>
      <c r="AI504" s="852"/>
      <c r="AJ504" s="852"/>
      <c r="AK504" s="852"/>
      <c r="AL504" s="852"/>
      <c r="AM504" s="853"/>
      <c r="AN504" s="853"/>
      <c r="AO504" s="853"/>
      <c r="AP504" s="374"/>
      <c r="AQ504" s="374"/>
      <c r="AR504" s="374"/>
      <c r="AS504" s="374"/>
      <c r="AT504" s="374"/>
      <c r="AU504" s="374"/>
      <c r="AV504" s="374"/>
    </row>
    <row r="505" spans="1:48" ht="18" customHeight="1">
      <c r="A505" s="102"/>
      <c r="B505" s="374" t="s">
        <v>492</v>
      </c>
      <c r="C505" s="374"/>
      <c r="D505" s="374"/>
      <c r="E505" s="374"/>
      <c r="F505" s="374"/>
      <c r="G505" s="374"/>
      <c r="H505" s="856" t="str">
        <f>X437</f>
        <v>직사각형</v>
      </c>
      <c r="I505" s="856"/>
      <c r="J505" s="856"/>
      <c r="K505" s="856"/>
      <c r="L505" s="856"/>
      <c r="M505" s="374"/>
      <c r="N505" s="374"/>
      <c r="O505" s="374"/>
      <c r="P505" s="374"/>
      <c r="Q505" s="374"/>
      <c r="R505" s="374"/>
      <c r="S505" s="374"/>
      <c r="T505" s="374"/>
      <c r="U505" s="374"/>
      <c r="V505" s="374"/>
      <c r="W505" s="374"/>
      <c r="X505" s="374"/>
      <c r="Y505" s="374"/>
      <c r="Z505" s="374"/>
      <c r="AA505" s="374"/>
      <c r="AB505" s="374"/>
      <c r="AC505" s="374"/>
      <c r="AD505" s="374"/>
      <c r="AE505" s="374"/>
      <c r="AF505" s="374"/>
      <c r="AG505" s="374"/>
      <c r="AH505" s="106"/>
      <c r="AI505" s="374"/>
      <c r="AJ505" s="374"/>
      <c r="AK505" s="374"/>
      <c r="AL505" s="374"/>
      <c r="AM505" s="374"/>
      <c r="AN505" s="374"/>
      <c r="AO505" s="374"/>
      <c r="AP505" s="374"/>
      <c r="AQ505" s="374"/>
      <c r="AR505" s="374"/>
      <c r="AS505" s="374"/>
      <c r="AT505" s="374"/>
    </row>
    <row r="506" spans="1:48" ht="18" customHeight="1">
      <c r="A506" s="102"/>
      <c r="B506" s="856" t="s">
        <v>493</v>
      </c>
      <c r="C506" s="856"/>
      <c r="D506" s="856"/>
      <c r="E506" s="856"/>
      <c r="F506" s="856"/>
      <c r="G506" s="856"/>
      <c r="H506" s="374"/>
      <c r="I506" s="374"/>
      <c r="J506" s="374"/>
      <c r="K506" s="374"/>
      <c r="L506" s="374"/>
      <c r="M506" s="374"/>
      <c r="N506" s="374"/>
      <c r="O506" s="374"/>
      <c r="P506" s="374"/>
      <c r="Q506" s="374"/>
      <c r="R506" s="374"/>
      <c r="S506" s="374"/>
      <c r="T506" s="374"/>
      <c r="U506" s="374"/>
      <c r="V506" s="374"/>
      <c r="W506" s="374"/>
      <c r="X506" s="374"/>
      <c r="Y506" s="374"/>
      <c r="Z506" s="374"/>
      <c r="AA506" s="374"/>
      <c r="AB506" s="374"/>
      <c r="AC506" s="374"/>
      <c r="AD506" s="374"/>
      <c r="AE506" s="374"/>
      <c r="AF506" s="374"/>
      <c r="AG506" s="374"/>
      <c r="AH506" s="374"/>
      <c r="AI506" s="374"/>
      <c r="AJ506" s="374"/>
      <c r="AK506" s="374"/>
      <c r="AL506" s="374"/>
      <c r="AM506" s="374"/>
      <c r="AN506" s="374"/>
      <c r="AO506" s="374"/>
      <c r="AP506" s="374"/>
      <c r="AQ506" s="374"/>
      <c r="AR506" s="374"/>
      <c r="AS506" s="374"/>
      <c r="AT506" s="374"/>
    </row>
    <row r="507" spans="1:48" ht="18" customHeight="1">
      <c r="A507" s="102"/>
      <c r="B507" s="856"/>
      <c r="C507" s="856"/>
      <c r="D507" s="856"/>
      <c r="E507" s="856"/>
      <c r="F507" s="856"/>
      <c r="G507" s="856"/>
      <c r="H507" s="374"/>
      <c r="I507" s="374"/>
      <c r="J507" s="374"/>
      <c r="K507" s="374"/>
      <c r="L507" s="374"/>
      <c r="M507" s="374"/>
      <c r="N507" s="374"/>
      <c r="O507" s="374"/>
      <c r="P507" s="374"/>
      <c r="Q507" s="374"/>
      <c r="R507" s="374"/>
      <c r="S507" s="374"/>
      <c r="T507" s="374"/>
      <c r="U507" s="374"/>
      <c r="V507" s="374"/>
      <c r="W507" s="374"/>
      <c r="X507" s="374"/>
      <c r="Y507" s="374"/>
      <c r="Z507" s="374"/>
      <c r="AA507" s="374"/>
      <c r="AB507" s="374"/>
      <c r="AC507" s="374"/>
      <c r="AD507" s="374"/>
      <c r="AE507" s="374"/>
      <c r="AF507" s="374"/>
      <c r="AG507" s="374"/>
      <c r="AH507" s="374"/>
      <c r="AI507" s="374"/>
      <c r="AJ507" s="374"/>
      <c r="AK507" s="374"/>
      <c r="AL507" s="374"/>
      <c r="AM507" s="374"/>
      <c r="AN507" s="374"/>
      <c r="AO507" s="374"/>
      <c r="AP507" s="374"/>
      <c r="AQ507" s="374"/>
      <c r="AR507" s="374"/>
      <c r="AS507" s="374"/>
      <c r="AT507" s="374"/>
    </row>
    <row r="508" spans="1:48" ht="18" customHeight="1">
      <c r="A508" s="102"/>
      <c r="B508" s="374" t="s">
        <v>68</v>
      </c>
      <c r="C508" s="374"/>
      <c r="D508" s="374"/>
      <c r="E508" s="374"/>
      <c r="F508" s="374"/>
      <c r="G508" s="374"/>
      <c r="H508" s="374"/>
      <c r="I508" s="374"/>
      <c r="J508" s="374"/>
      <c r="K508" s="107" t="s">
        <v>162</v>
      </c>
      <c r="L508" s="853" t="e">
        <f ca="1">AI503</f>
        <v>#VALUE!</v>
      </c>
      <c r="M508" s="853"/>
      <c r="N508" s="853"/>
      <c r="O508" s="853"/>
      <c r="P508" s="852">
        <f>AM503</f>
        <v>0</v>
      </c>
      <c r="Q508" s="852"/>
      <c r="R508" s="108" t="s">
        <v>67</v>
      </c>
      <c r="S508" s="853" t="e">
        <f ca="1">1*L508</f>
        <v>#VALUE!</v>
      </c>
      <c r="T508" s="853"/>
      <c r="U508" s="853"/>
      <c r="V508" s="853"/>
      <c r="W508" s="852">
        <f>P508</f>
        <v>0</v>
      </c>
      <c r="X508" s="852"/>
      <c r="Y508" s="373"/>
      <c r="Z508" s="221"/>
      <c r="AA508" s="374"/>
      <c r="AB508" s="374"/>
      <c r="AC508" s="374"/>
      <c r="AD508" s="374"/>
      <c r="AE508" s="374"/>
      <c r="AF508" s="374"/>
      <c r="AG508" s="374"/>
      <c r="AH508" s="374"/>
      <c r="AI508" s="374"/>
      <c r="AJ508" s="374"/>
      <c r="AK508" s="374"/>
      <c r="AL508" s="374"/>
      <c r="AM508" s="374"/>
      <c r="AN508" s="374"/>
      <c r="AO508" s="374"/>
      <c r="AP508" s="374"/>
      <c r="AQ508" s="374"/>
      <c r="AR508" s="374"/>
      <c r="AS508" s="374"/>
      <c r="AT508" s="374"/>
    </row>
    <row r="509" spans="1:48" ht="18" customHeight="1">
      <c r="A509" s="102"/>
      <c r="B509" s="374" t="s">
        <v>494</v>
      </c>
      <c r="C509" s="374"/>
      <c r="D509" s="374"/>
      <c r="E509" s="374"/>
      <c r="F509" s="374"/>
      <c r="G509" s="374"/>
      <c r="H509" s="374"/>
      <c r="I509" s="374"/>
      <c r="J509" s="374"/>
      <c r="K509" s="109"/>
      <c r="P509" s="862">
        <f>AP437</f>
        <v>12.5</v>
      </c>
      <c r="Q509" s="862"/>
      <c r="R509" s="862"/>
      <c r="S509" s="862"/>
      <c r="T509" s="862"/>
      <c r="U509" s="374"/>
      <c r="V509" s="374"/>
      <c r="W509" s="374"/>
      <c r="X509" s="374"/>
      <c r="Y509" s="374"/>
      <c r="Z509" s="374"/>
      <c r="AF509" s="374"/>
      <c r="AG509" s="374"/>
      <c r="AH509" s="374"/>
      <c r="AI509" s="374"/>
      <c r="AJ509" s="374"/>
      <c r="AK509" s="374"/>
      <c r="AL509" s="374"/>
      <c r="AM509" s="374"/>
      <c r="AN509" s="374"/>
      <c r="AO509" s="374"/>
      <c r="AP509" s="374"/>
      <c r="AQ509" s="374"/>
      <c r="AR509" s="374"/>
      <c r="AS509" s="374"/>
    </row>
    <row r="510" spans="1:48" ht="18" customHeight="1">
      <c r="A510" s="102"/>
      <c r="B510" s="374"/>
      <c r="C510" s="374"/>
      <c r="D510" s="374"/>
      <c r="E510" s="374"/>
      <c r="F510" s="374"/>
      <c r="G510" s="374"/>
      <c r="H510" s="374"/>
      <c r="I510" s="374"/>
      <c r="J510" s="374"/>
      <c r="K510" s="109"/>
      <c r="L510" s="376"/>
      <c r="M510" s="376"/>
      <c r="N510" s="376"/>
      <c r="O510" s="376"/>
      <c r="P510" s="862"/>
      <c r="Q510" s="862"/>
      <c r="R510" s="862"/>
      <c r="S510" s="862"/>
      <c r="T510" s="862"/>
      <c r="U510" s="374"/>
      <c r="V510" s="374"/>
      <c r="W510" s="374"/>
      <c r="X510" s="374"/>
      <c r="Y510" s="374"/>
      <c r="Z510" s="374"/>
      <c r="AA510" s="374"/>
      <c r="AB510" s="374"/>
      <c r="AC510" s="374"/>
      <c r="AD510" s="374"/>
      <c r="AE510" s="374"/>
      <c r="AF510" s="374"/>
      <c r="AG510" s="374"/>
      <c r="AH510" s="374"/>
      <c r="AI510" s="374"/>
      <c r="AJ510" s="374"/>
      <c r="AK510" s="374"/>
      <c r="AL510" s="374"/>
      <c r="AM510" s="374"/>
      <c r="AN510" s="374"/>
      <c r="AO510" s="374"/>
      <c r="AP510" s="374"/>
      <c r="AQ510" s="374"/>
      <c r="AR510" s="374"/>
      <c r="AS510" s="374"/>
    </row>
    <row r="511" spans="1:48" ht="18" customHeight="1">
      <c r="A511" s="102"/>
      <c r="B511" s="374"/>
      <c r="C511" s="374"/>
      <c r="D511" s="374"/>
      <c r="E511" s="374"/>
      <c r="F511" s="374"/>
      <c r="G511" s="374"/>
      <c r="H511" s="374"/>
      <c r="I511" s="374"/>
      <c r="J511" s="374"/>
      <c r="K511" s="109"/>
      <c r="L511" s="374"/>
      <c r="M511" s="374"/>
      <c r="N511" s="374"/>
      <c r="O511" s="374"/>
      <c r="P511" s="374"/>
      <c r="Q511" s="374"/>
      <c r="R511" s="374"/>
      <c r="S511" s="374"/>
      <c r="T511" s="374"/>
      <c r="U511" s="374"/>
      <c r="V511" s="374"/>
      <c r="W511" s="374"/>
      <c r="X511" s="374"/>
      <c r="Y511" s="374"/>
      <c r="Z511" s="374"/>
      <c r="AA511" s="374"/>
      <c r="AB511" s="374"/>
      <c r="AC511" s="374"/>
      <c r="AD511" s="374"/>
      <c r="AE511" s="374"/>
      <c r="AF511" s="374"/>
      <c r="AG511" s="374"/>
      <c r="AH511" s="374"/>
      <c r="AI511" s="374"/>
      <c r="AJ511" s="374"/>
      <c r="AK511" s="374"/>
      <c r="AL511" s="374"/>
      <c r="AM511" s="374"/>
      <c r="AN511" s="374"/>
      <c r="AO511" s="374"/>
      <c r="AP511" s="374"/>
      <c r="AQ511" s="374"/>
      <c r="AR511" s="374"/>
      <c r="AS511" s="374"/>
      <c r="AT511" s="374"/>
    </row>
    <row r="512" spans="1:48" ht="18" customHeight="1">
      <c r="A512" s="102"/>
      <c r="B512" s="102" t="s">
        <v>495</v>
      </c>
      <c r="C512" s="374"/>
      <c r="D512" s="374"/>
      <c r="E512" s="374"/>
      <c r="F512" s="374"/>
      <c r="G512" s="374"/>
      <c r="H512" s="374"/>
      <c r="I512" s="374"/>
      <c r="J512" s="374"/>
      <c r="K512" s="374"/>
      <c r="L512" s="374"/>
      <c r="M512" s="374"/>
      <c r="N512" s="374"/>
      <c r="O512" s="374"/>
      <c r="P512" s="374"/>
      <c r="Q512" s="374"/>
      <c r="R512" s="374"/>
      <c r="S512" s="374"/>
      <c r="T512" s="374"/>
      <c r="U512" s="374"/>
      <c r="V512" s="374"/>
      <c r="W512" s="374"/>
      <c r="X512" s="374"/>
      <c r="Y512" s="374"/>
      <c r="Z512" s="374"/>
      <c r="AA512" s="374"/>
      <c r="AB512" s="374"/>
      <c r="AC512" s="374"/>
      <c r="AD512" s="374"/>
      <c r="AE512" s="374"/>
      <c r="AF512" s="374"/>
      <c r="AG512" s="374"/>
      <c r="AH512" s="374"/>
      <c r="AI512" s="374"/>
      <c r="AJ512" s="374"/>
      <c r="AK512" s="374"/>
      <c r="AL512" s="374"/>
      <c r="AM512" s="374"/>
      <c r="AN512" s="374"/>
      <c r="AO512" s="374"/>
      <c r="AP512" s="374"/>
      <c r="AQ512" s="374"/>
      <c r="AR512" s="374"/>
      <c r="AS512" s="374"/>
      <c r="AT512" s="374"/>
    </row>
    <row r="513" spans="1:47" ht="18" customHeight="1">
      <c r="A513" s="102"/>
      <c r="B513" s="374" t="s">
        <v>496</v>
      </c>
      <c r="C513" s="374"/>
      <c r="D513" s="374"/>
      <c r="E513" s="374"/>
      <c r="F513" s="374"/>
      <c r="G513" s="862">
        <f>I467</f>
        <v>0</v>
      </c>
      <c r="H513" s="862"/>
      <c r="I513" s="862"/>
      <c r="J513" s="862"/>
      <c r="K513" s="862"/>
      <c r="L513" s="855"/>
      <c r="M513" s="855"/>
      <c r="N513" s="855"/>
      <c r="O513" s="855"/>
      <c r="P513" s="855"/>
      <c r="Q513" s="855"/>
      <c r="R513" s="374"/>
      <c r="S513" s="374"/>
      <c r="T513" s="374"/>
      <c r="U513" s="374"/>
      <c r="V513" s="374"/>
      <c r="W513" s="374"/>
      <c r="X513" s="374"/>
      <c r="Y513" s="374"/>
      <c r="Z513" s="374"/>
      <c r="AA513" s="374"/>
      <c r="AB513" s="374"/>
      <c r="AC513" s="374"/>
      <c r="AD513" s="374"/>
      <c r="AE513" s="374"/>
      <c r="AF513" s="374"/>
      <c r="AG513" s="374"/>
      <c r="AH513" s="374"/>
      <c r="AI513" s="374"/>
      <c r="AJ513" s="374"/>
      <c r="AK513" s="374"/>
      <c r="AL513" s="374"/>
      <c r="AM513" s="374"/>
      <c r="AN513" s="374"/>
      <c r="AO513" s="374"/>
      <c r="AP513" s="374"/>
      <c r="AQ513" s="374"/>
      <c r="AR513" s="374"/>
      <c r="AS513" s="374"/>
      <c r="AT513" s="374"/>
    </row>
    <row r="514" spans="1:47" ht="18" customHeight="1">
      <c r="A514" s="102"/>
      <c r="B514" s="374" t="s">
        <v>163</v>
      </c>
      <c r="C514" s="374"/>
      <c r="D514" s="374"/>
      <c r="E514" s="374"/>
      <c r="F514" s="374"/>
      <c r="G514" s="374"/>
      <c r="H514" s="374"/>
      <c r="I514" s="374" t="s">
        <v>497</v>
      </c>
      <c r="J514" s="374"/>
      <c r="K514" s="374"/>
      <c r="L514" s="374"/>
      <c r="M514" s="374"/>
      <c r="N514" s="374"/>
      <c r="O514" s="374"/>
      <c r="P514" s="374"/>
      <c r="Q514" s="374"/>
      <c r="R514" s="374"/>
      <c r="S514" s="374"/>
      <c r="T514" s="374"/>
      <c r="U514" s="105"/>
      <c r="V514" s="105"/>
      <c r="W514" s="105"/>
      <c r="X514" s="374"/>
      <c r="Y514" s="106"/>
      <c r="Z514" s="106"/>
      <c r="AA514" s="106"/>
      <c r="AB514" s="104"/>
      <c r="AC514" s="104"/>
      <c r="AD514" s="374"/>
      <c r="AE514" s="374"/>
      <c r="AF514" s="374"/>
      <c r="AG514" s="374"/>
      <c r="AH514" s="374"/>
      <c r="AI514" s="374"/>
      <c r="AJ514" s="374"/>
      <c r="AK514" s="374"/>
      <c r="AL514" s="374"/>
      <c r="AM514" s="374"/>
      <c r="AN514" s="374"/>
      <c r="AO514" s="374"/>
      <c r="AP514" s="374"/>
      <c r="AQ514" s="374"/>
      <c r="AR514" s="374"/>
      <c r="AS514" s="374"/>
      <c r="AT514" s="374"/>
    </row>
    <row r="515" spans="1:47" ht="18" customHeight="1">
      <c r="A515" s="102"/>
      <c r="B515" s="374"/>
      <c r="C515" s="374"/>
      <c r="D515" s="374"/>
      <c r="E515" s="374"/>
      <c r="F515" s="374"/>
      <c r="G515" s="374"/>
      <c r="H515" s="374"/>
      <c r="I515" s="374"/>
      <c r="J515" s="374" t="s">
        <v>164</v>
      </c>
      <c r="K515" s="374"/>
      <c r="L515" s="374"/>
      <c r="M515" s="374"/>
      <c r="N515" s="374"/>
      <c r="O515" s="374"/>
      <c r="P515" s="374"/>
      <c r="Q515" s="374"/>
      <c r="R515" s="374"/>
      <c r="S515" s="374"/>
      <c r="T515" s="374"/>
      <c r="U515" s="105"/>
      <c r="V515" s="105"/>
      <c r="W515" s="105"/>
      <c r="X515" s="374"/>
      <c r="Y515" s="106"/>
      <c r="Z515" s="106"/>
      <c r="AA515" s="106"/>
      <c r="AB515" s="104"/>
      <c r="AC515" s="104"/>
      <c r="AD515" s="374"/>
      <c r="AE515" s="374"/>
      <c r="AF515" s="374"/>
      <c r="AG515" s="374"/>
      <c r="AH515" s="374"/>
      <c r="AI515" s="374"/>
      <c r="AJ515" s="374"/>
      <c r="AK515" s="374"/>
      <c r="AL515" s="374"/>
      <c r="AM515" s="374"/>
      <c r="AN515" s="374"/>
      <c r="AO515" s="374"/>
      <c r="AP515" s="374"/>
      <c r="AQ515" s="374"/>
      <c r="AR515" s="374"/>
      <c r="AS515" s="374"/>
      <c r="AT515" s="374"/>
    </row>
    <row r="516" spans="1:47" ht="18" customHeight="1">
      <c r="A516" s="102"/>
      <c r="B516" s="374"/>
      <c r="C516" s="374"/>
      <c r="D516" s="374"/>
      <c r="E516" s="374"/>
      <c r="F516" s="374"/>
      <c r="G516" s="374"/>
      <c r="H516" s="374"/>
      <c r="I516" s="374" t="s">
        <v>498</v>
      </c>
      <c r="J516" s="374"/>
      <c r="K516" s="374"/>
      <c r="L516" s="374"/>
      <c r="M516" s="374"/>
      <c r="N516" s="374"/>
      <c r="O516" s="374"/>
      <c r="P516" s="374"/>
      <c r="Q516" s="374"/>
      <c r="R516" s="374"/>
      <c r="S516" s="374"/>
      <c r="T516" s="374"/>
      <c r="U516" s="105"/>
      <c r="V516" s="105"/>
      <c r="W516" s="105"/>
      <c r="X516" s="374"/>
      <c r="Y516" s="106"/>
      <c r="Z516" s="106"/>
      <c r="AA516" s="106"/>
      <c r="AB516" s="104"/>
      <c r="AC516" s="104"/>
      <c r="AD516" s="374"/>
      <c r="AE516" s="374"/>
      <c r="AF516" s="374"/>
      <c r="AG516" s="374"/>
      <c r="AH516" s="374"/>
      <c r="AI516" s="374"/>
      <c r="AJ516" s="374"/>
      <c r="AK516" s="374"/>
      <c r="AL516" s="374"/>
      <c r="AM516" s="374"/>
      <c r="AN516" s="374"/>
      <c r="AO516" s="374"/>
      <c r="AP516" s="374"/>
      <c r="AQ516" s="374"/>
      <c r="AR516" s="374"/>
      <c r="AS516" s="374"/>
      <c r="AT516" s="374"/>
    </row>
    <row r="517" spans="1:47" ht="18" customHeight="1">
      <c r="A517" s="102"/>
      <c r="B517" s="374"/>
      <c r="C517" s="374"/>
      <c r="D517" s="374"/>
      <c r="E517" s="374"/>
      <c r="F517" s="374"/>
      <c r="G517" s="374"/>
      <c r="H517" s="374"/>
      <c r="I517" s="374"/>
      <c r="J517" s="374"/>
      <c r="K517" s="374"/>
      <c r="L517" s="374"/>
      <c r="M517" s="374"/>
      <c r="N517" s="374"/>
      <c r="O517" s="374"/>
      <c r="P517" s="374"/>
      <c r="Q517" s="374"/>
      <c r="R517" s="374"/>
      <c r="S517" s="374"/>
      <c r="T517" s="374"/>
      <c r="U517" s="105"/>
      <c r="V517" s="105"/>
      <c r="W517" s="105"/>
      <c r="X517" s="374"/>
      <c r="Y517" s="106"/>
      <c r="Z517" s="113"/>
      <c r="AA517" s="113"/>
      <c r="AB517" s="113"/>
      <c r="AC517" s="113"/>
      <c r="AD517" s="113"/>
      <c r="AE517" s="374"/>
      <c r="AF517" s="374"/>
      <c r="AG517" s="106"/>
      <c r="AH517" s="106"/>
      <c r="AI517" s="104"/>
      <c r="AJ517" s="374"/>
      <c r="AK517" s="374"/>
      <c r="AL517" s="374"/>
      <c r="AM517" s="374"/>
      <c r="AN517" s="374"/>
      <c r="AO517" s="374"/>
      <c r="AP517" s="374"/>
      <c r="AQ517" s="374"/>
      <c r="AR517" s="374"/>
      <c r="AS517" s="374"/>
      <c r="AT517" s="374"/>
    </row>
    <row r="518" spans="1:47" ht="18" customHeight="1">
      <c r="A518" s="102"/>
      <c r="B518" s="374"/>
      <c r="C518" s="374"/>
      <c r="D518" s="374"/>
      <c r="E518" s="374"/>
      <c r="F518" s="374"/>
      <c r="G518" s="374"/>
      <c r="H518" s="374"/>
      <c r="I518" s="374"/>
      <c r="J518" s="387"/>
      <c r="K518" s="374"/>
      <c r="L518" s="372" t="s">
        <v>67</v>
      </c>
      <c r="M518" s="853" t="e">
        <f ca="1">AF427</f>
        <v>#N/A</v>
      </c>
      <c r="N518" s="853"/>
      <c r="O518" s="853"/>
      <c r="P518" s="853"/>
      <c r="Q518" s="853">
        <f>AF426</f>
        <v>0</v>
      </c>
      <c r="R518" s="853"/>
      <c r="S518" s="853"/>
      <c r="T518" s="853"/>
      <c r="U518" s="374"/>
      <c r="V518" s="105"/>
      <c r="W518" s="374"/>
      <c r="X518" s="374"/>
      <c r="Y518" s="374"/>
      <c r="Z518" s="106"/>
      <c r="AA518" s="113"/>
      <c r="AB518" s="113"/>
      <c r="AC518" s="113"/>
      <c r="AD518" s="113"/>
      <c r="AE518" s="113"/>
      <c r="AF518" s="374"/>
      <c r="AG518" s="374"/>
      <c r="AH518" s="106"/>
      <c r="AI518" s="106"/>
      <c r="AJ518" s="104"/>
      <c r="AK518" s="374"/>
      <c r="AL518" s="374"/>
      <c r="AM518" s="374"/>
      <c r="AN518" s="374"/>
      <c r="AO518" s="374"/>
      <c r="AP518" s="374"/>
      <c r="AQ518" s="374"/>
      <c r="AR518" s="374"/>
      <c r="AS518" s="374"/>
      <c r="AT518" s="374"/>
      <c r="AU518" s="374"/>
    </row>
    <row r="519" spans="1:47" ht="18" customHeight="1">
      <c r="A519" s="102"/>
      <c r="B519" s="374"/>
      <c r="C519" s="374"/>
      <c r="D519" s="374"/>
      <c r="E519" s="374"/>
      <c r="F519" s="374"/>
      <c r="G519" s="374"/>
      <c r="H519" s="374"/>
      <c r="I519" s="374" t="s">
        <v>165</v>
      </c>
      <c r="J519" s="374"/>
      <c r="K519" s="374"/>
      <c r="L519" s="374"/>
      <c r="M519" s="374"/>
      <c r="N519" s="374"/>
      <c r="O519" s="374"/>
      <c r="P519" s="374"/>
      <c r="Q519" s="374"/>
      <c r="R519" s="374"/>
      <c r="S519" s="374"/>
      <c r="T519" s="374"/>
      <c r="U519" s="105"/>
      <c r="V519" s="105"/>
      <c r="W519" s="105"/>
      <c r="X519" s="374"/>
      <c r="Y519" s="106"/>
      <c r="Z519" s="106"/>
      <c r="AA519" s="106"/>
      <c r="AB519" s="104"/>
      <c r="AC519" s="104"/>
      <c r="AD519" s="374"/>
      <c r="AE519" s="374"/>
      <c r="AF519" s="374"/>
      <c r="AG519" s="374"/>
      <c r="AH519" s="374"/>
      <c r="AI519" s="374"/>
      <c r="AJ519" s="374"/>
      <c r="AK519" s="374"/>
      <c r="AL519" s="374"/>
      <c r="AM519" s="374"/>
      <c r="AN519" s="374"/>
      <c r="AO519" s="374"/>
      <c r="AP519" s="374"/>
      <c r="AQ519" s="374"/>
      <c r="AR519" s="374"/>
      <c r="AS519" s="374"/>
      <c r="AT519" s="374"/>
    </row>
    <row r="520" spans="1:47" ht="18" customHeight="1">
      <c r="A520" s="102"/>
      <c r="B520" s="374"/>
      <c r="C520" s="374"/>
      <c r="D520" s="374"/>
      <c r="E520" s="374"/>
      <c r="F520" s="374"/>
      <c r="G520" s="374"/>
      <c r="H520" s="374"/>
      <c r="I520" s="374"/>
      <c r="J520" s="374"/>
      <c r="K520" s="374"/>
      <c r="L520" s="374"/>
      <c r="M520" s="374"/>
      <c r="N520" s="374"/>
      <c r="O520" s="374"/>
      <c r="P520" s="374"/>
      <c r="Q520" s="374"/>
      <c r="R520" s="374"/>
      <c r="S520" s="374"/>
      <c r="T520" s="374"/>
      <c r="U520" s="105"/>
      <c r="V520" s="105"/>
      <c r="W520" s="105"/>
      <c r="X520" s="374"/>
      <c r="Y520" s="106"/>
      <c r="Z520" s="113"/>
      <c r="AA520" s="113"/>
      <c r="AB520" s="113"/>
      <c r="AC520" s="113"/>
      <c r="AD520" s="113"/>
      <c r="AE520" s="374"/>
      <c r="AF520" s="374"/>
      <c r="AG520" s="106"/>
      <c r="AH520" s="106"/>
      <c r="AI520" s="104"/>
      <c r="AJ520" s="374"/>
      <c r="AK520" s="374"/>
      <c r="AL520" s="374"/>
      <c r="AM520" s="374"/>
      <c r="AN520" s="374"/>
      <c r="AO520" s="374"/>
      <c r="AP520" s="374"/>
      <c r="AQ520" s="374"/>
      <c r="AR520" s="374"/>
      <c r="AS520" s="374"/>
      <c r="AT520" s="374"/>
    </row>
    <row r="521" spans="1:47" ht="18" customHeight="1">
      <c r="A521" s="102"/>
      <c r="B521" s="374"/>
      <c r="C521" s="374"/>
      <c r="D521" s="374"/>
      <c r="E521" s="374"/>
      <c r="F521" s="374"/>
      <c r="G521" s="374"/>
      <c r="H521" s="374"/>
      <c r="I521" s="374"/>
      <c r="J521" s="387"/>
      <c r="K521" s="374"/>
      <c r="L521" s="372" t="s">
        <v>67</v>
      </c>
      <c r="M521" s="853" t="e">
        <f ca="1">AF428</f>
        <v>#N/A</v>
      </c>
      <c r="N521" s="853"/>
      <c r="O521" s="853"/>
      <c r="P521" s="853"/>
      <c r="Q521" s="853">
        <f>AF426</f>
        <v>0</v>
      </c>
      <c r="R521" s="853"/>
      <c r="S521" s="853"/>
      <c r="T521" s="853"/>
      <c r="U521" s="374"/>
      <c r="V521" s="105"/>
      <c r="W521" s="374"/>
      <c r="X521" s="106"/>
      <c r="Y521" s="374"/>
      <c r="Z521" s="106"/>
      <c r="AA521" s="113"/>
      <c r="AB521" s="113"/>
      <c r="AC521" s="113"/>
      <c r="AD521" s="113"/>
      <c r="AE521" s="113"/>
      <c r="AF521" s="374"/>
      <c r="AG521" s="374"/>
      <c r="AH521" s="106"/>
      <c r="AI521" s="106"/>
      <c r="AJ521" s="104"/>
      <c r="AK521" s="374"/>
      <c r="AL521" s="374"/>
      <c r="AM521" s="374"/>
      <c r="AN521" s="374"/>
      <c r="AO521" s="374"/>
      <c r="AP521" s="374"/>
      <c r="AQ521" s="374"/>
      <c r="AR521" s="374"/>
      <c r="AS521" s="374"/>
      <c r="AT521" s="374"/>
      <c r="AU521" s="374"/>
    </row>
    <row r="522" spans="1:47" ht="18" customHeight="1">
      <c r="A522" s="102"/>
      <c r="B522" s="374"/>
      <c r="C522" s="374"/>
      <c r="D522" s="374"/>
      <c r="E522" s="374"/>
      <c r="F522" s="374"/>
      <c r="G522" s="374"/>
      <c r="H522" s="374"/>
      <c r="I522" s="374" t="s">
        <v>166</v>
      </c>
      <c r="J522" s="374"/>
      <c r="K522" s="372"/>
      <c r="L522" s="113"/>
      <c r="M522" s="113"/>
      <c r="N522" s="113"/>
      <c r="O522" s="374"/>
      <c r="P522" s="374"/>
      <c r="Q522" s="374"/>
      <c r="R522" s="374"/>
      <c r="S522" s="374"/>
      <c r="T522" s="374"/>
      <c r="U522" s="105"/>
      <c r="V522" s="105"/>
      <c r="W522" s="105"/>
      <c r="X522" s="374"/>
      <c r="Y522" s="106"/>
      <c r="Z522" s="113"/>
      <c r="AA522" s="113"/>
      <c r="AB522" s="113"/>
      <c r="AC522" s="113"/>
      <c r="AD522" s="113"/>
      <c r="AE522" s="374"/>
      <c r="AF522" s="374"/>
      <c r="AG522" s="106"/>
      <c r="AH522" s="106"/>
      <c r="AI522" s="104"/>
      <c r="AJ522" s="374"/>
      <c r="AK522" s="374"/>
      <c r="AL522" s="374"/>
      <c r="AM522" s="374"/>
      <c r="AN522" s="374"/>
      <c r="AO522" s="374"/>
      <c r="AP522" s="374"/>
      <c r="AQ522" s="374"/>
      <c r="AR522" s="374"/>
      <c r="AS522" s="374"/>
      <c r="AT522" s="374"/>
    </row>
    <row r="523" spans="1:47" ht="18" customHeight="1">
      <c r="A523" s="102"/>
      <c r="B523" s="374"/>
      <c r="C523" s="374"/>
      <c r="D523" s="374"/>
      <c r="E523" s="374"/>
      <c r="F523" s="374"/>
      <c r="G523" s="374"/>
      <c r="H523" s="374"/>
      <c r="I523" s="374"/>
      <c r="J523" s="374"/>
      <c r="K523" s="372"/>
      <c r="L523" s="113"/>
      <c r="M523" s="113"/>
      <c r="N523" s="113"/>
      <c r="O523" s="374"/>
      <c r="P523" s="374"/>
      <c r="Q523" s="374"/>
      <c r="R523" s="853" t="e">
        <f ca="1">MAX(M518,M521)</f>
        <v>#N/A</v>
      </c>
      <c r="S523" s="853"/>
      <c r="T523" s="853"/>
      <c r="U523" s="853"/>
      <c r="V523" s="853">
        <f>Q518</f>
        <v>0</v>
      </c>
      <c r="W523" s="853"/>
      <c r="X523" s="853"/>
      <c r="Y523" s="853"/>
      <c r="Z523" s="374"/>
      <c r="AA523" s="105"/>
      <c r="AB523" s="374"/>
      <c r="AC523" s="106"/>
      <c r="AD523" s="374"/>
      <c r="AE523" s="106"/>
      <c r="AF523" s="113"/>
      <c r="AG523" s="113"/>
      <c r="AH523" s="106"/>
      <c r="AI523" s="104"/>
      <c r="AJ523" s="374"/>
      <c r="AK523" s="374"/>
      <c r="AL523" s="374"/>
      <c r="AM523" s="374"/>
      <c r="AN523" s="374"/>
      <c r="AO523" s="374"/>
      <c r="AP523" s="374"/>
      <c r="AQ523" s="374"/>
      <c r="AR523" s="374"/>
      <c r="AS523" s="374"/>
      <c r="AT523" s="374"/>
    </row>
    <row r="524" spans="1:47" ht="18" customHeight="1">
      <c r="A524" s="102"/>
      <c r="B524" s="374"/>
      <c r="C524" s="374"/>
      <c r="D524" s="374"/>
      <c r="E524" s="374"/>
      <c r="F524" s="374"/>
      <c r="G524" s="374"/>
      <c r="H524" s="374"/>
      <c r="I524" s="374"/>
      <c r="J524" s="374"/>
      <c r="K524" s="374"/>
      <c r="L524" s="374"/>
      <c r="M524" s="374"/>
      <c r="N524" s="374"/>
      <c r="O524" s="374"/>
      <c r="P524" s="115"/>
      <c r="Q524" s="867" t="e">
        <f>TEXT($AJ$302,"0.000 000 0 ")&amp;$AJ$303</f>
        <v>#DIV/0!</v>
      </c>
      <c r="R524" s="867"/>
      <c r="S524" s="867"/>
      <c r="T524" s="867"/>
      <c r="U524" s="867"/>
      <c r="V524" s="867"/>
      <c r="W524" s="867"/>
      <c r="X524" s="867"/>
      <c r="Y524" s="867"/>
      <c r="Z524" s="867"/>
      <c r="AA524" s="867"/>
      <c r="AB524" s="710" t="s">
        <v>475</v>
      </c>
      <c r="AC524" s="869" t="e">
        <f ca="1">R523</f>
        <v>#N/A</v>
      </c>
      <c r="AD524" s="869"/>
      <c r="AE524" s="869"/>
      <c r="AF524" s="869"/>
      <c r="AG524" s="710" t="s">
        <v>67</v>
      </c>
      <c r="AH524" s="852" t="e">
        <f ca="1">P438</f>
        <v>#N/A</v>
      </c>
      <c r="AI524" s="852"/>
      <c r="AJ524" s="852"/>
      <c r="AK524" s="852"/>
      <c r="AL524" s="853">
        <f>V438</f>
        <v>0</v>
      </c>
      <c r="AM524" s="853"/>
      <c r="AN524" s="853"/>
      <c r="AO524" s="374"/>
      <c r="AP524" s="374"/>
      <c r="AQ524" s="374"/>
      <c r="AR524" s="374"/>
      <c r="AS524" s="374"/>
      <c r="AT524" s="374"/>
    </row>
    <row r="525" spans="1:47" ht="18" customHeight="1">
      <c r="A525" s="102"/>
      <c r="B525" s="374"/>
      <c r="C525" s="374"/>
      <c r="D525" s="374"/>
      <c r="E525" s="374"/>
      <c r="F525" s="374"/>
      <c r="G525" s="374"/>
      <c r="H525" s="374"/>
      <c r="I525" s="374"/>
      <c r="J525" s="374"/>
      <c r="K525" s="374"/>
      <c r="L525" s="374"/>
      <c r="M525" s="374"/>
      <c r="N525" s="374"/>
      <c r="O525" s="374"/>
      <c r="P525" s="115"/>
      <c r="Q525" s="867"/>
      <c r="R525" s="867"/>
      <c r="S525" s="867"/>
      <c r="T525" s="867"/>
      <c r="U525" s="867"/>
      <c r="V525" s="867"/>
      <c r="W525" s="867"/>
      <c r="X525" s="867"/>
      <c r="Y525" s="867"/>
      <c r="Z525" s="867"/>
      <c r="AA525" s="867"/>
      <c r="AB525" s="710"/>
      <c r="AC525" s="114"/>
      <c r="AD525" s="114"/>
      <c r="AE525" s="114"/>
      <c r="AF525" s="114"/>
      <c r="AG525" s="710"/>
      <c r="AH525" s="852"/>
      <c r="AI525" s="852"/>
      <c r="AJ525" s="852"/>
      <c r="AK525" s="852"/>
      <c r="AL525" s="853"/>
      <c r="AM525" s="853"/>
      <c r="AN525" s="853"/>
      <c r="AO525" s="374"/>
      <c r="AP525" s="374"/>
      <c r="AQ525" s="374"/>
      <c r="AR525" s="374"/>
      <c r="AS525" s="374"/>
      <c r="AT525" s="374"/>
    </row>
    <row r="526" spans="1:47" ht="18" customHeight="1">
      <c r="A526" s="102"/>
      <c r="B526" s="374" t="s">
        <v>499</v>
      </c>
      <c r="C526" s="374"/>
      <c r="D526" s="374"/>
      <c r="E526" s="374"/>
      <c r="F526" s="374"/>
      <c r="G526" s="374"/>
      <c r="H526" s="856" t="str">
        <f>X438</f>
        <v>직사각형</v>
      </c>
      <c r="I526" s="856"/>
      <c r="J526" s="856"/>
      <c r="K526" s="856"/>
      <c r="L526" s="856"/>
      <c r="M526" s="374"/>
      <c r="N526" s="374"/>
      <c r="O526" s="374"/>
      <c r="P526" s="374"/>
      <c r="Q526" s="374"/>
      <c r="R526" s="374"/>
      <c r="S526" s="374"/>
      <c r="T526" s="374"/>
      <c r="U526" s="374"/>
      <c r="V526" s="374"/>
      <c r="W526" s="374"/>
      <c r="X526" s="374"/>
      <c r="Y526" s="374"/>
      <c r="Z526" s="374"/>
      <c r="AA526" s="374"/>
      <c r="AB526" s="374"/>
      <c r="AC526" s="374"/>
      <c r="AD526" s="374"/>
      <c r="AE526" s="374"/>
      <c r="AF526" s="374"/>
      <c r="AG526" s="374"/>
      <c r="AH526" s="374"/>
      <c r="AI526" s="374"/>
      <c r="AJ526" s="374"/>
      <c r="AK526" s="374"/>
      <c r="AL526" s="374"/>
      <c r="AM526" s="374"/>
      <c r="AN526" s="374"/>
      <c r="AO526" s="374"/>
      <c r="AP526" s="374"/>
      <c r="AQ526" s="374"/>
      <c r="AR526" s="374"/>
      <c r="AS526" s="374"/>
      <c r="AT526" s="374"/>
    </row>
    <row r="527" spans="1:47" ht="18" customHeight="1">
      <c r="A527" s="102"/>
      <c r="B527" s="856" t="s">
        <v>500</v>
      </c>
      <c r="C527" s="856"/>
      <c r="D527" s="856"/>
      <c r="E527" s="856"/>
      <c r="F527" s="856"/>
      <c r="G527" s="856"/>
      <c r="H527" s="374"/>
      <c r="I527" s="374"/>
      <c r="J527" s="374"/>
      <c r="K527" s="374"/>
      <c r="L527" s="374"/>
      <c r="M527" s="374"/>
      <c r="N527" s="374"/>
      <c r="O527" s="374"/>
      <c r="P527" s="374"/>
      <c r="Q527" s="374"/>
      <c r="R527" s="374"/>
      <c r="S527" s="374"/>
      <c r="T527" s="374"/>
      <c r="U527" s="374"/>
      <c r="V527" s="374"/>
      <c r="W527" s="374"/>
      <c r="X527" s="374"/>
      <c r="Y527" s="374"/>
      <c r="Z527" s="374"/>
      <c r="AA527" s="374"/>
      <c r="AB527" s="374"/>
      <c r="AC527" s="374"/>
      <c r="AD527" s="374"/>
      <c r="AE527" s="374"/>
      <c r="AF527" s="374"/>
      <c r="AG527" s="374"/>
      <c r="AH527" s="374"/>
      <c r="AI527" s="374"/>
      <c r="AJ527" s="374"/>
      <c r="AK527" s="374"/>
      <c r="AL527" s="374"/>
      <c r="AM527" s="374"/>
      <c r="AN527" s="374"/>
      <c r="AO527" s="374"/>
      <c r="AP527" s="374"/>
      <c r="AQ527" s="374"/>
      <c r="AR527" s="374"/>
      <c r="AS527" s="374"/>
      <c r="AT527" s="374"/>
    </row>
    <row r="528" spans="1:47" ht="18" customHeight="1">
      <c r="A528" s="102"/>
      <c r="B528" s="856"/>
      <c r="C528" s="856"/>
      <c r="D528" s="856"/>
      <c r="E528" s="856"/>
      <c r="F528" s="856"/>
      <c r="G528" s="856"/>
      <c r="H528" s="374"/>
      <c r="I528" s="374"/>
      <c r="J528" s="374"/>
      <c r="K528" s="374"/>
      <c r="L528" s="374"/>
      <c r="M528" s="374"/>
      <c r="N528" s="374"/>
      <c r="O528" s="374"/>
      <c r="P528" s="374"/>
      <c r="Q528" s="374"/>
      <c r="R528" s="374"/>
      <c r="S528" s="374"/>
      <c r="T528" s="374"/>
      <c r="U528" s="374"/>
      <c r="V528" s="374"/>
      <c r="W528" s="374"/>
      <c r="X528" s="374"/>
      <c r="Y528" s="374"/>
      <c r="Z528" s="374"/>
      <c r="AA528" s="374"/>
      <c r="AB528" s="374"/>
      <c r="AC528" s="374"/>
      <c r="AD528" s="374"/>
      <c r="AE528" s="374"/>
      <c r="AF528" s="374"/>
      <c r="AG528" s="374"/>
      <c r="AH528" s="374"/>
      <c r="AI528" s="374"/>
      <c r="AJ528" s="374"/>
      <c r="AK528" s="374"/>
      <c r="AL528" s="374"/>
      <c r="AM528" s="374"/>
      <c r="AN528" s="374"/>
      <c r="AO528" s="374"/>
      <c r="AP528" s="374"/>
      <c r="AQ528" s="374"/>
      <c r="AR528" s="374"/>
      <c r="AS528" s="374"/>
      <c r="AT528" s="374"/>
    </row>
    <row r="529" spans="1:46" ht="18" customHeight="1">
      <c r="A529" s="102"/>
      <c r="B529" s="374" t="s">
        <v>501</v>
      </c>
      <c r="C529" s="374"/>
      <c r="D529" s="374"/>
      <c r="E529" s="374"/>
      <c r="F529" s="374"/>
      <c r="G529" s="374"/>
      <c r="H529" s="374"/>
      <c r="I529" s="374"/>
      <c r="J529" s="374"/>
      <c r="K529" s="107" t="s">
        <v>162</v>
      </c>
      <c r="L529" s="853" t="e">
        <f ca="1">AH524</f>
        <v>#N/A</v>
      </c>
      <c r="M529" s="853"/>
      <c r="N529" s="853"/>
      <c r="O529" s="853"/>
      <c r="P529" s="852">
        <f>AL524</f>
        <v>0</v>
      </c>
      <c r="Q529" s="852"/>
      <c r="R529" s="108" t="s">
        <v>502</v>
      </c>
      <c r="S529" s="853" t="e">
        <f ca="1">1*L529</f>
        <v>#N/A</v>
      </c>
      <c r="T529" s="853"/>
      <c r="U529" s="853"/>
      <c r="V529" s="853"/>
      <c r="W529" s="852">
        <f>P529</f>
        <v>0</v>
      </c>
      <c r="X529" s="852"/>
      <c r="Y529" s="373"/>
      <c r="Z529" s="221"/>
      <c r="AA529" s="374"/>
      <c r="AB529" s="374"/>
      <c r="AC529" s="374"/>
      <c r="AD529" s="374"/>
      <c r="AE529" s="374"/>
      <c r="AF529" s="374"/>
      <c r="AG529" s="374"/>
      <c r="AH529" s="374"/>
      <c r="AI529" s="374"/>
      <c r="AJ529" s="374"/>
      <c r="AK529" s="374"/>
      <c r="AL529" s="374"/>
      <c r="AM529" s="374"/>
      <c r="AN529" s="374"/>
      <c r="AO529" s="374"/>
      <c r="AP529" s="374"/>
      <c r="AQ529" s="374"/>
      <c r="AR529" s="374"/>
      <c r="AS529" s="374"/>
      <c r="AT529" s="374"/>
    </row>
    <row r="530" spans="1:46" ht="18" customHeight="1">
      <c r="A530" s="102"/>
      <c r="B530" s="374" t="s">
        <v>503</v>
      </c>
      <c r="C530" s="374"/>
      <c r="D530" s="374"/>
      <c r="E530" s="374"/>
      <c r="F530" s="374"/>
      <c r="G530" s="374"/>
      <c r="H530" s="374"/>
      <c r="I530" s="374"/>
      <c r="J530" s="374"/>
      <c r="K530" s="109"/>
      <c r="P530" s="862">
        <f>AP438</f>
        <v>12.5</v>
      </c>
      <c r="Q530" s="862"/>
      <c r="R530" s="862"/>
      <c r="S530" s="862"/>
      <c r="T530" s="862"/>
      <c r="U530" s="374"/>
      <c r="V530" s="374"/>
      <c r="W530" s="374"/>
      <c r="X530" s="374"/>
      <c r="Y530" s="374"/>
      <c r="Z530" s="374"/>
      <c r="AA530" s="374"/>
      <c r="AB530" s="374"/>
      <c r="AC530" s="374"/>
      <c r="AD530" s="374"/>
      <c r="AE530" s="374"/>
      <c r="AK530" s="374"/>
      <c r="AL530" s="374"/>
      <c r="AM530" s="374"/>
      <c r="AN530" s="374"/>
      <c r="AO530" s="374"/>
      <c r="AP530" s="374"/>
      <c r="AQ530" s="374"/>
      <c r="AR530" s="374"/>
      <c r="AS530" s="374"/>
      <c r="AT530" s="374"/>
    </row>
    <row r="531" spans="1:46" ht="18" customHeight="1">
      <c r="A531" s="102"/>
      <c r="B531" s="374"/>
      <c r="C531" s="374"/>
      <c r="D531" s="374"/>
      <c r="E531" s="374"/>
      <c r="F531" s="374"/>
      <c r="G531" s="374"/>
      <c r="H531" s="374"/>
      <c r="I531" s="374"/>
      <c r="J531" s="374"/>
      <c r="K531" s="109"/>
      <c r="L531" s="376"/>
      <c r="M531" s="376"/>
      <c r="N531" s="376"/>
      <c r="O531" s="376"/>
      <c r="P531" s="862"/>
      <c r="Q531" s="862"/>
      <c r="R531" s="862"/>
      <c r="S531" s="862"/>
      <c r="T531" s="862"/>
      <c r="U531" s="374"/>
      <c r="V531" s="374"/>
      <c r="W531" s="374"/>
      <c r="X531" s="374"/>
      <c r="Y531" s="374"/>
      <c r="Z531" s="374"/>
      <c r="AA531" s="374"/>
      <c r="AB531" s="374"/>
      <c r="AC531" s="374"/>
      <c r="AD531" s="374"/>
      <c r="AE531" s="374"/>
      <c r="AF531" s="374"/>
      <c r="AG531" s="374"/>
      <c r="AH531" s="374"/>
      <c r="AI531" s="374"/>
      <c r="AJ531" s="374"/>
      <c r="AK531" s="374"/>
      <c r="AL531" s="374"/>
      <c r="AM531" s="374"/>
      <c r="AN531" s="374"/>
      <c r="AO531" s="374"/>
      <c r="AP531" s="374"/>
      <c r="AQ531" s="374"/>
      <c r="AR531" s="374"/>
      <c r="AS531" s="374"/>
      <c r="AT531" s="374"/>
    </row>
    <row r="532" spans="1:46" ht="18" customHeight="1">
      <c r="A532" s="102"/>
      <c r="B532" s="374"/>
      <c r="C532" s="374"/>
      <c r="D532" s="374"/>
      <c r="E532" s="374"/>
      <c r="F532" s="374"/>
      <c r="G532" s="374"/>
      <c r="H532" s="374"/>
      <c r="I532" s="374"/>
      <c r="J532" s="374"/>
      <c r="K532" s="374"/>
      <c r="L532" s="374"/>
      <c r="M532" s="374"/>
      <c r="N532" s="374"/>
      <c r="O532" s="374"/>
      <c r="P532" s="374"/>
      <c r="Q532" s="374"/>
      <c r="R532" s="374"/>
      <c r="S532" s="374"/>
      <c r="T532" s="374"/>
      <c r="U532" s="374"/>
      <c r="V532" s="374"/>
      <c r="W532" s="374"/>
      <c r="X532" s="374"/>
      <c r="Y532" s="374"/>
      <c r="Z532" s="374"/>
      <c r="AA532" s="374"/>
      <c r="AB532" s="374"/>
      <c r="AC532" s="374"/>
      <c r="AD532" s="374"/>
      <c r="AE532" s="374"/>
      <c r="AF532" s="374"/>
      <c r="AG532" s="374"/>
      <c r="AH532" s="374"/>
      <c r="AI532" s="374"/>
      <c r="AJ532" s="374"/>
      <c r="AK532" s="374"/>
      <c r="AL532" s="374"/>
      <c r="AM532" s="374"/>
      <c r="AN532" s="374"/>
      <c r="AO532" s="374"/>
      <c r="AP532" s="374"/>
      <c r="AQ532" s="374"/>
      <c r="AR532" s="374"/>
      <c r="AS532" s="374"/>
      <c r="AT532" s="374"/>
    </row>
    <row r="533" spans="1:46" ht="18" customHeight="1">
      <c r="A533" s="102"/>
      <c r="B533" s="102" t="s">
        <v>504</v>
      </c>
      <c r="C533" s="374"/>
      <c r="D533" s="374"/>
      <c r="E533" s="374"/>
      <c r="F533" s="374"/>
      <c r="G533" s="374"/>
      <c r="H533" s="374"/>
      <c r="I533" s="374"/>
      <c r="J533" s="374"/>
      <c r="K533" s="374"/>
      <c r="L533" s="374"/>
      <c r="M533" s="374"/>
      <c r="N533" s="374"/>
      <c r="O533" s="374"/>
      <c r="P533" s="374"/>
      <c r="Q533" s="374"/>
      <c r="R533" s="374"/>
      <c r="S533" s="374"/>
      <c r="T533" s="374"/>
      <c r="U533" s="374"/>
      <c r="V533" s="374"/>
      <c r="W533" s="374"/>
      <c r="X533" s="374"/>
      <c r="Y533" s="374"/>
      <c r="Z533" s="374"/>
      <c r="AA533" s="374"/>
      <c r="AB533" s="374"/>
      <c r="AC533" s="374"/>
      <c r="AD533" s="374"/>
      <c r="AE533" s="374"/>
      <c r="AF533" s="374"/>
      <c r="AG533" s="374"/>
      <c r="AH533" s="374"/>
      <c r="AI533" s="374"/>
      <c r="AJ533" s="374"/>
      <c r="AK533" s="374"/>
      <c r="AL533" s="374"/>
      <c r="AM533" s="374"/>
      <c r="AN533" s="374"/>
      <c r="AO533" s="374"/>
      <c r="AP533" s="374"/>
      <c r="AQ533" s="374"/>
      <c r="AR533" s="374"/>
      <c r="AS533" s="374"/>
      <c r="AT533" s="374"/>
    </row>
    <row r="534" spans="1:46" ht="18" customHeight="1">
      <c r="A534" s="102"/>
      <c r="B534" s="374" t="s">
        <v>167</v>
      </c>
      <c r="C534" s="374"/>
      <c r="D534" s="374"/>
      <c r="E534" s="374"/>
      <c r="F534" s="374"/>
      <c r="G534" s="862">
        <f>I483</f>
        <v>0</v>
      </c>
      <c r="H534" s="862"/>
      <c r="I534" s="862"/>
      <c r="J534" s="862"/>
      <c r="K534" s="862"/>
      <c r="L534" s="855"/>
      <c r="M534" s="855"/>
      <c r="N534" s="855"/>
      <c r="O534" s="855"/>
      <c r="P534" s="855"/>
      <c r="Q534" s="855"/>
      <c r="R534" s="374"/>
      <c r="S534" s="374"/>
      <c r="T534" s="374"/>
      <c r="U534" s="374"/>
      <c r="V534" s="374"/>
      <c r="W534" s="374"/>
      <c r="X534" s="374"/>
      <c r="Y534" s="374"/>
      <c r="Z534" s="374"/>
      <c r="AA534" s="374"/>
      <c r="AB534" s="374"/>
      <c r="AC534" s="374"/>
      <c r="AD534" s="374"/>
      <c r="AE534" s="374"/>
      <c r="AF534" s="374"/>
      <c r="AG534" s="374"/>
      <c r="AH534" s="374"/>
      <c r="AI534" s="374"/>
      <c r="AJ534" s="374"/>
      <c r="AK534" s="374"/>
      <c r="AL534" s="374"/>
      <c r="AM534" s="374"/>
      <c r="AN534" s="374"/>
      <c r="AO534" s="374"/>
      <c r="AP534" s="374"/>
      <c r="AQ534" s="374"/>
      <c r="AR534" s="374"/>
      <c r="AS534" s="374"/>
      <c r="AT534" s="374"/>
    </row>
    <row r="535" spans="1:46" ht="18" customHeight="1">
      <c r="A535" s="102"/>
      <c r="B535" s="374" t="s">
        <v>168</v>
      </c>
      <c r="C535" s="374"/>
      <c r="D535" s="374"/>
      <c r="E535" s="374"/>
      <c r="F535" s="374"/>
      <c r="G535" s="374"/>
      <c r="H535" s="374"/>
      <c r="I535" s="374" t="s">
        <v>169</v>
      </c>
      <c r="J535" s="374"/>
      <c r="K535" s="374"/>
      <c r="L535" s="374"/>
      <c r="M535" s="374"/>
      <c r="N535" s="374"/>
      <c r="O535" s="374"/>
      <c r="P535" s="374"/>
      <c r="Q535" s="374"/>
      <c r="R535" s="374"/>
      <c r="S535" s="374"/>
      <c r="T535" s="374"/>
      <c r="U535" s="105"/>
      <c r="V535" s="105"/>
      <c r="W535" s="105"/>
      <c r="X535" s="374"/>
      <c r="Y535" s="106"/>
      <c r="Z535" s="106"/>
      <c r="AA535" s="106"/>
      <c r="AB535" s="104"/>
      <c r="AC535" s="104"/>
      <c r="AD535" s="374"/>
      <c r="AE535" s="374"/>
      <c r="AF535" s="374"/>
      <c r="AG535" s="374"/>
      <c r="AH535" s="374"/>
      <c r="AI535" s="374"/>
      <c r="AJ535" s="374"/>
      <c r="AK535" s="374"/>
      <c r="AL535" s="374"/>
      <c r="AM535" s="374"/>
      <c r="AN535" s="374"/>
      <c r="AO535" s="374"/>
      <c r="AP535" s="374"/>
      <c r="AQ535" s="374"/>
      <c r="AR535" s="374"/>
      <c r="AS535" s="374"/>
      <c r="AT535" s="374"/>
    </row>
    <row r="536" spans="1:46" ht="18" customHeight="1">
      <c r="A536" s="102"/>
      <c r="B536" s="374"/>
      <c r="C536" s="374"/>
      <c r="D536" s="374"/>
      <c r="E536" s="374"/>
      <c r="F536" s="374"/>
      <c r="G536" s="374"/>
      <c r="H536" s="374"/>
      <c r="I536" s="374"/>
      <c r="J536" s="374"/>
      <c r="K536" s="374"/>
      <c r="L536" s="374"/>
      <c r="M536" s="374"/>
      <c r="N536" s="374"/>
      <c r="O536" s="374"/>
      <c r="P536" s="374"/>
      <c r="Q536" s="374"/>
      <c r="R536" s="374"/>
      <c r="S536" s="374"/>
      <c r="T536" s="374"/>
      <c r="U536" s="105"/>
      <c r="V536" s="105"/>
      <c r="W536" s="105"/>
      <c r="X536" s="374"/>
      <c r="Y536" s="106"/>
      <c r="Z536" s="106"/>
      <c r="AD536" s="852" t="e">
        <f ca="1">H251</f>
        <v>#N/A</v>
      </c>
      <c r="AE536" s="852"/>
      <c r="AF536" s="852"/>
      <c r="AG536" s="852"/>
      <c r="AH536" s="853">
        <f>Calcu_ADJ!K44</f>
        <v>0</v>
      </c>
      <c r="AI536" s="853"/>
      <c r="AJ536" s="853"/>
      <c r="AK536" s="374"/>
      <c r="AL536" s="374"/>
      <c r="AM536" s="374"/>
      <c r="AN536" s="374"/>
      <c r="AO536" s="374"/>
      <c r="AP536" s="374"/>
      <c r="AQ536" s="374"/>
      <c r="AR536" s="374"/>
      <c r="AS536" s="374"/>
      <c r="AT536" s="374"/>
    </row>
    <row r="537" spans="1:46" ht="18" customHeight="1">
      <c r="A537" s="102"/>
      <c r="B537" s="374"/>
      <c r="C537" s="374"/>
      <c r="D537" s="374"/>
      <c r="E537" s="374"/>
      <c r="F537" s="374"/>
      <c r="G537" s="374"/>
      <c r="H537" s="374"/>
      <c r="I537" s="374"/>
      <c r="J537" s="374"/>
      <c r="K537" s="374"/>
      <c r="L537" s="374"/>
      <c r="M537" s="374"/>
      <c r="N537" s="374"/>
      <c r="O537" s="374"/>
      <c r="P537" s="374"/>
      <c r="Q537" s="374"/>
      <c r="R537" s="374"/>
      <c r="S537" s="374"/>
      <c r="T537" s="374"/>
      <c r="U537" s="105"/>
      <c r="V537" s="105"/>
      <c r="W537" s="105"/>
      <c r="X537" s="374"/>
      <c r="Y537" s="106"/>
      <c r="Z537" s="106"/>
      <c r="AD537" s="852"/>
      <c r="AE537" s="852"/>
      <c r="AF537" s="852"/>
      <c r="AG537" s="852"/>
      <c r="AH537" s="853"/>
      <c r="AI537" s="853"/>
      <c r="AJ537" s="853"/>
      <c r="AK537" s="374"/>
      <c r="AL537" s="374"/>
      <c r="AM537" s="374"/>
      <c r="AN537" s="374"/>
      <c r="AO537" s="374"/>
      <c r="AP537" s="374"/>
      <c r="AQ537" s="374"/>
      <c r="AR537" s="374"/>
      <c r="AS537" s="374"/>
      <c r="AT537" s="374"/>
    </row>
    <row r="538" spans="1:46" ht="18" customHeight="1">
      <c r="A538" s="102"/>
      <c r="B538" s="374"/>
      <c r="C538" s="374"/>
      <c r="D538" s="374"/>
      <c r="E538" s="374"/>
      <c r="F538" s="374"/>
      <c r="G538" s="374"/>
      <c r="H538" s="374"/>
      <c r="I538" s="374"/>
      <c r="J538" s="374"/>
      <c r="K538" s="374"/>
      <c r="L538" s="374"/>
      <c r="M538" s="374"/>
      <c r="N538" s="374"/>
      <c r="O538" s="374"/>
      <c r="P538" s="115"/>
      <c r="Q538" s="867" t="e">
        <f>TEXT($AJ$302,"0.000 000 0 ")&amp;$AJ$303</f>
        <v>#DIV/0!</v>
      </c>
      <c r="R538" s="867"/>
      <c r="S538" s="867"/>
      <c r="T538" s="867"/>
      <c r="U538" s="867"/>
      <c r="V538" s="867"/>
      <c r="W538" s="867"/>
      <c r="X538" s="867"/>
      <c r="Y538" s="867"/>
      <c r="Z538" s="867"/>
      <c r="AA538" s="867"/>
      <c r="AB538" s="710" t="s">
        <v>505</v>
      </c>
      <c r="AC538" s="869" t="e">
        <f ca="1">ABS(AD536)</f>
        <v>#N/A</v>
      </c>
      <c r="AD538" s="869"/>
      <c r="AE538" s="869"/>
      <c r="AF538" s="869"/>
      <c r="AG538" s="710" t="s">
        <v>506</v>
      </c>
      <c r="AH538" s="852" t="e">
        <f ca="1">P439</f>
        <v>#N/A</v>
      </c>
      <c r="AI538" s="852"/>
      <c r="AJ538" s="852"/>
      <c r="AK538" s="852"/>
      <c r="AL538" s="853">
        <f>V439</f>
        <v>0</v>
      </c>
      <c r="AM538" s="853"/>
      <c r="AN538" s="853"/>
      <c r="AO538" s="374"/>
      <c r="AP538" s="374"/>
      <c r="AQ538" s="374"/>
      <c r="AR538" s="374"/>
      <c r="AS538" s="374"/>
      <c r="AT538" s="374"/>
    </row>
    <row r="539" spans="1:46" ht="18" customHeight="1">
      <c r="A539" s="102"/>
      <c r="B539" s="374"/>
      <c r="C539" s="374"/>
      <c r="D539" s="374"/>
      <c r="E539" s="374"/>
      <c r="F539" s="374"/>
      <c r="G539" s="374"/>
      <c r="H539" s="374"/>
      <c r="I539" s="374"/>
      <c r="J539" s="374"/>
      <c r="K539" s="374"/>
      <c r="L539" s="374"/>
      <c r="M539" s="374"/>
      <c r="N539" s="374"/>
      <c r="O539" s="374"/>
      <c r="P539" s="115"/>
      <c r="Q539" s="867"/>
      <c r="R539" s="867"/>
      <c r="S539" s="867"/>
      <c r="T539" s="867"/>
      <c r="U539" s="867"/>
      <c r="V539" s="867"/>
      <c r="W539" s="867"/>
      <c r="X539" s="867"/>
      <c r="Y539" s="867"/>
      <c r="Z539" s="867"/>
      <c r="AA539" s="867"/>
      <c r="AB539" s="710"/>
      <c r="AC539" s="114"/>
      <c r="AD539" s="114"/>
      <c r="AE539" s="114"/>
      <c r="AF539" s="114"/>
      <c r="AG539" s="710"/>
      <c r="AH539" s="852"/>
      <c r="AI539" s="852"/>
      <c r="AJ539" s="852"/>
      <c r="AK539" s="852"/>
      <c r="AL539" s="853"/>
      <c r="AM539" s="853"/>
      <c r="AN539" s="853"/>
      <c r="AO539" s="374"/>
      <c r="AP539" s="374"/>
      <c r="AQ539" s="374"/>
      <c r="AR539" s="374"/>
      <c r="AS539" s="374"/>
      <c r="AT539" s="374"/>
    </row>
    <row r="540" spans="1:46" ht="18" customHeight="1">
      <c r="A540" s="102"/>
      <c r="B540" s="374" t="s">
        <v>507</v>
      </c>
      <c r="C540" s="374"/>
      <c r="D540" s="374"/>
      <c r="E540" s="374"/>
      <c r="F540" s="374"/>
      <c r="G540" s="374"/>
      <c r="H540" s="856" t="str">
        <f>X439</f>
        <v>직사각형</v>
      </c>
      <c r="I540" s="856"/>
      <c r="J540" s="856"/>
      <c r="K540" s="856"/>
      <c r="L540" s="856"/>
      <c r="M540" s="374"/>
      <c r="N540" s="374"/>
      <c r="O540" s="374"/>
      <c r="P540" s="374"/>
      <c r="Q540" s="374"/>
      <c r="R540" s="374"/>
      <c r="S540" s="374"/>
      <c r="T540" s="374"/>
      <c r="U540" s="374"/>
      <c r="V540" s="374"/>
      <c r="W540" s="374"/>
      <c r="X540" s="374"/>
      <c r="Y540" s="374"/>
      <c r="Z540" s="374"/>
      <c r="AA540" s="374"/>
      <c r="AB540" s="374"/>
      <c r="AC540" s="374"/>
      <c r="AD540" s="374"/>
      <c r="AE540" s="374"/>
      <c r="AF540" s="374"/>
      <c r="AG540" s="374"/>
      <c r="AH540" s="374"/>
      <c r="AI540" s="374"/>
      <c r="AJ540" s="374"/>
      <c r="AK540" s="374"/>
      <c r="AL540" s="374"/>
      <c r="AM540" s="374"/>
      <c r="AN540" s="374"/>
      <c r="AO540" s="374"/>
      <c r="AP540" s="374"/>
      <c r="AQ540" s="374"/>
      <c r="AR540" s="374"/>
      <c r="AS540" s="374"/>
      <c r="AT540" s="374"/>
    </row>
    <row r="541" spans="1:46" ht="18" customHeight="1">
      <c r="A541" s="102"/>
      <c r="B541" s="856" t="s">
        <v>170</v>
      </c>
      <c r="C541" s="856"/>
      <c r="D541" s="856"/>
      <c r="E541" s="856"/>
      <c r="F541" s="856"/>
      <c r="G541" s="856"/>
      <c r="H541" s="374"/>
      <c r="I541" s="374"/>
      <c r="J541" s="374"/>
      <c r="K541" s="374"/>
      <c r="L541" s="374"/>
      <c r="M541" s="374"/>
      <c r="N541" s="374"/>
      <c r="O541" s="374"/>
      <c r="P541" s="374"/>
      <c r="Q541" s="374"/>
      <c r="R541" s="374"/>
      <c r="S541" s="374"/>
      <c r="T541" s="374"/>
      <c r="U541" s="374"/>
      <c r="V541" s="374"/>
      <c r="W541" s="374"/>
      <c r="X541" s="374"/>
      <c r="Y541" s="374"/>
      <c r="Z541" s="374"/>
      <c r="AA541" s="374"/>
      <c r="AB541" s="374"/>
      <c r="AC541" s="374"/>
      <c r="AD541" s="374"/>
      <c r="AE541" s="374"/>
      <c r="AF541" s="374"/>
      <c r="AG541" s="374"/>
      <c r="AO541" s="374"/>
      <c r="AP541" s="374"/>
      <c r="AQ541" s="374"/>
      <c r="AR541" s="374"/>
      <c r="AS541" s="374"/>
      <c r="AT541" s="374"/>
    </row>
    <row r="542" spans="1:46" ht="18" customHeight="1">
      <c r="A542" s="102"/>
      <c r="B542" s="856"/>
      <c r="C542" s="856"/>
      <c r="D542" s="856"/>
      <c r="E542" s="856"/>
      <c r="F542" s="856"/>
      <c r="G542" s="856"/>
      <c r="H542" s="374"/>
      <c r="I542" s="374"/>
      <c r="J542" s="374"/>
      <c r="K542" s="374"/>
      <c r="L542" s="374"/>
      <c r="M542" s="374"/>
      <c r="N542" s="374"/>
      <c r="O542" s="374"/>
      <c r="P542" s="374"/>
      <c r="Q542" s="374"/>
      <c r="R542" s="374"/>
      <c r="S542" s="374"/>
      <c r="T542" s="374"/>
      <c r="U542" s="374"/>
      <c r="V542" s="374"/>
      <c r="W542" s="374"/>
      <c r="X542" s="374"/>
      <c r="Y542" s="374"/>
      <c r="Z542" s="374"/>
      <c r="AA542" s="374"/>
      <c r="AB542" s="374"/>
      <c r="AC542" s="374"/>
      <c r="AD542" s="374"/>
      <c r="AE542" s="374"/>
      <c r="AF542" s="374"/>
      <c r="AG542" s="374"/>
      <c r="AO542" s="374"/>
      <c r="AP542" s="374"/>
      <c r="AQ542" s="374"/>
      <c r="AR542" s="374"/>
      <c r="AS542" s="374"/>
      <c r="AT542" s="374"/>
    </row>
    <row r="543" spans="1:46" ht="18" customHeight="1">
      <c r="A543" s="102"/>
      <c r="B543" s="374" t="s">
        <v>508</v>
      </c>
      <c r="C543" s="374"/>
      <c r="D543" s="374"/>
      <c r="E543" s="374"/>
      <c r="F543" s="374"/>
      <c r="G543" s="374"/>
      <c r="H543" s="374"/>
      <c r="I543" s="374"/>
      <c r="J543" s="374"/>
      <c r="K543" s="107" t="s">
        <v>162</v>
      </c>
      <c r="L543" s="853" t="e">
        <f ca="1">AH538</f>
        <v>#N/A</v>
      </c>
      <c r="M543" s="853"/>
      <c r="N543" s="853"/>
      <c r="O543" s="853"/>
      <c r="P543" s="852">
        <f>AL538</f>
        <v>0</v>
      </c>
      <c r="Q543" s="852"/>
      <c r="R543" s="108" t="s">
        <v>67</v>
      </c>
      <c r="S543" s="853" t="e">
        <f ca="1">1*L543</f>
        <v>#N/A</v>
      </c>
      <c r="T543" s="853"/>
      <c r="U543" s="853"/>
      <c r="V543" s="853"/>
      <c r="W543" s="852">
        <f>P543</f>
        <v>0</v>
      </c>
      <c r="X543" s="852"/>
      <c r="Y543" s="373"/>
      <c r="Z543" s="221"/>
      <c r="AA543" s="374"/>
      <c r="AB543" s="374"/>
      <c r="AC543" s="374"/>
      <c r="AD543" s="374"/>
      <c r="AE543" s="374"/>
      <c r="AF543" s="374"/>
      <c r="AG543" s="374"/>
      <c r="AH543" s="374"/>
      <c r="AI543" s="374"/>
      <c r="AJ543" s="374"/>
      <c r="AK543" s="374"/>
      <c r="AL543" s="374"/>
      <c r="AM543" s="374"/>
      <c r="AN543" s="374"/>
      <c r="AO543" s="374"/>
      <c r="AP543" s="374"/>
      <c r="AQ543" s="374"/>
      <c r="AR543" s="374"/>
      <c r="AS543" s="374"/>
      <c r="AT543" s="374"/>
    </row>
    <row r="544" spans="1:46" ht="18" customHeight="1">
      <c r="A544" s="102"/>
      <c r="B544" s="374" t="s">
        <v>509</v>
      </c>
      <c r="C544" s="374"/>
      <c r="D544" s="374"/>
      <c r="E544" s="374"/>
      <c r="F544" s="374"/>
      <c r="G544" s="374"/>
      <c r="H544" s="374"/>
      <c r="I544" s="374"/>
      <c r="J544" s="374"/>
      <c r="K544" s="109"/>
      <c r="P544" s="862">
        <f>AP439</f>
        <v>12.5</v>
      </c>
      <c r="Q544" s="862"/>
      <c r="R544" s="862"/>
      <c r="S544" s="862"/>
      <c r="T544" s="862"/>
      <c r="U544" s="374"/>
      <c r="V544" s="374"/>
      <c r="W544" s="374"/>
      <c r="X544" s="374"/>
      <c r="Y544" s="374"/>
      <c r="Z544" s="374"/>
      <c r="AA544" s="374"/>
      <c r="AB544" s="374"/>
      <c r="AC544" s="374"/>
      <c r="AD544" s="374"/>
      <c r="AE544" s="374"/>
      <c r="AF544" s="374"/>
      <c r="AG544" s="374"/>
      <c r="AH544" s="374"/>
      <c r="AI544" s="374"/>
      <c r="AJ544" s="374"/>
      <c r="AK544" s="374"/>
      <c r="AL544" s="374"/>
      <c r="AM544" s="374"/>
      <c r="AN544" s="374"/>
      <c r="AO544" s="374"/>
      <c r="AP544" s="374"/>
      <c r="AQ544" s="374"/>
      <c r="AR544" s="374"/>
      <c r="AS544" s="374"/>
      <c r="AT544" s="374"/>
    </row>
    <row r="545" spans="1:46" ht="18" customHeight="1">
      <c r="A545" s="102"/>
      <c r="B545" s="374"/>
      <c r="C545" s="374"/>
      <c r="D545" s="374"/>
      <c r="E545" s="374"/>
      <c r="F545" s="374"/>
      <c r="G545" s="374"/>
      <c r="H545" s="374"/>
      <c r="I545" s="374"/>
      <c r="J545" s="374"/>
      <c r="K545" s="109"/>
      <c r="L545" s="376"/>
      <c r="M545" s="376"/>
      <c r="N545" s="376"/>
      <c r="O545" s="376"/>
      <c r="P545" s="862"/>
      <c r="Q545" s="862"/>
      <c r="R545" s="862"/>
      <c r="S545" s="862"/>
      <c r="T545" s="862"/>
      <c r="U545" s="374"/>
      <c r="V545" s="374"/>
      <c r="W545" s="374"/>
      <c r="X545" s="374"/>
      <c r="Y545" s="374"/>
      <c r="Z545" s="374"/>
      <c r="AA545" s="374"/>
      <c r="AB545" s="374"/>
      <c r="AC545" s="374"/>
      <c r="AD545" s="374"/>
      <c r="AE545" s="374"/>
      <c r="AF545" s="374"/>
      <c r="AG545" s="374"/>
      <c r="AH545" s="374"/>
      <c r="AI545" s="374"/>
      <c r="AJ545" s="374"/>
      <c r="AK545" s="374"/>
      <c r="AL545" s="374"/>
      <c r="AM545" s="374"/>
      <c r="AN545" s="374"/>
      <c r="AO545" s="374"/>
      <c r="AP545" s="374"/>
      <c r="AQ545" s="374"/>
      <c r="AR545" s="374"/>
      <c r="AS545" s="374"/>
      <c r="AT545" s="374"/>
    </row>
    <row r="546" spans="1:46" ht="18" customHeight="1">
      <c r="A546" s="102"/>
      <c r="B546" s="102"/>
      <c r="C546" s="374"/>
      <c r="D546" s="374"/>
      <c r="E546" s="374"/>
      <c r="F546" s="374"/>
      <c r="G546" s="374"/>
      <c r="H546" s="374"/>
      <c r="I546" s="374"/>
      <c r="J546" s="374"/>
      <c r="K546" s="374"/>
      <c r="L546" s="374"/>
      <c r="M546" s="374"/>
      <c r="N546" s="374"/>
      <c r="O546" s="374"/>
      <c r="P546" s="374"/>
      <c r="Q546" s="374"/>
      <c r="R546" s="374"/>
      <c r="S546" s="374"/>
      <c r="T546" s="374"/>
      <c r="U546" s="374"/>
      <c r="V546" s="374"/>
      <c r="W546" s="374"/>
      <c r="X546" s="374"/>
      <c r="Y546" s="374"/>
      <c r="Z546" s="374"/>
      <c r="AA546" s="374"/>
      <c r="AB546" s="374"/>
      <c r="AC546" s="374"/>
      <c r="AD546" s="374"/>
      <c r="AE546" s="374"/>
      <c r="AF546" s="374"/>
      <c r="AG546" s="374"/>
      <c r="AH546" s="374"/>
      <c r="AI546" s="374"/>
      <c r="AJ546" s="374"/>
      <c r="AK546" s="374"/>
      <c r="AL546" s="374"/>
      <c r="AM546" s="374"/>
      <c r="AN546" s="374"/>
      <c r="AO546" s="374"/>
      <c r="AP546" s="374"/>
      <c r="AQ546" s="374"/>
      <c r="AR546" s="374"/>
      <c r="AS546" s="374"/>
      <c r="AT546" s="374"/>
    </row>
    <row r="547" spans="1:46" s="117" customFormat="1" ht="18" customHeight="1">
      <c r="A547" s="102" t="s">
        <v>510</v>
      </c>
      <c r="B547" s="377"/>
      <c r="C547" s="377"/>
      <c r="D547" s="377"/>
      <c r="E547" s="377"/>
      <c r="F547" s="377"/>
      <c r="G547" s="377"/>
      <c r="H547" s="377"/>
      <c r="I547" s="377"/>
      <c r="J547" s="377"/>
      <c r="K547" s="377"/>
      <c r="L547" s="377"/>
      <c r="M547" s="377"/>
      <c r="N547" s="377"/>
      <c r="O547" s="377"/>
      <c r="P547" s="377"/>
      <c r="Q547" s="377"/>
      <c r="R547" s="377"/>
      <c r="S547" s="377"/>
      <c r="T547" s="377"/>
      <c r="U547" s="116"/>
      <c r="V547" s="98"/>
      <c r="W547" s="98"/>
      <c r="X547" s="98"/>
      <c r="Y547" s="98"/>
      <c r="Z547" s="98"/>
      <c r="AA547" s="98"/>
      <c r="AB547" s="98"/>
      <c r="AC547" s="98"/>
      <c r="AD547" s="98"/>
      <c r="AE547" s="98"/>
      <c r="AK547" s="98"/>
      <c r="AL547" s="98"/>
      <c r="AM547" s="98"/>
      <c r="AN547" s="98"/>
      <c r="AO547" s="377"/>
      <c r="AP547" s="377"/>
      <c r="AQ547" s="377"/>
      <c r="AR547" s="377"/>
      <c r="AS547" s="377"/>
      <c r="AT547" s="377"/>
    </row>
    <row r="548" spans="1:46" s="117" customFormat="1" ht="18" customHeight="1">
      <c r="A548" s="390"/>
      <c r="B548" s="377"/>
      <c r="C548" s="377"/>
      <c r="D548" s="377"/>
      <c r="E548" s="377"/>
      <c r="F548" s="377"/>
      <c r="G548" s="377"/>
      <c r="H548" s="377"/>
      <c r="I548" s="377"/>
      <c r="J548" s="377"/>
      <c r="K548" s="377"/>
      <c r="L548" s="377"/>
      <c r="M548" s="377"/>
      <c r="N548" s="377"/>
      <c r="O548" s="377"/>
      <c r="P548" s="377"/>
      <c r="Q548" s="377"/>
      <c r="R548" s="377"/>
      <c r="S548" s="377"/>
      <c r="T548" s="377"/>
      <c r="U548" s="377"/>
      <c r="V548" s="377"/>
      <c r="W548" s="377"/>
      <c r="X548" s="377"/>
      <c r="Y548" s="377"/>
      <c r="Z548" s="377"/>
      <c r="AA548" s="377"/>
      <c r="AB548" s="377"/>
      <c r="AC548" s="377"/>
      <c r="AD548" s="377"/>
      <c r="AE548" s="377"/>
      <c r="AF548" s="377"/>
      <c r="AG548" s="98"/>
      <c r="AH548" s="377"/>
      <c r="AI548" s="377"/>
      <c r="AJ548" s="377"/>
      <c r="AK548" s="377"/>
      <c r="AL548" s="377"/>
      <c r="AM548" s="377"/>
      <c r="AN548" s="377"/>
      <c r="AO548" s="377"/>
      <c r="AP548" s="377"/>
      <c r="AQ548" s="377"/>
      <c r="AR548" s="377"/>
      <c r="AS548" s="377"/>
      <c r="AT548" s="377"/>
    </row>
    <row r="549" spans="1:46" s="117" customFormat="1" ht="18" customHeight="1">
      <c r="A549" s="98"/>
      <c r="B549" s="98"/>
      <c r="C549" s="377" t="s">
        <v>67</v>
      </c>
      <c r="D549" s="98"/>
      <c r="E549" s="870" t="e">
        <f ca="1">S470</f>
        <v>#N/A</v>
      </c>
      <c r="F549" s="870"/>
      <c r="G549" s="870"/>
      <c r="H549" s="870"/>
      <c r="I549" s="870"/>
      <c r="J549" s="130"/>
      <c r="K549" s="865" t="s">
        <v>148</v>
      </c>
      <c r="L549" s="865"/>
      <c r="M549" s="870" t="e">
        <f ca="1">S482</f>
        <v>#N/A</v>
      </c>
      <c r="N549" s="870"/>
      <c r="O549" s="870"/>
      <c r="P549" s="870"/>
      <c r="Q549" s="870"/>
      <c r="R549" s="130"/>
      <c r="S549" s="98"/>
      <c r="T549" s="118"/>
      <c r="U549" s="118"/>
      <c r="V549" s="98"/>
      <c r="W549" s="119"/>
      <c r="X549" s="130"/>
      <c r="Y549" s="130"/>
      <c r="Z549" s="130"/>
      <c r="AA549" s="130"/>
      <c r="AB549" s="130"/>
      <c r="AC549" s="118"/>
      <c r="AD549" s="118"/>
      <c r="AE549" s="118"/>
      <c r="AF549" s="118"/>
      <c r="AG549" s="118"/>
      <c r="AH549" s="118"/>
      <c r="AI549" s="119"/>
      <c r="AJ549" s="118"/>
      <c r="AK549" s="118"/>
      <c r="AL549" s="118"/>
      <c r="AM549" s="118"/>
      <c r="AN549" s="118"/>
      <c r="AO549" s="118"/>
      <c r="AP549" s="118"/>
      <c r="AQ549" s="120"/>
      <c r="AR549" s="98"/>
    </row>
    <row r="550" spans="1:46" s="121" customFormat="1" ht="18" customHeight="1">
      <c r="A550" s="98"/>
      <c r="B550" s="98"/>
      <c r="C550" s="377" t="s">
        <v>506</v>
      </c>
      <c r="D550" s="98"/>
      <c r="E550" s="870" t="e">
        <f ca="1">SQRT(SUMSQ(E549,M549))</f>
        <v>#N/A</v>
      </c>
      <c r="F550" s="870"/>
      <c r="G550" s="870"/>
      <c r="H550" s="870"/>
      <c r="I550" s="870"/>
      <c r="J550" s="130"/>
      <c r="K550" s="98"/>
      <c r="L550" s="377"/>
      <c r="M550" s="377"/>
      <c r="N550" s="377"/>
      <c r="O550" s="377"/>
      <c r="P550" s="377"/>
      <c r="Q550" s="377"/>
      <c r="R550" s="377"/>
      <c r="S550" s="377"/>
      <c r="T550" s="377"/>
      <c r="U550" s="377"/>
      <c r="V550" s="377"/>
      <c r="W550" s="98"/>
      <c r="X550" s="98"/>
      <c r="Y550" s="98"/>
      <c r="Z550" s="98"/>
      <c r="AA550" s="98"/>
      <c r="AB550" s="98"/>
      <c r="AC550" s="377"/>
      <c r="AD550" s="98"/>
      <c r="AE550" s="98"/>
      <c r="AF550" s="98"/>
      <c r="AG550" s="98"/>
      <c r="AH550" s="98"/>
      <c r="AI550" s="98"/>
      <c r="AJ550" s="98"/>
      <c r="AK550" s="98"/>
      <c r="AL550" s="98"/>
      <c r="AM550" s="98"/>
      <c r="AN550" s="98"/>
      <c r="AO550" s="98"/>
      <c r="AP550" s="98"/>
      <c r="AQ550" s="98"/>
      <c r="AR550" s="98"/>
    </row>
    <row r="551" spans="1:46" s="98" customFormat="1" ht="18" customHeight="1">
      <c r="C551" s="377"/>
      <c r="D551" s="122"/>
      <c r="E551" s="122"/>
      <c r="F551" s="122"/>
      <c r="G551" s="122"/>
    </row>
    <row r="552" spans="1:46" s="98" customFormat="1" ht="18" customHeight="1">
      <c r="B552" s="123" t="s">
        <v>461</v>
      </c>
      <c r="C552" s="126" t="s">
        <v>67</v>
      </c>
      <c r="D552" s="871" t="e">
        <f ca="1">E550</f>
        <v>#N/A</v>
      </c>
      <c r="E552" s="871"/>
      <c r="F552" s="871"/>
      <c r="G552" s="871"/>
      <c r="H552" s="852">
        <f>AM440</f>
        <v>0</v>
      </c>
      <c r="I552" s="852"/>
      <c r="J552" s="378"/>
      <c r="K552" s="378"/>
      <c r="N552" s="373"/>
      <c r="O552" s="221"/>
      <c r="P552" s="374"/>
      <c r="Q552" s="374"/>
      <c r="R552" s="374"/>
      <c r="S552" s="374"/>
      <c r="T552" s="374"/>
      <c r="AL552" s="124"/>
      <c r="AM552" s="124"/>
      <c r="AN552" s="124"/>
      <c r="AO552" s="124"/>
      <c r="AP552" s="124"/>
      <c r="AQ552" s="124"/>
    </row>
    <row r="553" spans="1:46" s="98" customFormat="1" ht="18" customHeight="1">
      <c r="E553" s="123"/>
      <c r="F553" s="125"/>
      <c r="G553" s="125"/>
      <c r="H553" s="125"/>
      <c r="I553" s="125"/>
      <c r="J553" s="125"/>
      <c r="K553" s="125"/>
      <c r="L553" s="125"/>
      <c r="M553" s="125"/>
      <c r="AN553" s="124"/>
      <c r="AO553" s="124"/>
      <c r="AP553" s="124"/>
      <c r="AQ553" s="124"/>
      <c r="AR553" s="124"/>
      <c r="AS553" s="124"/>
    </row>
    <row r="554" spans="1:46" ht="18" customHeight="1">
      <c r="A554" s="131" t="s">
        <v>592</v>
      </c>
      <c r="B554" s="374"/>
      <c r="C554" s="374"/>
      <c r="D554" s="374"/>
      <c r="E554" s="374"/>
      <c r="F554" s="374"/>
      <c r="G554" s="374"/>
      <c r="H554" s="374"/>
      <c r="I554" s="374"/>
      <c r="J554" s="374"/>
      <c r="K554" s="374"/>
      <c r="L554" s="374"/>
      <c r="M554" s="374"/>
      <c r="N554" s="374"/>
      <c r="O554" s="374"/>
      <c r="P554" s="374"/>
      <c r="Q554" s="374"/>
      <c r="R554" s="374"/>
      <c r="S554" s="374"/>
      <c r="T554" s="374"/>
      <c r="U554" s="374"/>
      <c r="V554" s="374"/>
      <c r="W554" s="374"/>
      <c r="X554" s="374"/>
      <c r="Y554" s="374"/>
      <c r="Z554" s="374"/>
      <c r="AA554" s="374"/>
      <c r="AB554" s="374"/>
      <c r="AC554" s="374"/>
      <c r="AD554" s="374"/>
      <c r="AE554" s="374"/>
      <c r="AF554" s="374"/>
      <c r="AG554" s="374"/>
      <c r="AH554" s="374"/>
      <c r="AI554" s="374"/>
      <c r="AJ554" s="374"/>
      <c r="AK554" s="374"/>
      <c r="AL554" s="374"/>
      <c r="AM554" s="374"/>
      <c r="AN554" s="374"/>
      <c r="AO554" s="374"/>
      <c r="AP554" s="374"/>
      <c r="AQ554" s="374"/>
      <c r="AR554" s="374"/>
      <c r="AS554" s="374"/>
      <c r="AT554" s="374"/>
    </row>
    <row r="555" spans="1:46" ht="18" customHeight="1">
      <c r="A555" s="387"/>
      <c r="B555" s="878" t="s">
        <v>137</v>
      </c>
      <c r="C555" s="879"/>
      <c r="D555" s="665" t="s">
        <v>600</v>
      </c>
      <c r="E555" s="744"/>
      <c r="F555" s="744"/>
      <c r="G555" s="744"/>
      <c r="H555" s="744"/>
      <c r="I555" s="744"/>
      <c r="J555" s="744"/>
      <c r="K555" s="744"/>
      <c r="L555" s="744"/>
      <c r="M555" s="745"/>
      <c r="N555" s="880" t="s">
        <v>601</v>
      </c>
      <c r="O555" s="880"/>
      <c r="P555" s="880"/>
      <c r="Q555" s="880"/>
      <c r="R555" s="880"/>
      <c r="S555" s="880"/>
      <c r="T555" s="880"/>
      <c r="U555" s="880"/>
      <c r="V555" s="880"/>
      <c r="W555" s="880"/>
      <c r="X555" s="880"/>
      <c r="Y555" s="880"/>
      <c r="Z555" s="880"/>
      <c r="AA555" s="880"/>
      <c r="AB555" s="880"/>
      <c r="AC555" s="880"/>
      <c r="AD555" s="880"/>
      <c r="AE555" s="880"/>
      <c r="AF555" s="880"/>
      <c r="AG555" s="880"/>
      <c r="AH555" s="880"/>
      <c r="AI555" s="880"/>
      <c r="AJ555" s="880"/>
      <c r="AK555" s="880"/>
      <c r="AL555" s="880"/>
      <c r="AM555" s="880" t="s">
        <v>602</v>
      </c>
      <c r="AN555" s="880"/>
      <c r="AO555" s="880"/>
      <c r="AP555" s="880"/>
      <c r="AQ555" s="880"/>
      <c r="AR555" s="880"/>
      <c r="AS555" s="880"/>
    </row>
    <row r="556" spans="1:46" ht="18" customHeight="1">
      <c r="A556" s="387"/>
      <c r="B556" s="718"/>
      <c r="C556" s="742"/>
      <c r="D556" s="881" t="s">
        <v>603</v>
      </c>
      <c r="E556" s="882"/>
      <c r="F556" s="882"/>
      <c r="G556" s="882"/>
      <c r="H556" s="883"/>
      <c r="I556" s="878" t="s">
        <v>604</v>
      </c>
      <c r="J556" s="882"/>
      <c r="K556" s="882"/>
      <c r="L556" s="882"/>
      <c r="M556" s="883"/>
      <c r="N556" s="665" t="s">
        <v>595</v>
      </c>
      <c r="O556" s="744"/>
      <c r="P556" s="744"/>
      <c r="Q556" s="744"/>
      <c r="R556" s="744"/>
      <c r="S556" s="744"/>
      <c r="T556" s="744"/>
      <c r="U556" s="744"/>
      <c r="V556" s="744"/>
      <c r="W556" s="744"/>
      <c r="X556" s="744"/>
      <c r="Y556" s="744"/>
      <c r="Z556" s="744"/>
      <c r="AA556" s="744"/>
      <c r="AB556" s="744"/>
      <c r="AC556" s="744"/>
      <c r="AD556" s="744"/>
      <c r="AE556" s="744"/>
      <c r="AF556" s="744"/>
      <c r="AG556" s="745"/>
      <c r="AH556" s="872" t="s">
        <v>594</v>
      </c>
      <c r="AI556" s="873"/>
      <c r="AJ556" s="873"/>
      <c r="AK556" s="873"/>
      <c r="AL556" s="874"/>
      <c r="AM556" s="878" t="s">
        <v>593</v>
      </c>
      <c r="AN556" s="888"/>
      <c r="AO556" s="888"/>
      <c r="AP556" s="888"/>
      <c r="AQ556" s="879"/>
      <c r="AR556" s="872" t="s">
        <v>605</v>
      </c>
      <c r="AS556" s="874"/>
    </row>
    <row r="557" spans="1:46" ht="18" customHeight="1">
      <c r="A557" s="387"/>
      <c r="B557" s="718"/>
      <c r="C557" s="742"/>
      <c r="D557" s="800"/>
      <c r="E557" s="865"/>
      <c r="F557" s="865"/>
      <c r="G557" s="865"/>
      <c r="H557" s="801"/>
      <c r="I557" s="800"/>
      <c r="J557" s="865"/>
      <c r="K557" s="865"/>
      <c r="L557" s="865"/>
      <c r="M557" s="801"/>
      <c r="N557" s="872" t="s">
        <v>606</v>
      </c>
      <c r="O557" s="873"/>
      <c r="P557" s="873"/>
      <c r="Q557" s="873"/>
      <c r="R557" s="874"/>
      <c r="S557" s="872" t="s">
        <v>351</v>
      </c>
      <c r="T557" s="873"/>
      <c r="U557" s="873"/>
      <c r="V557" s="873"/>
      <c r="W557" s="874"/>
      <c r="X557" s="872" t="s">
        <v>607</v>
      </c>
      <c r="Y557" s="873"/>
      <c r="Z557" s="873"/>
      <c r="AA557" s="873"/>
      <c r="AB557" s="874"/>
      <c r="AC557" s="872" t="s">
        <v>70</v>
      </c>
      <c r="AD557" s="873"/>
      <c r="AE557" s="873"/>
      <c r="AF557" s="873"/>
      <c r="AG557" s="874"/>
      <c r="AH557" s="674"/>
      <c r="AI557" s="712"/>
      <c r="AJ557" s="712"/>
      <c r="AK557" s="712"/>
      <c r="AL557" s="887"/>
      <c r="AM557" s="718"/>
      <c r="AN557" s="719"/>
      <c r="AO557" s="719"/>
      <c r="AP557" s="719"/>
      <c r="AQ557" s="742"/>
      <c r="AR557" s="674"/>
      <c r="AS557" s="887"/>
    </row>
    <row r="558" spans="1:46" ht="18" customHeight="1">
      <c r="A558" s="387"/>
      <c r="B558" s="718"/>
      <c r="C558" s="742"/>
      <c r="D558" s="884"/>
      <c r="E558" s="885"/>
      <c r="F558" s="885"/>
      <c r="G558" s="885"/>
      <c r="H558" s="886"/>
      <c r="I558" s="884"/>
      <c r="J558" s="885"/>
      <c r="K558" s="885"/>
      <c r="L558" s="885"/>
      <c r="M558" s="886"/>
      <c r="N558" s="875"/>
      <c r="O558" s="876"/>
      <c r="P558" s="876"/>
      <c r="Q558" s="876"/>
      <c r="R558" s="877"/>
      <c r="S558" s="875"/>
      <c r="T558" s="876"/>
      <c r="U558" s="876"/>
      <c r="V558" s="876"/>
      <c r="W558" s="877"/>
      <c r="X558" s="875"/>
      <c r="Y558" s="876"/>
      <c r="Z558" s="876"/>
      <c r="AA558" s="876"/>
      <c r="AB558" s="877"/>
      <c r="AC558" s="875"/>
      <c r="AD558" s="876"/>
      <c r="AE558" s="876"/>
      <c r="AF558" s="876"/>
      <c r="AG558" s="877"/>
      <c r="AH558" s="875"/>
      <c r="AI558" s="876"/>
      <c r="AJ558" s="876"/>
      <c r="AK558" s="876"/>
      <c r="AL558" s="877"/>
      <c r="AM558" s="720"/>
      <c r="AN558" s="721"/>
      <c r="AO558" s="721"/>
      <c r="AP558" s="721"/>
      <c r="AQ558" s="743"/>
      <c r="AR558" s="875"/>
      <c r="AS558" s="877"/>
    </row>
    <row r="559" spans="1:46" ht="18" customHeight="1">
      <c r="A559" s="387"/>
      <c r="B559" s="720"/>
      <c r="C559" s="743"/>
      <c r="D559" s="668">
        <f>E362</f>
        <v>0</v>
      </c>
      <c r="E559" s="671"/>
      <c r="F559" s="671"/>
      <c r="G559" s="671"/>
      <c r="H559" s="672"/>
      <c r="I559" s="698">
        <f>D559</f>
        <v>0</v>
      </c>
      <c r="J559" s="699"/>
      <c r="K559" s="699"/>
      <c r="L559" s="699"/>
      <c r="M559" s="700"/>
      <c r="N559" s="698">
        <f>I559</f>
        <v>0</v>
      </c>
      <c r="O559" s="699"/>
      <c r="P559" s="699"/>
      <c r="Q559" s="699"/>
      <c r="R559" s="700"/>
      <c r="S559" s="698">
        <f>N559</f>
        <v>0</v>
      </c>
      <c r="T559" s="699"/>
      <c r="U559" s="699"/>
      <c r="V559" s="699"/>
      <c r="W559" s="700"/>
      <c r="X559" s="698">
        <f>S559</f>
        <v>0</v>
      </c>
      <c r="Y559" s="699"/>
      <c r="Z559" s="699"/>
      <c r="AA559" s="699"/>
      <c r="AB559" s="700"/>
      <c r="AC559" s="698">
        <f>X559</f>
        <v>0</v>
      </c>
      <c r="AD559" s="699"/>
      <c r="AE559" s="699"/>
      <c r="AF559" s="699"/>
      <c r="AG559" s="700"/>
      <c r="AH559" s="698">
        <f>AC559</f>
        <v>0</v>
      </c>
      <c r="AI559" s="699"/>
      <c r="AJ559" s="699"/>
      <c r="AK559" s="699"/>
      <c r="AL559" s="700"/>
      <c r="AM559" s="698">
        <f>AH559</f>
        <v>0</v>
      </c>
      <c r="AN559" s="699"/>
      <c r="AO559" s="699"/>
      <c r="AP559" s="699"/>
      <c r="AQ559" s="700"/>
      <c r="AR559" s="698" t="s">
        <v>608</v>
      </c>
      <c r="AS559" s="700"/>
    </row>
    <row r="560" spans="1:46" ht="18" customHeight="1">
      <c r="A560" s="387"/>
      <c r="B560" s="665">
        <v>1</v>
      </c>
      <c r="C560" s="745"/>
      <c r="D560" s="776" t="str">
        <f>Calcu_ADJ!D45</f>
        <v/>
      </c>
      <c r="E560" s="777"/>
      <c r="F560" s="777"/>
      <c r="G560" s="777"/>
      <c r="H560" s="778"/>
      <c r="I560" s="776" t="e">
        <f ca="1">Calcu_ADJ!M45</f>
        <v>#VALUE!</v>
      </c>
      <c r="J560" s="777"/>
      <c r="K560" s="777"/>
      <c r="L560" s="777"/>
      <c r="M560" s="778"/>
      <c r="N560" s="776" t="str">
        <f>Calcu_ADJ!N45</f>
        <v/>
      </c>
      <c r="O560" s="777"/>
      <c r="P560" s="777"/>
      <c r="Q560" s="777"/>
      <c r="R560" s="778"/>
      <c r="S560" s="776" t="str">
        <f>Calcu_ADJ!O45</f>
        <v/>
      </c>
      <c r="T560" s="777"/>
      <c r="U560" s="777"/>
      <c r="V560" s="777"/>
      <c r="W560" s="778"/>
      <c r="X560" s="776" t="str">
        <f>Calcu_ADJ!P45</f>
        <v/>
      </c>
      <c r="Y560" s="777"/>
      <c r="Z560" s="777"/>
      <c r="AA560" s="777"/>
      <c r="AB560" s="778"/>
      <c r="AC560" s="776" t="str">
        <f>Calcu_ADJ!Q45</f>
        <v/>
      </c>
      <c r="AD560" s="777"/>
      <c r="AE560" s="777"/>
      <c r="AF560" s="777"/>
      <c r="AG560" s="778"/>
      <c r="AH560" s="776" t="str">
        <f>Calcu_ADJ!R45</f>
        <v/>
      </c>
      <c r="AI560" s="777"/>
      <c r="AJ560" s="777"/>
      <c r="AK560" s="777"/>
      <c r="AL560" s="778"/>
      <c r="AM560" s="776" t="str">
        <f>Calcu_ADJ!S45</f>
        <v/>
      </c>
      <c r="AN560" s="777"/>
      <c r="AO560" s="777"/>
      <c r="AP560" s="777"/>
      <c r="AQ560" s="778"/>
      <c r="AR560" s="698" t="str">
        <f t="shared" ref="AR560:AR574" si="50">IF(AM560="","",IF(N560/AH560*100&gt;70,"∞",AM560^4/SUM(S560^4/12.5,X560^4/12.5,AC560^4/12.5)))</f>
        <v/>
      </c>
      <c r="AS560" s="700"/>
    </row>
    <row r="561" spans="1:46" ht="18" customHeight="1">
      <c r="A561" s="387"/>
      <c r="B561" s="665">
        <v>2</v>
      </c>
      <c r="C561" s="745"/>
      <c r="D561" s="776" t="str">
        <f>Calcu_ADJ!D46</f>
        <v/>
      </c>
      <c r="E561" s="777"/>
      <c r="F561" s="777"/>
      <c r="G561" s="777"/>
      <c r="H561" s="778"/>
      <c r="I561" s="776" t="e">
        <f ca="1">Calcu_ADJ!M46</f>
        <v>#VALUE!</v>
      </c>
      <c r="J561" s="777"/>
      <c r="K561" s="777"/>
      <c r="L561" s="777"/>
      <c r="M561" s="778"/>
      <c r="N561" s="776" t="str">
        <f>Calcu_ADJ!N46</f>
        <v/>
      </c>
      <c r="O561" s="777"/>
      <c r="P561" s="777"/>
      <c r="Q561" s="777"/>
      <c r="R561" s="778"/>
      <c r="S561" s="776" t="str">
        <f>Calcu_ADJ!O46</f>
        <v/>
      </c>
      <c r="T561" s="777"/>
      <c r="U561" s="777"/>
      <c r="V561" s="777"/>
      <c r="W561" s="778"/>
      <c r="X561" s="776" t="str">
        <f>Calcu_ADJ!P46</f>
        <v/>
      </c>
      <c r="Y561" s="777"/>
      <c r="Z561" s="777"/>
      <c r="AA561" s="777"/>
      <c r="AB561" s="778"/>
      <c r="AC561" s="776" t="str">
        <f>Calcu_ADJ!Q46</f>
        <v/>
      </c>
      <c r="AD561" s="777"/>
      <c r="AE561" s="777"/>
      <c r="AF561" s="777"/>
      <c r="AG561" s="778"/>
      <c r="AH561" s="776" t="str">
        <f>Calcu_ADJ!R46</f>
        <v/>
      </c>
      <c r="AI561" s="777"/>
      <c r="AJ561" s="777"/>
      <c r="AK561" s="777"/>
      <c r="AL561" s="778"/>
      <c r="AM561" s="776" t="str">
        <f>Calcu_ADJ!S46</f>
        <v/>
      </c>
      <c r="AN561" s="777"/>
      <c r="AO561" s="777"/>
      <c r="AP561" s="777"/>
      <c r="AQ561" s="778"/>
      <c r="AR561" s="698" t="str">
        <f t="shared" si="50"/>
        <v/>
      </c>
      <c r="AS561" s="700"/>
    </row>
    <row r="562" spans="1:46" ht="18" customHeight="1">
      <c r="A562" s="387"/>
      <c r="B562" s="665">
        <v>3</v>
      </c>
      <c r="C562" s="745"/>
      <c r="D562" s="776" t="str">
        <f>Calcu_ADJ!D47</f>
        <v/>
      </c>
      <c r="E562" s="777"/>
      <c r="F562" s="777"/>
      <c r="G562" s="777"/>
      <c r="H562" s="778"/>
      <c r="I562" s="776" t="e">
        <f ca="1">Calcu_ADJ!M47</f>
        <v>#VALUE!</v>
      </c>
      <c r="J562" s="777"/>
      <c r="K562" s="777"/>
      <c r="L562" s="777"/>
      <c r="M562" s="778"/>
      <c r="N562" s="776" t="str">
        <f>Calcu_ADJ!N47</f>
        <v/>
      </c>
      <c r="O562" s="777"/>
      <c r="P562" s="777"/>
      <c r="Q562" s="777"/>
      <c r="R562" s="778"/>
      <c r="S562" s="776" t="str">
        <f>Calcu_ADJ!O47</f>
        <v/>
      </c>
      <c r="T562" s="777"/>
      <c r="U562" s="777"/>
      <c r="V562" s="777"/>
      <c r="W562" s="778"/>
      <c r="X562" s="776" t="str">
        <f>Calcu_ADJ!P47</f>
        <v/>
      </c>
      <c r="Y562" s="777"/>
      <c r="Z562" s="777"/>
      <c r="AA562" s="777"/>
      <c r="AB562" s="778"/>
      <c r="AC562" s="776" t="str">
        <f>Calcu_ADJ!Q47</f>
        <v/>
      </c>
      <c r="AD562" s="777"/>
      <c r="AE562" s="777"/>
      <c r="AF562" s="777"/>
      <c r="AG562" s="778"/>
      <c r="AH562" s="776" t="str">
        <f>Calcu_ADJ!R47</f>
        <v/>
      </c>
      <c r="AI562" s="777"/>
      <c r="AJ562" s="777"/>
      <c r="AK562" s="777"/>
      <c r="AL562" s="778"/>
      <c r="AM562" s="776" t="str">
        <f>Calcu_ADJ!S47</f>
        <v/>
      </c>
      <c r="AN562" s="777"/>
      <c r="AO562" s="777"/>
      <c r="AP562" s="777"/>
      <c r="AQ562" s="778"/>
      <c r="AR562" s="698" t="str">
        <f t="shared" si="50"/>
        <v/>
      </c>
      <c r="AS562" s="700"/>
    </row>
    <row r="563" spans="1:46" ht="18" customHeight="1">
      <c r="A563" s="387"/>
      <c r="B563" s="665">
        <v>4</v>
      </c>
      <c r="C563" s="745"/>
      <c r="D563" s="776" t="str">
        <f>Calcu_ADJ!D48</f>
        <v/>
      </c>
      <c r="E563" s="777"/>
      <c r="F563" s="777"/>
      <c r="G563" s="777"/>
      <c r="H563" s="778"/>
      <c r="I563" s="776" t="e">
        <f ca="1">Calcu_ADJ!M48</f>
        <v>#VALUE!</v>
      </c>
      <c r="J563" s="777"/>
      <c r="K563" s="777"/>
      <c r="L563" s="777"/>
      <c r="M563" s="778"/>
      <c r="N563" s="776" t="str">
        <f>Calcu_ADJ!N48</f>
        <v/>
      </c>
      <c r="O563" s="777"/>
      <c r="P563" s="777"/>
      <c r="Q563" s="777"/>
      <c r="R563" s="778"/>
      <c r="S563" s="776" t="str">
        <f>Calcu_ADJ!O48</f>
        <v/>
      </c>
      <c r="T563" s="777"/>
      <c r="U563" s="777"/>
      <c r="V563" s="777"/>
      <c r="W563" s="778"/>
      <c r="X563" s="776" t="str">
        <f>Calcu_ADJ!P48</f>
        <v/>
      </c>
      <c r="Y563" s="777"/>
      <c r="Z563" s="777"/>
      <c r="AA563" s="777"/>
      <c r="AB563" s="778"/>
      <c r="AC563" s="776" t="str">
        <f>Calcu_ADJ!Q48</f>
        <v/>
      </c>
      <c r="AD563" s="777"/>
      <c r="AE563" s="777"/>
      <c r="AF563" s="777"/>
      <c r="AG563" s="778"/>
      <c r="AH563" s="776" t="str">
        <f>Calcu_ADJ!R48</f>
        <v/>
      </c>
      <c r="AI563" s="777"/>
      <c r="AJ563" s="777"/>
      <c r="AK563" s="777"/>
      <c r="AL563" s="778"/>
      <c r="AM563" s="776" t="str">
        <f>Calcu_ADJ!S48</f>
        <v/>
      </c>
      <c r="AN563" s="777"/>
      <c r="AO563" s="777"/>
      <c r="AP563" s="777"/>
      <c r="AQ563" s="778"/>
      <c r="AR563" s="698" t="str">
        <f t="shared" si="50"/>
        <v/>
      </c>
      <c r="AS563" s="700"/>
    </row>
    <row r="564" spans="1:46" ht="18" customHeight="1">
      <c r="A564" s="387"/>
      <c r="B564" s="665">
        <v>5</v>
      </c>
      <c r="C564" s="745"/>
      <c r="D564" s="776" t="str">
        <f>Calcu_ADJ!D49</f>
        <v/>
      </c>
      <c r="E564" s="777"/>
      <c r="F564" s="777"/>
      <c r="G564" s="777"/>
      <c r="H564" s="778"/>
      <c r="I564" s="776" t="e">
        <f ca="1">Calcu_ADJ!M49</f>
        <v>#VALUE!</v>
      </c>
      <c r="J564" s="777"/>
      <c r="K564" s="777"/>
      <c r="L564" s="777"/>
      <c r="M564" s="778"/>
      <c r="N564" s="776" t="str">
        <f>Calcu_ADJ!N49</f>
        <v/>
      </c>
      <c r="O564" s="777"/>
      <c r="P564" s="777"/>
      <c r="Q564" s="777"/>
      <c r="R564" s="778"/>
      <c r="S564" s="776" t="str">
        <f>Calcu_ADJ!O49</f>
        <v/>
      </c>
      <c r="T564" s="777"/>
      <c r="U564" s="777"/>
      <c r="V564" s="777"/>
      <c r="W564" s="778"/>
      <c r="X564" s="776" t="str">
        <f>Calcu_ADJ!P49</f>
        <v/>
      </c>
      <c r="Y564" s="777"/>
      <c r="Z564" s="777"/>
      <c r="AA564" s="777"/>
      <c r="AB564" s="778"/>
      <c r="AC564" s="776" t="str">
        <f>Calcu_ADJ!Q49</f>
        <v/>
      </c>
      <c r="AD564" s="777"/>
      <c r="AE564" s="777"/>
      <c r="AF564" s="777"/>
      <c r="AG564" s="778"/>
      <c r="AH564" s="776" t="str">
        <f>Calcu_ADJ!R49</f>
        <v/>
      </c>
      <c r="AI564" s="777"/>
      <c r="AJ564" s="777"/>
      <c r="AK564" s="777"/>
      <c r="AL564" s="778"/>
      <c r="AM564" s="776" t="str">
        <f>Calcu_ADJ!S49</f>
        <v/>
      </c>
      <c r="AN564" s="777"/>
      <c r="AO564" s="777"/>
      <c r="AP564" s="777"/>
      <c r="AQ564" s="778"/>
      <c r="AR564" s="698" t="str">
        <f t="shared" si="50"/>
        <v/>
      </c>
      <c r="AS564" s="700"/>
    </row>
    <row r="565" spans="1:46" ht="18" customHeight="1">
      <c r="A565" s="387"/>
      <c r="B565" s="665">
        <v>6</v>
      </c>
      <c r="C565" s="745"/>
      <c r="D565" s="776" t="str">
        <f>Calcu_ADJ!D50</f>
        <v/>
      </c>
      <c r="E565" s="777"/>
      <c r="F565" s="777"/>
      <c r="G565" s="777"/>
      <c r="H565" s="778"/>
      <c r="I565" s="776" t="e">
        <f ca="1">Calcu_ADJ!M50</f>
        <v>#VALUE!</v>
      </c>
      <c r="J565" s="777"/>
      <c r="K565" s="777"/>
      <c r="L565" s="777"/>
      <c r="M565" s="778"/>
      <c r="N565" s="776" t="str">
        <f>Calcu_ADJ!N50</f>
        <v/>
      </c>
      <c r="O565" s="777"/>
      <c r="P565" s="777"/>
      <c r="Q565" s="777"/>
      <c r="R565" s="778"/>
      <c r="S565" s="776" t="str">
        <f>Calcu_ADJ!O50</f>
        <v/>
      </c>
      <c r="T565" s="777"/>
      <c r="U565" s="777"/>
      <c r="V565" s="777"/>
      <c r="W565" s="778"/>
      <c r="X565" s="776" t="str">
        <f>Calcu_ADJ!P50</f>
        <v/>
      </c>
      <c r="Y565" s="777"/>
      <c r="Z565" s="777"/>
      <c r="AA565" s="777"/>
      <c r="AB565" s="778"/>
      <c r="AC565" s="776" t="str">
        <f>Calcu_ADJ!Q50</f>
        <v/>
      </c>
      <c r="AD565" s="777"/>
      <c r="AE565" s="777"/>
      <c r="AF565" s="777"/>
      <c r="AG565" s="778"/>
      <c r="AH565" s="776" t="str">
        <f>Calcu_ADJ!R50</f>
        <v/>
      </c>
      <c r="AI565" s="777"/>
      <c r="AJ565" s="777"/>
      <c r="AK565" s="777"/>
      <c r="AL565" s="778"/>
      <c r="AM565" s="776" t="str">
        <f>Calcu_ADJ!S50</f>
        <v/>
      </c>
      <c r="AN565" s="777"/>
      <c r="AO565" s="777"/>
      <c r="AP565" s="777"/>
      <c r="AQ565" s="778"/>
      <c r="AR565" s="698" t="str">
        <f t="shared" si="50"/>
        <v/>
      </c>
      <c r="AS565" s="700"/>
    </row>
    <row r="566" spans="1:46" ht="18" customHeight="1">
      <c r="A566" s="387"/>
      <c r="B566" s="665">
        <v>7</v>
      </c>
      <c r="C566" s="745"/>
      <c r="D566" s="776" t="str">
        <f>Calcu_ADJ!D51</f>
        <v/>
      </c>
      <c r="E566" s="777"/>
      <c r="F566" s="777"/>
      <c r="G566" s="777"/>
      <c r="H566" s="778"/>
      <c r="I566" s="776" t="e">
        <f ca="1">Calcu_ADJ!M51</f>
        <v>#VALUE!</v>
      </c>
      <c r="J566" s="777"/>
      <c r="K566" s="777"/>
      <c r="L566" s="777"/>
      <c r="M566" s="778"/>
      <c r="N566" s="776" t="str">
        <f>Calcu_ADJ!N51</f>
        <v/>
      </c>
      <c r="O566" s="777"/>
      <c r="P566" s="777"/>
      <c r="Q566" s="777"/>
      <c r="R566" s="778"/>
      <c r="S566" s="776" t="str">
        <f>Calcu_ADJ!O51</f>
        <v/>
      </c>
      <c r="T566" s="777"/>
      <c r="U566" s="777"/>
      <c r="V566" s="777"/>
      <c r="W566" s="778"/>
      <c r="X566" s="776" t="str">
        <f>Calcu_ADJ!P51</f>
        <v/>
      </c>
      <c r="Y566" s="777"/>
      <c r="Z566" s="777"/>
      <c r="AA566" s="777"/>
      <c r="AB566" s="778"/>
      <c r="AC566" s="776" t="str">
        <f>Calcu_ADJ!Q51</f>
        <v/>
      </c>
      <c r="AD566" s="777"/>
      <c r="AE566" s="777"/>
      <c r="AF566" s="777"/>
      <c r="AG566" s="778"/>
      <c r="AH566" s="776" t="str">
        <f>Calcu_ADJ!R51</f>
        <v/>
      </c>
      <c r="AI566" s="777"/>
      <c r="AJ566" s="777"/>
      <c r="AK566" s="777"/>
      <c r="AL566" s="778"/>
      <c r="AM566" s="776" t="str">
        <f>Calcu_ADJ!S51</f>
        <v/>
      </c>
      <c r="AN566" s="777"/>
      <c r="AO566" s="777"/>
      <c r="AP566" s="777"/>
      <c r="AQ566" s="778"/>
      <c r="AR566" s="698" t="str">
        <f t="shared" si="50"/>
        <v/>
      </c>
      <c r="AS566" s="700"/>
    </row>
    <row r="567" spans="1:46" ht="18" customHeight="1">
      <c r="A567" s="387"/>
      <c r="B567" s="665">
        <v>8</v>
      </c>
      <c r="C567" s="745"/>
      <c r="D567" s="776" t="str">
        <f>Calcu_ADJ!D52</f>
        <v/>
      </c>
      <c r="E567" s="777"/>
      <c r="F567" s="777"/>
      <c r="G567" s="777"/>
      <c r="H567" s="778"/>
      <c r="I567" s="776" t="e">
        <f ca="1">Calcu_ADJ!M52</f>
        <v>#VALUE!</v>
      </c>
      <c r="J567" s="777"/>
      <c r="K567" s="777"/>
      <c r="L567" s="777"/>
      <c r="M567" s="778"/>
      <c r="N567" s="776" t="str">
        <f>Calcu_ADJ!N52</f>
        <v/>
      </c>
      <c r="O567" s="777"/>
      <c r="P567" s="777"/>
      <c r="Q567" s="777"/>
      <c r="R567" s="778"/>
      <c r="S567" s="776" t="str">
        <f>Calcu_ADJ!O52</f>
        <v/>
      </c>
      <c r="T567" s="777"/>
      <c r="U567" s="777"/>
      <c r="V567" s="777"/>
      <c r="W567" s="778"/>
      <c r="X567" s="776" t="str">
        <f>Calcu_ADJ!P52</f>
        <v/>
      </c>
      <c r="Y567" s="777"/>
      <c r="Z567" s="777"/>
      <c r="AA567" s="777"/>
      <c r="AB567" s="778"/>
      <c r="AC567" s="776" t="str">
        <f>Calcu_ADJ!Q52</f>
        <v/>
      </c>
      <c r="AD567" s="777"/>
      <c r="AE567" s="777"/>
      <c r="AF567" s="777"/>
      <c r="AG567" s="778"/>
      <c r="AH567" s="776" t="str">
        <f>Calcu_ADJ!R52</f>
        <v/>
      </c>
      <c r="AI567" s="777"/>
      <c r="AJ567" s="777"/>
      <c r="AK567" s="777"/>
      <c r="AL567" s="778"/>
      <c r="AM567" s="776" t="str">
        <f>Calcu_ADJ!S52</f>
        <v/>
      </c>
      <c r="AN567" s="777"/>
      <c r="AO567" s="777"/>
      <c r="AP567" s="777"/>
      <c r="AQ567" s="778"/>
      <c r="AR567" s="698" t="str">
        <f t="shared" si="50"/>
        <v/>
      </c>
      <c r="AS567" s="700"/>
    </row>
    <row r="568" spans="1:46" ht="18" customHeight="1">
      <c r="A568" s="387"/>
      <c r="B568" s="665">
        <v>9</v>
      </c>
      <c r="C568" s="745"/>
      <c r="D568" s="776" t="str">
        <f>Calcu_ADJ!D53</f>
        <v/>
      </c>
      <c r="E568" s="777"/>
      <c r="F568" s="777"/>
      <c r="G568" s="777"/>
      <c r="H568" s="778"/>
      <c r="I568" s="776" t="e">
        <f ca="1">Calcu_ADJ!M53</f>
        <v>#VALUE!</v>
      </c>
      <c r="J568" s="777"/>
      <c r="K568" s="777"/>
      <c r="L568" s="777"/>
      <c r="M568" s="778"/>
      <c r="N568" s="776" t="str">
        <f>Calcu_ADJ!N53</f>
        <v/>
      </c>
      <c r="O568" s="777"/>
      <c r="P568" s="777"/>
      <c r="Q568" s="777"/>
      <c r="R568" s="778"/>
      <c r="S568" s="776" t="str">
        <f>Calcu_ADJ!O53</f>
        <v/>
      </c>
      <c r="T568" s="777"/>
      <c r="U568" s="777"/>
      <c r="V568" s="777"/>
      <c r="W568" s="778"/>
      <c r="X568" s="776" t="str">
        <f>Calcu_ADJ!P53</f>
        <v/>
      </c>
      <c r="Y568" s="777"/>
      <c r="Z568" s="777"/>
      <c r="AA568" s="777"/>
      <c r="AB568" s="778"/>
      <c r="AC568" s="776" t="str">
        <f>Calcu_ADJ!Q53</f>
        <v/>
      </c>
      <c r="AD568" s="777"/>
      <c r="AE568" s="777"/>
      <c r="AF568" s="777"/>
      <c r="AG568" s="778"/>
      <c r="AH568" s="776" t="str">
        <f>Calcu_ADJ!R53</f>
        <v/>
      </c>
      <c r="AI568" s="777"/>
      <c r="AJ568" s="777"/>
      <c r="AK568" s="777"/>
      <c r="AL568" s="778"/>
      <c r="AM568" s="776" t="str">
        <f>Calcu_ADJ!S53</f>
        <v/>
      </c>
      <c r="AN568" s="777"/>
      <c r="AO568" s="777"/>
      <c r="AP568" s="777"/>
      <c r="AQ568" s="778"/>
      <c r="AR568" s="698" t="str">
        <f t="shared" si="50"/>
        <v/>
      </c>
      <c r="AS568" s="700"/>
    </row>
    <row r="569" spans="1:46" ht="18" customHeight="1">
      <c r="A569" s="387"/>
      <c r="B569" s="665">
        <v>10</v>
      </c>
      <c r="C569" s="745"/>
      <c r="D569" s="776" t="str">
        <f>Calcu_ADJ!D54</f>
        <v/>
      </c>
      <c r="E569" s="777"/>
      <c r="F569" s="777"/>
      <c r="G569" s="777"/>
      <c r="H569" s="778"/>
      <c r="I569" s="776" t="e">
        <f ca="1">Calcu_ADJ!M54</f>
        <v>#VALUE!</v>
      </c>
      <c r="J569" s="777"/>
      <c r="K569" s="777"/>
      <c r="L569" s="777"/>
      <c r="M569" s="778"/>
      <c r="N569" s="776" t="str">
        <f>Calcu_ADJ!N54</f>
        <v/>
      </c>
      <c r="O569" s="777"/>
      <c r="P569" s="777"/>
      <c r="Q569" s="777"/>
      <c r="R569" s="778"/>
      <c r="S569" s="776" t="str">
        <f>Calcu_ADJ!O54</f>
        <v/>
      </c>
      <c r="T569" s="777"/>
      <c r="U569" s="777"/>
      <c r="V569" s="777"/>
      <c r="W569" s="778"/>
      <c r="X569" s="776" t="str">
        <f>Calcu_ADJ!P54</f>
        <v/>
      </c>
      <c r="Y569" s="777"/>
      <c r="Z569" s="777"/>
      <c r="AA569" s="777"/>
      <c r="AB569" s="778"/>
      <c r="AC569" s="776" t="str">
        <f>Calcu_ADJ!Q54</f>
        <v/>
      </c>
      <c r="AD569" s="777"/>
      <c r="AE569" s="777"/>
      <c r="AF569" s="777"/>
      <c r="AG569" s="778"/>
      <c r="AH569" s="776" t="str">
        <f>Calcu_ADJ!R54</f>
        <v/>
      </c>
      <c r="AI569" s="777"/>
      <c r="AJ569" s="777"/>
      <c r="AK569" s="777"/>
      <c r="AL569" s="778"/>
      <c r="AM569" s="776" t="str">
        <f>Calcu_ADJ!S54</f>
        <v/>
      </c>
      <c r="AN569" s="777"/>
      <c r="AO569" s="777"/>
      <c r="AP569" s="777"/>
      <c r="AQ569" s="778"/>
      <c r="AR569" s="698" t="str">
        <f t="shared" si="50"/>
        <v/>
      </c>
      <c r="AS569" s="700"/>
    </row>
    <row r="570" spans="1:46" ht="18" customHeight="1">
      <c r="A570" s="387"/>
      <c r="B570" s="665">
        <v>11</v>
      </c>
      <c r="C570" s="745"/>
      <c r="D570" s="776" t="str">
        <f>Calcu_ADJ!D55</f>
        <v/>
      </c>
      <c r="E570" s="777"/>
      <c r="F570" s="777"/>
      <c r="G570" s="777"/>
      <c r="H570" s="778"/>
      <c r="I570" s="776" t="e">
        <f ca="1">Calcu_ADJ!M55</f>
        <v>#VALUE!</v>
      </c>
      <c r="J570" s="777"/>
      <c r="K570" s="777"/>
      <c r="L570" s="777"/>
      <c r="M570" s="778"/>
      <c r="N570" s="776" t="str">
        <f>Calcu_ADJ!N55</f>
        <v/>
      </c>
      <c r="O570" s="777"/>
      <c r="P570" s="777"/>
      <c r="Q570" s="777"/>
      <c r="R570" s="778"/>
      <c r="S570" s="776" t="str">
        <f>Calcu_ADJ!O55</f>
        <v/>
      </c>
      <c r="T570" s="777"/>
      <c r="U570" s="777"/>
      <c r="V570" s="777"/>
      <c r="W570" s="778"/>
      <c r="X570" s="776" t="str">
        <f>Calcu_ADJ!P55</f>
        <v/>
      </c>
      <c r="Y570" s="777"/>
      <c r="Z570" s="777"/>
      <c r="AA570" s="777"/>
      <c r="AB570" s="778"/>
      <c r="AC570" s="776" t="str">
        <f>Calcu_ADJ!Q55</f>
        <v/>
      </c>
      <c r="AD570" s="777"/>
      <c r="AE570" s="777"/>
      <c r="AF570" s="777"/>
      <c r="AG570" s="778"/>
      <c r="AH570" s="776" t="str">
        <f>Calcu_ADJ!R55</f>
        <v/>
      </c>
      <c r="AI570" s="777"/>
      <c r="AJ570" s="777"/>
      <c r="AK570" s="777"/>
      <c r="AL570" s="778"/>
      <c r="AM570" s="776" t="str">
        <f>Calcu_ADJ!S55</f>
        <v/>
      </c>
      <c r="AN570" s="777"/>
      <c r="AO570" s="777"/>
      <c r="AP570" s="777"/>
      <c r="AQ570" s="778"/>
      <c r="AR570" s="698" t="str">
        <f t="shared" si="50"/>
        <v/>
      </c>
      <c r="AS570" s="700"/>
    </row>
    <row r="571" spans="1:46" ht="18" customHeight="1">
      <c r="A571" s="387"/>
      <c r="B571" s="665">
        <v>12</v>
      </c>
      <c r="C571" s="745"/>
      <c r="D571" s="776" t="str">
        <f>Calcu_ADJ!D56</f>
        <v/>
      </c>
      <c r="E571" s="777"/>
      <c r="F571" s="777"/>
      <c r="G571" s="777"/>
      <c r="H571" s="778"/>
      <c r="I571" s="776" t="e">
        <f ca="1">Calcu_ADJ!M56</f>
        <v>#VALUE!</v>
      </c>
      <c r="J571" s="777"/>
      <c r="K571" s="777"/>
      <c r="L571" s="777"/>
      <c r="M571" s="778"/>
      <c r="N571" s="776" t="str">
        <f>Calcu_ADJ!N56</f>
        <v/>
      </c>
      <c r="O571" s="777"/>
      <c r="P571" s="777"/>
      <c r="Q571" s="777"/>
      <c r="R571" s="778"/>
      <c r="S571" s="776" t="str">
        <f>Calcu_ADJ!O56</f>
        <v/>
      </c>
      <c r="T571" s="777"/>
      <c r="U571" s="777"/>
      <c r="V571" s="777"/>
      <c r="W571" s="778"/>
      <c r="X571" s="776" t="str">
        <f>Calcu_ADJ!P56</f>
        <v/>
      </c>
      <c r="Y571" s="777"/>
      <c r="Z571" s="777"/>
      <c r="AA571" s="777"/>
      <c r="AB571" s="778"/>
      <c r="AC571" s="776" t="str">
        <f>Calcu_ADJ!Q56</f>
        <v/>
      </c>
      <c r="AD571" s="777"/>
      <c r="AE571" s="777"/>
      <c r="AF571" s="777"/>
      <c r="AG571" s="778"/>
      <c r="AH571" s="776" t="str">
        <f>Calcu_ADJ!R56</f>
        <v/>
      </c>
      <c r="AI571" s="777"/>
      <c r="AJ571" s="777"/>
      <c r="AK571" s="777"/>
      <c r="AL571" s="778"/>
      <c r="AM571" s="776" t="str">
        <f>Calcu_ADJ!S56</f>
        <v/>
      </c>
      <c r="AN571" s="777"/>
      <c r="AO571" s="777"/>
      <c r="AP571" s="777"/>
      <c r="AQ571" s="778"/>
      <c r="AR571" s="698" t="str">
        <f t="shared" si="50"/>
        <v/>
      </c>
      <c r="AS571" s="700"/>
    </row>
    <row r="572" spans="1:46" ht="18" customHeight="1">
      <c r="A572" s="387"/>
      <c r="B572" s="665">
        <v>13</v>
      </c>
      <c r="C572" s="745"/>
      <c r="D572" s="776" t="str">
        <f>Calcu_ADJ!D57</f>
        <v/>
      </c>
      <c r="E572" s="777"/>
      <c r="F572" s="777"/>
      <c r="G572" s="777"/>
      <c r="H572" s="778"/>
      <c r="I572" s="776" t="e">
        <f ca="1">Calcu_ADJ!M57</f>
        <v>#VALUE!</v>
      </c>
      <c r="J572" s="777"/>
      <c r="K572" s="777"/>
      <c r="L572" s="777"/>
      <c r="M572" s="778"/>
      <c r="N572" s="776" t="str">
        <f>Calcu_ADJ!N57</f>
        <v/>
      </c>
      <c r="O572" s="777"/>
      <c r="P572" s="777"/>
      <c r="Q572" s="777"/>
      <c r="R572" s="778"/>
      <c r="S572" s="776" t="str">
        <f>Calcu_ADJ!O57</f>
        <v/>
      </c>
      <c r="T572" s="777"/>
      <c r="U572" s="777"/>
      <c r="V572" s="777"/>
      <c r="W572" s="778"/>
      <c r="X572" s="776" t="str">
        <f>Calcu_ADJ!P57</f>
        <v/>
      </c>
      <c r="Y572" s="777"/>
      <c r="Z572" s="777"/>
      <c r="AA572" s="777"/>
      <c r="AB572" s="778"/>
      <c r="AC572" s="776" t="str">
        <f>Calcu_ADJ!Q57</f>
        <v/>
      </c>
      <c r="AD572" s="777"/>
      <c r="AE572" s="777"/>
      <c r="AF572" s="777"/>
      <c r="AG572" s="778"/>
      <c r="AH572" s="776" t="str">
        <f>Calcu_ADJ!R57</f>
        <v/>
      </c>
      <c r="AI572" s="777"/>
      <c r="AJ572" s="777"/>
      <c r="AK572" s="777"/>
      <c r="AL572" s="778"/>
      <c r="AM572" s="776" t="str">
        <f>Calcu_ADJ!S57</f>
        <v/>
      </c>
      <c r="AN572" s="777"/>
      <c r="AO572" s="777"/>
      <c r="AP572" s="777"/>
      <c r="AQ572" s="778"/>
      <c r="AR572" s="698" t="str">
        <f t="shared" si="50"/>
        <v/>
      </c>
      <c r="AS572" s="700"/>
    </row>
    <row r="573" spans="1:46" ht="18" customHeight="1">
      <c r="A573" s="387"/>
      <c r="B573" s="665">
        <v>14</v>
      </c>
      <c r="C573" s="745"/>
      <c r="D573" s="776" t="str">
        <f>Calcu_ADJ!D58</f>
        <v/>
      </c>
      <c r="E573" s="777"/>
      <c r="F573" s="777"/>
      <c r="G573" s="777"/>
      <c r="H573" s="778"/>
      <c r="I573" s="776" t="e">
        <f ca="1">Calcu_ADJ!M58</f>
        <v>#VALUE!</v>
      </c>
      <c r="J573" s="777"/>
      <c r="K573" s="777"/>
      <c r="L573" s="777"/>
      <c r="M573" s="778"/>
      <c r="N573" s="776" t="str">
        <f>Calcu_ADJ!N58</f>
        <v/>
      </c>
      <c r="O573" s="777"/>
      <c r="P573" s="777"/>
      <c r="Q573" s="777"/>
      <c r="R573" s="778"/>
      <c r="S573" s="776" t="str">
        <f>Calcu_ADJ!O58</f>
        <v/>
      </c>
      <c r="T573" s="777"/>
      <c r="U573" s="777"/>
      <c r="V573" s="777"/>
      <c r="W573" s="778"/>
      <c r="X573" s="776" t="str">
        <f>Calcu_ADJ!P58</f>
        <v/>
      </c>
      <c r="Y573" s="777"/>
      <c r="Z573" s="777"/>
      <c r="AA573" s="777"/>
      <c r="AB573" s="778"/>
      <c r="AC573" s="776" t="str">
        <f>Calcu_ADJ!Q58</f>
        <v/>
      </c>
      <c r="AD573" s="777"/>
      <c r="AE573" s="777"/>
      <c r="AF573" s="777"/>
      <c r="AG573" s="778"/>
      <c r="AH573" s="776" t="str">
        <f>Calcu_ADJ!R58</f>
        <v/>
      </c>
      <c r="AI573" s="777"/>
      <c r="AJ573" s="777"/>
      <c r="AK573" s="777"/>
      <c r="AL573" s="778"/>
      <c r="AM573" s="776" t="str">
        <f>Calcu_ADJ!S58</f>
        <v/>
      </c>
      <c r="AN573" s="777"/>
      <c r="AO573" s="777"/>
      <c r="AP573" s="777"/>
      <c r="AQ573" s="778"/>
      <c r="AR573" s="698" t="str">
        <f t="shared" si="50"/>
        <v/>
      </c>
      <c r="AS573" s="700"/>
    </row>
    <row r="574" spans="1:46" ht="18" customHeight="1">
      <c r="A574" s="387"/>
      <c r="B574" s="665">
        <v>15</v>
      </c>
      <c r="C574" s="745"/>
      <c r="D574" s="776" t="str">
        <f>Calcu_ADJ!D59</f>
        <v/>
      </c>
      <c r="E574" s="777"/>
      <c r="F574" s="777"/>
      <c r="G574" s="777"/>
      <c r="H574" s="778"/>
      <c r="I574" s="776" t="e">
        <f ca="1">Calcu_ADJ!M59</f>
        <v>#VALUE!</v>
      </c>
      <c r="J574" s="777"/>
      <c r="K574" s="777"/>
      <c r="L574" s="777"/>
      <c r="M574" s="778"/>
      <c r="N574" s="776" t="str">
        <f>Calcu_ADJ!N59</f>
        <v/>
      </c>
      <c r="O574" s="777"/>
      <c r="P574" s="777"/>
      <c r="Q574" s="777"/>
      <c r="R574" s="778"/>
      <c r="S574" s="776" t="str">
        <f>Calcu_ADJ!O59</f>
        <v/>
      </c>
      <c r="T574" s="777"/>
      <c r="U574" s="777"/>
      <c r="V574" s="777"/>
      <c r="W574" s="778"/>
      <c r="X574" s="776" t="str">
        <f>Calcu_ADJ!P59</f>
        <v/>
      </c>
      <c r="Y574" s="777"/>
      <c r="Z574" s="777"/>
      <c r="AA574" s="777"/>
      <c r="AB574" s="778"/>
      <c r="AC574" s="776" t="str">
        <f>Calcu_ADJ!Q59</f>
        <v/>
      </c>
      <c r="AD574" s="777"/>
      <c r="AE574" s="777"/>
      <c r="AF574" s="777"/>
      <c r="AG574" s="778"/>
      <c r="AH574" s="776" t="str">
        <f>Calcu_ADJ!R59</f>
        <v/>
      </c>
      <c r="AI574" s="777"/>
      <c r="AJ574" s="777"/>
      <c r="AK574" s="777"/>
      <c r="AL574" s="778"/>
      <c r="AM574" s="776" t="str">
        <f>Calcu_ADJ!S59</f>
        <v/>
      </c>
      <c r="AN574" s="777"/>
      <c r="AO574" s="777"/>
      <c r="AP574" s="777"/>
      <c r="AQ574" s="778"/>
      <c r="AR574" s="698" t="str">
        <f t="shared" si="50"/>
        <v/>
      </c>
      <c r="AS574" s="700"/>
    </row>
    <row r="575" spans="1:46" s="374" customFormat="1" ht="18" customHeight="1">
      <c r="A575" s="387"/>
      <c r="B575" s="366"/>
      <c r="C575" s="366"/>
      <c r="D575" s="366"/>
      <c r="E575" s="366"/>
      <c r="F575" s="366"/>
      <c r="G575" s="366"/>
      <c r="H575" s="366"/>
      <c r="I575" s="366"/>
      <c r="J575" s="366"/>
      <c r="K575" s="366"/>
      <c r="L575" s="366"/>
      <c r="M575" s="366"/>
      <c r="N575" s="366"/>
      <c r="O575" s="366"/>
      <c r="P575" s="366"/>
      <c r="Q575" s="366"/>
      <c r="R575" s="366"/>
      <c r="S575" s="366"/>
      <c r="T575" s="366"/>
      <c r="U575" s="366"/>
      <c r="V575" s="366"/>
      <c r="W575" s="366"/>
      <c r="X575" s="366"/>
      <c r="Y575" s="366"/>
      <c r="Z575" s="366"/>
      <c r="AA575" s="366"/>
      <c r="AB575" s="366"/>
      <c r="AC575" s="366"/>
      <c r="AD575" s="366"/>
      <c r="AE575" s="366"/>
      <c r="AF575" s="366"/>
      <c r="AG575" s="366"/>
      <c r="AH575" s="366"/>
      <c r="AI575" s="366"/>
      <c r="AJ575" s="366"/>
      <c r="AK575" s="366"/>
      <c r="AL575" s="366"/>
      <c r="AM575" s="366"/>
      <c r="AN575" s="366"/>
      <c r="AO575" s="366"/>
      <c r="AP575" s="366"/>
      <c r="AQ575" s="366"/>
      <c r="AR575" s="92"/>
      <c r="AS575" s="92"/>
    </row>
    <row r="576" spans="1:46" s="95" customFormat="1" ht="18" customHeight="1">
      <c r="A576" s="102" t="s">
        <v>512</v>
      </c>
      <c r="B576" s="94"/>
      <c r="C576" s="94"/>
      <c r="D576" s="94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S576" s="94"/>
      <c r="T576" s="94"/>
      <c r="U576" s="98"/>
      <c r="V576" s="98"/>
      <c r="W576" s="98"/>
      <c r="X576" s="98"/>
      <c r="Y576" s="98"/>
      <c r="Z576" s="98"/>
      <c r="AA576" s="98"/>
      <c r="AB576" s="98"/>
      <c r="AC576" s="98"/>
      <c r="AD576" s="98"/>
      <c r="AE576" s="98"/>
      <c r="AF576" s="98"/>
      <c r="AG576" s="98"/>
      <c r="AH576" s="98"/>
      <c r="AI576" s="98"/>
      <c r="AJ576" s="98"/>
      <c r="AK576" s="98"/>
      <c r="AL576" s="98"/>
      <c r="AM576" s="94"/>
      <c r="AN576" s="94"/>
      <c r="AO576" s="94"/>
      <c r="AP576" s="94"/>
      <c r="AQ576" s="94"/>
      <c r="AR576" s="94"/>
      <c r="AS576" s="94"/>
      <c r="AT576" s="94"/>
    </row>
    <row r="577" spans="1:48" s="95" customFormat="1" ht="18" customHeight="1">
      <c r="A577" s="94"/>
      <c r="B577" s="94"/>
      <c r="C577" s="94"/>
      <c r="D577" s="94"/>
      <c r="E577" s="94"/>
      <c r="F577" s="94"/>
      <c r="G577" s="94"/>
      <c r="H577" s="94"/>
      <c r="I577" s="94"/>
      <c r="J577" s="94"/>
      <c r="K577" s="94"/>
      <c r="L577" s="866" t="e">
        <f ca="1">D552</f>
        <v>#N/A</v>
      </c>
      <c r="M577" s="866"/>
      <c r="N577" s="866"/>
      <c r="O577" s="866"/>
      <c r="P577" s="866"/>
      <c r="Q577" s="866"/>
      <c r="R577" s="866"/>
      <c r="S577" s="866"/>
      <c r="T577" s="866"/>
      <c r="U577" s="866"/>
      <c r="V577" s="866"/>
      <c r="W577" s="865" t="s">
        <v>506</v>
      </c>
      <c r="X577" s="889" t="s">
        <v>448</v>
      </c>
      <c r="Y577" s="889"/>
      <c r="Z577" s="889"/>
      <c r="AA577" s="889"/>
      <c r="AB577" s="889"/>
      <c r="AC577" s="889"/>
      <c r="AD577" s="98"/>
      <c r="AE577" s="98"/>
      <c r="AF577" s="98"/>
      <c r="AG577" s="98"/>
      <c r="AH577" s="98"/>
      <c r="AI577" s="98"/>
      <c r="AJ577" s="98"/>
      <c r="AK577" s="98"/>
      <c r="AL577" s="98"/>
      <c r="AM577" s="98"/>
      <c r="AN577" s="98"/>
      <c r="AO577" s="94"/>
      <c r="AP577" s="94"/>
      <c r="AQ577" s="94"/>
      <c r="AR577" s="94"/>
      <c r="AS577" s="94"/>
      <c r="AT577" s="94"/>
      <c r="AU577" s="94"/>
      <c r="AV577" s="94"/>
    </row>
    <row r="578" spans="1:48" s="95" customFormat="1" ht="18" customHeight="1">
      <c r="A578" s="94"/>
      <c r="B578" s="94"/>
      <c r="C578" s="94"/>
      <c r="D578" s="94"/>
      <c r="E578" s="94"/>
      <c r="F578" s="94"/>
      <c r="G578" s="94"/>
      <c r="H578" s="94"/>
      <c r="I578" s="94"/>
      <c r="J578" s="94"/>
      <c r="K578" s="94"/>
      <c r="L578" s="863" t="e">
        <f ca="1">E549</f>
        <v>#N/A</v>
      </c>
      <c r="M578" s="863"/>
      <c r="N578" s="863"/>
      <c r="O578" s="863"/>
      <c r="P578" s="863"/>
      <c r="Q578" s="864" t="s">
        <v>148</v>
      </c>
      <c r="R578" s="863" t="e">
        <f ca="1">M549</f>
        <v>#N/A</v>
      </c>
      <c r="S578" s="863"/>
      <c r="T578" s="863"/>
      <c r="U578" s="863"/>
      <c r="V578" s="863"/>
      <c r="W578" s="865"/>
      <c r="X578" s="889"/>
      <c r="Y578" s="889"/>
      <c r="Z578" s="889"/>
      <c r="AA578" s="889"/>
      <c r="AB578" s="889"/>
      <c r="AC578" s="889"/>
      <c r="AD578" s="98"/>
      <c r="AE578" s="98"/>
      <c r="AF578" s="98"/>
      <c r="AG578" s="98"/>
      <c r="AH578" s="98"/>
      <c r="AI578" s="98"/>
      <c r="AJ578" s="98"/>
      <c r="AK578" s="98"/>
      <c r="AL578" s="98"/>
      <c r="AM578" s="98"/>
      <c r="AN578" s="98"/>
      <c r="AO578" s="94"/>
      <c r="AP578" s="94"/>
      <c r="AQ578" s="94"/>
      <c r="AR578" s="94"/>
      <c r="AS578" s="94"/>
      <c r="AT578" s="94"/>
      <c r="AU578" s="94"/>
      <c r="AV578" s="94"/>
    </row>
    <row r="579" spans="1:48" s="95" customFormat="1" ht="18" customHeight="1">
      <c r="A579" s="94"/>
      <c r="B579" s="94"/>
      <c r="C579" s="94"/>
      <c r="D579" s="94"/>
      <c r="E579" s="94"/>
      <c r="F579" s="94"/>
      <c r="G579" s="94"/>
      <c r="H579" s="94"/>
      <c r="I579" s="94"/>
      <c r="J579" s="94"/>
      <c r="K579" s="94"/>
      <c r="L579" s="865" t="str">
        <f>AP434</f>
        <v>∞</v>
      </c>
      <c r="M579" s="865"/>
      <c r="N579" s="865"/>
      <c r="O579" s="865"/>
      <c r="P579" s="865"/>
      <c r="Q579" s="865"/>
      <c r="R579" s="865" t="e">
        <f ca="1">AP435</f>
        <v>#N/A</v>
      </c>
      <c r="S579" s="865"/>
      <c r="T579" s="865"/>
      <c r="U579" s="865"/>
      <c r="V579" s="865"/>
      <c r="W579" s="98"/>
      <c r="X579" s="98"/>
      <c r="Y579" s="98"/>
      <c r="Z579" s="98"/>
      <c r="AA579" s="98"/>
      <c r="AB579" s="98"/>
      <c r="AC579" s="98"/>
      <c r="AD579" s="98"/>
      <c r="AE579" s="98"/>
      <c r="AF579" s="98"/>
      <c r="AG579" s="98"/>
      <c r="AH579" s="98"/>
      <c r="AI579" s="98"/>
      <c r="AJ579" s="98"/>
      <c r="AK579" s="98"/>
      <c r="AL579" s="98"/>
      <c r="AM579" s="98"/>
      <c r="AN579" s="98"/>
      <c r="AO579" s="94"/>
      <c r="AP579" s="94"/>
      <c r="AQ579" s="94"/>
      <c r="AR579" s="94"/>
      <c r="AS579" s="94"/>
      <c r="AT579" s="94"/>
      <c r="AU579" s="94"/>
      <c r="AV579" s="94"/>
    </row>
    <row r="580" spans="1:48" s="95" customFormat="1" ht="18" customHeight="1">
      <c r="A580" s="94"/>
      <c r="B580" s="94"/>
      <c r="C580" s="94"/>
      <c r="D580" s="126"/>
      <c r="E580" s="377"/>
      <c r="F580" s="126"/>
      <c r="G580" s="126"/>
      <c r="H580" s="377"/>
      <c r="I580" s="127"/>
      <c r="J580" s="127"/>
      <c r="K580" s="128"/>
      <c r="L580" s="94"/>
      <c r="M580" s="94"/>
      <c r="N580" s="94"/>
      <c r="O580" s="94"/>
      <c r="P580" s="94"/>
      <c r="Q580" s="94"/>
      <c r="R580" s="94"/>
      <c r="S580" s="94"/>
      <c r="T580" s="94"/>
      <c r="U580" s="98"/>
      <c r="V580" s="98"/>
      <c r="W580" s="98"/>
      <c r="X580" s="98"/>
      <c r="Y580" s="98"/>
      <c r="Z580" s="98"/>
      <c r="AA580" s="98"/>
      <c r="AB580" s="98"/>
      <c r="AC580" s="98"/>
      <c r="AD580" s="98"/>
      <c r="AE580" s="98"/>
      <c r="AF580" s="98"/>
      <c r="AG580" s="98"/>
      <c r="AH580" s="98"/>
      <c r="AI580" s="98"/>
      <c r="AJ580" s="98"/>
      <c r="AK580" s="98"/>
      <c r="AL580" s="98"/>
      <c r="AM580" s="94"/>
      <c r="AN580" s="94"/>
      <c r="AO580" s="94"/>
      <c r="AP580" s="94"/>
      <c r="AQ580" s="94"/>
      <c r="AR580" s="94"/>
      <c r="AS580" s="94"/>
      <c r="AT580" s="94"/>
    </row>
    <row r="581" spans="1:48" s="95" customFormat="1" ht="18" customHeight="1">
      <c r="A581" s="102" t="s">
        <v>645</v>
      </c>
      <c r="B581" s="94"/>
      <c r="C581" s="94"/>
      <c r="D581" s="94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4"/>
      <c r="R581" s="94"/>
      <c r="S581" s="94"/>
      <c r="T581" s="94"/>
      <c r="U581" s="94"/>
      <c r="V581" s="94"/>
      <c r="W581" s="94"/>
      <c r="X581" s="94"/>
      <c r="Y581" s="94"/>
      <c r="Z581" s="94"/>
      <c r="AA581" s="94"/>
      <c r="AB581" s="94"/>
      <c r="AC581" s="94"/>
      <c r="AD581" s="94"/>
      <c r="AE581" s="94"/>
      <c r="AF581" s="94"/>
      <c r="AG581" s="94"/>
      <c r="AH581" s="94"/>
      <c r="AI581" s="94"/>
      <c r="AJ581" s="94"/>
      <c r="AK581" s="94"/>
      <c r="AL581" s="94"/>
      <c r="AM581" s="94"/>
      <c r="AN581" s="94"/>
      <c r="AO581" s="94"/>
      <c r="AP581" s="94"/>
      <c r="AQ581" s="94"/>
      <c r="AR581" s="94"/>
      <c r="AS581" s="94"/>
      <c r="AT581" s="94"/>
    </row>
    <row r="582" spans="1:48" s="95" customFormat="1" ht="18" customHeight="1">
      <c r="B582" s="98" t="s">
        <v>647</v>
      </c>
      <c r="C582" s="94"/>
      <c r="D582" s="94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94"/>
      <c r="S582" s="94"/>
      <c r="T582" s="94"/>
      <c r="U582" s="94"/>
      <c r="V582" s="94"/>
      <c r="W582" s="94"/>
      <c r="X582" s="94"/>
      <c r="Y582" s="94"/>
      <c r="Z582" s="94"/>
      <c r="AA582" s="94"/>
      <c r="AB582" s="94"/>
      <c r="AC582" s="94"/>
      <c r="AD582" s="94"/>
      <c r="AE582" s="94"/>
      <c r="AF582" s="94"/>
      <c r="AG582" s="94"/>
      <c r="AH582" s="94"/>
      <c r="AI582" s="94"/>
      <c r="AJ582" s="94"/>
      <c r="AK582" s="94"/>
      <c r="AL582" s="94"/>
      <c r="AM582" s="94"/>
      <c r="AN582" s="94"/>
      <c r="AO582" s="94"/>
      <c r="AP582" s="94"/>
      <c r="AQ582" s="94"/>
      <c r="AR582" s="94"/>
      <c r="AS582" s="94"/>
      <c r="AT582" s="94"/>
    </row>
    <row r="583" spans="1:48" s="95" customFormat="1" ht="18" customHeight="1">
      <c r="A583" s="94"/>
      <c r="B583" s="94"/>
      <c r="C583" s="377"/>
      <c r="D583" s="94"/>
      <c r="E583" s="129"/>
      <c r="F583" s="94"/>
      <c r="G583" s="123" t="s">
        <v>514</v>
      </c>
      <c r="H583" s="896" t="s">
        <v>171</v>
      </c>
      <c r="I583" s="896"/>
      <c r="J583" s="871" t="e">
        <f ca="1">D552</f>
        <v>#N/A</v>
      </c>
      <c r="K583" s="871"/>
      <c r="L583" s="871"/>
      <c r="M583" s="871"/>
      <c r="N583" s="378">
        <f>H552</f>
        <v>0</v>
      </c>
      <c r="O583" s="373"/>
      <c r="P583" s="371" t="s">
        <v>515</v>
      </c>
      <c r="Q583" s="871" t="e">
        <f ca="1">J583*2</f>
        <v>#N/A</v>
      </c>
      <c r="R583" s="871"/>
      <c r="S583" s="871"/>
      <c r="T583" s="871"/>
      <c r="U583" s="378">
        <f>N583</f>
        <v>0</v>
      </c>
      <c r="V583" s="374"/>
      <c r="W583" s="374"/>
      <c r="X583" s="374"/>
      <c r="Y583" s="374"/>
      <c r="Z583" s="94"/>
      <c r="AA583" s="94"/>
      <c r="AB583" s="94"/>
      <c r="AC583" s="94"/>
      <c r="AD583" s="94"/>
      <c r="AE583" s="94"/>
      <c r="AF583" s="94"/>
      <c r="AG583" s="94"/>
      <c r="AH583" s="94"/>
      <c r="AI583" s="94"/>
      <c r="AJ583" s="94"/>
      <c r="AK583" s="94"/>
      <c r="AL583" s="94"/>
      <c r="AM583" s="94"/>
      <c r="AN583" s="94"/>
      <c r="AO583" s="94"/>
      <c r="AP583" s="94"/>
      <c r="AQ583" s="94"/>
      <c r="AR583" s="94"/>
      <c r="AS583" s="94"/>
      <c r="AT583" s="94"/>
    </row>
    <row r="584" spans="1:48" ht="18" customHeight="1">
      <c r="A584" s="387"/>
      <c r="B584" s="374"/>
      <c r="C584" s="374"/>
      <c r="D584" s="374"/>
      <c r="E584" s="374"/>
      <c r="F584" s="374"/>
      <c r="G584" s="374"/>
      <c r="H584" s="374"/>
      <c r="I584" s="374"/>
      <c r="J584" s="374"/>
      <c r="K584" s="374"/>
      <c r="L584" s="374"/>
      <c r="M584" s="374"/>
      <c r="N584" s="374"/>
      <c r="O584" s="374"/>
      <c r="P584" s="374"/>
      <c r="Q584" s="374"/>
      <c r="R584" s="374"/>
      <c r="S584" s="374"/>
      <c r="T584" s="374"/>
      <c r="U584" s="374"/>
      <c r="V584" s="374"/>
      <c r="W584" s="374"/>
      <c r="X584" s="374"/>
      <c r="Y584" s="374"/>
      <c r="Z584" s="374"/>
      <c r="AA584" s="374"/>
      <c r="AB584" s="374"/>
      <c r="AC584" s="374"/>
      <c r="AD584" s="374"/>
      <c r="AE584" s="374"/>
      <c r="AF584" s="374"/>
      <c r="AG584" s="374"/>
      <c r="AH584" s="374"/>
      <c r="AI584" s="374"/>
      <c r="AJ584" s="374"/>
      <c r="AK584" s="374"/>
      <c r="AL584" s="374"/>
      <c r="AM584" s="374"/>
      <c r="AN584" s="374"/>
      <c r="AO584" s="374"/>
      <c r="AP584" s="374"/>
      <c r="AQ584" s="374"/>
      <c r="AR584" s="374"/>
      <c r="AS584" s="374"/>
      <c r="AT584" s="374"/>
    </row>
    <row r="585" spans="1:48" ht="18" customHeight="1">
      <c r="A585" s="131" t="s">
        <v>596</v>
      </c>
      <c r="B585" s="374"/>
      <c r="C585" s="374"/>
      <c r="D585" s="374"/>
      <c r="E585" s="374"/>
      <c r="F585" s="374"/>
      <c r="G585" s="374"/>
      <c r="H585" s="374"/>
      <c r="I585" s="374"/>
      <c r="J585" s="374"/>
      <c r="K585" s="374"/>
      <c r="L585" s="374"/>
      <c r="M585" s="374"/>
      <c r="N585" s="374"/>
      <c r="O585" s="374"/>
      <c r="P585" s="374"/>
      <c r="Q585" s="374"/>
      <c r="R585" s="374"/>
      <c r="S585" s="374"/>
      <c r="T585" s="374"/>
      <c r="U585" s="374"/>
      <c r="V585" s="374"/>
      <c r="W585" s="374"/>
      <c r="X585" s="374"/>
      <c r="Y585" s="374"/>
      <c r="Z585" s="374"/>
      <c r="AA585" s="374"/>
      <c r="AB585" s="374"/>
      <c r="AC585" s="374"/>
      <c r="AD585" s="374"/>
      <c r="AE585" s="374"/>
      <c r="AF585" s="374"/>
      <c r="AG585" s="374"/>
      <c r="AH585" s="374"/>
      <c r="AI585" s="374"/>
      <c r="AJ585" s="374"/>
      <c r="AK585" s="374"/>
      <c r="AL585" s="374"/>
      <c r="AM585" s="374"/>
      <c r="AN585" s="374"/>
      <c r="AO585" s="374"/>
      <c r="AP585" s="374"/>
      <c r="AQ585" s="374"/>
      <c r="AR585" s="374"/>
      <c r="AS585" s="374"/>
      <c r="AT585" s="374"/>
    </row>
    <row r="586" spans="1:48" ht="18" customHeight="1">
      <c r="A586" s="387"/>
      <c r="B586" s="878" t="s">
        <v>57</v>
      </c>
      <c r="C586" s="888"/>
      <c r="D586" s="888"/>
      <c r="E586" s="879"/>
      <c r="F586" s="665" t="s">
        <v>69</v>
      </c>
      <c r="G586" s="744"/>
      <c r="H586" s="744"/>
      <c r="I586" s="744"/>
      <c r="J586" s="744"/>
      <c r="K586" s="745"/>
      <c r="L586" s="665" t="e">
        <f>Calcu!J103</f>
        <v>#N/A</v>
      </c>
      <c r="M586" s="744"/>
      <c r="N586" s="744"/>
      <c r="O586" s="744"/>
      <c r="P586" s="744"/>
      <c r="Q586" s="744"/>
      <c r="R586" s="744"/>
      <c r="S586" s="744"/>
      <c r="T586" s="744"/>
      <c r="U586" s="744"/>
      <c r="V586" s="744"/>
      <c r="W586" s="744"/>
      <c r="X586" s="744"/>
      <c r="Y586" s="744"/>
      <c r="Z586" s="744"/>
      <c r="AA586" s="744"/>
      <c r="AB586" s="744"/>
      <c r="AC586" s="744"/>
      <c r="AD586" s="744"/>
      <c r="AE586" s="744"/>
      <c r="AF586" s="744"/>
      <c r="AG586" s="744"/>
      <c r="AH586" s="744"/>
      <c r="AI586" s="745"/>
      <c r="AJ586" s="374"/>
      <c r="AK586" s="374"/>
      <c r="AL586" s="374"/>
      <c r="AM586" s="374"/>
      <c r="AN586" s="374"/>
      <c r="AO586" s="374"/>
      <c r="AP586" s="374"/>
      <c r="AQ586" s="374"/>
      <c r="AR586" s="374"/>
      <c r="AS586" s="374"/>
    </row>
    <row r="587" spans="1:48" ht="18" customHeight="1">
      <c r="A587" s="387"/>
      <c r="B587" s="718"/>
      <c r="C587" s="719"/>
      <c r="D587" s="719"/>
      <c r="E587" s="742"/>
      <c r="F587" s="878" t="s">
        <v>599</v>
      </c>
      <c r="G587" s="888"/>
      <c r="H587" s="888"/>
      <c r="I587" s="888"/>
      <c r="J587" s="888"/>
      <c r="K587" s="879"/>
      <c r="L587" s="878" t="s">
        <v>597</v>
      </c>
      <c r="M587" s="888"/>
      <c r="N587" s="888"/>
      <c r="O587" s="888"/>
      <c r="P587" s="888"/>
      <c r="Q587" s="888"/>
      <c r="R587" s="888"/>
      <c r="S587" s="888"/>
      <c r="T587" s="888"/>
      <c r="U587" s="888"/>
      <c r="V587" s="888"/>
      <c r="W587" s="879"/>
      <c r="X587" s="878" t="s">
        <v>121</v>
      </c>
      <c r="Y587" s="888"/>
      <c r="Z587" s="888"/>
      <c r="AA587" s="888"/>
      <c r="AB587" s="888"/>
      <c r="AC587" s="879"/>
      <c r="AD587" s="878" t="s">
        <v>598</v>
      </c>
      <c r="AE587" s="888"/>
      <c r="AF587" s="888"/>
      <c r="AG587" s="888"/>
      <c r="AH587" s="888"/>
      <c r="AI587" s="879"/>
      <c r="AJ587" s="374"/>
      <c r="AK587" s="374"/>
      <c r="AL587" s="374"/>
      <c r="AM587" s="374"/>
      <c r="AN587" s="374"/>
      <c r="AO587" s="374"/>
      <c r="AP587" s="374"/>
      <c r="AQ587" s="374"/>
      <c r="AR587" s="374"/>
      <c r="AS587" s="374"/>
    </row>
    <row r="588" spans="1:48" ht="18" customHeight="1">
      <c r="A588" s="387"/>
      <c r="B588" s="718"/>
      <c r="C588" s="719"/>
      <c r="D588" s="719"/>
      <c r="E588" s="742"/>
      <c r="F588" s="718"/>
      <c r="G588" s="719"/>
      <c r="H588" s="719"/>
      <c r="I588" s="719"/>
      <c r="J588" s="719"/>
      <c r="K588" s="742"/>
      <c r="L588" s="718"/>
      <c r="M588" s="719"/>
      <c r="N588" s="719"/>
      <c r="O588" s="719"/>
      <c r="P588" s="719"/>
      <c r="Q588" s="719"/>
      <c r="R588" s="719"/>
      <c r="S588" s="719"/>
      <c r="T588" s="719"/>
      <c r="U588" s="719"/>
      <c r="V588" s="719"/>
      <c r="W588" s="742"/>
      <c r="X588" s="718"/>
      <c r="Y588" s="719"/>
      <c r="Z588" s="719"/>
      <c r="AA588" s="719"/>
      <c r="AB588" s="719"/>
      <c r="AC588" s="742"/>
      <c r="AD588" s="718"/>
      <c r="AE588" s="719"/>
      <c r="AF588" s="719"/>
      <c r="AG588" s="719"/>
      <c r="AH588" s="719"/>
      <c r="AI588" s="742"/>
      <c r="AJ588" s="374"/>
      <c r="AK588" s="374"/>
      <c r="AL588" s="374"/>
      <c r="AM588" s="374"/>
      <c r="AN588" s="374"/>
      <c r="AO588" s="374"/>
      <c r="AP588" s="374"/>
      <c r="AQ588" s="374"/>
      <c r="AR588" s="374"/>
      <c r="AS588" s="374"/>
    </row>
    <row r="589" spans="1:48" ht="18" customHeight="1">
      <c r="A589" s="387"/>
      <c r="B589" s="718"/>
      <c r="C589" s="719"/>
      <c r="D589" s="719"/>
      <c r="E589" s="742"/>
      <c r="F589" s="718"/>
      <c r="G589" s="719"/>
      <c r="H589" s="719"/>
      <c r="I589" s="719"/>
      <c r="J589" s="719"/>
      <c r="K589" s="742"/>
      <c r="L589" s="718"/>
      <c r="M589" s="719"/>
      <c r="N589" s="719"/>
      <c r="O589" s="719"/>
      <c r="P589" s="719"/>
      <c r="Q589" s="719"/>
      <c r="R589" s="719"/>
      <c r="S589" s="719"/>
      <c r="T589" s="719"/>
      <c r="U589" s="719"/>
      <c r="V589" s="719"/>
      <c r="W589" s="742"/>
      <c r="X589" s="718"/>
      <c r="Y589" s="719"/>
      <c r="Z589" s="719"/>
      <c r="AA589" s="719"/>
      <c r="AB589" s="719"/>
      <c r="AC589" s="742"/>
      <c r="AD589" s="718"/>
      <c r="AE589" s="719"/>
      <c r="AF589" s="719"/>
      <c r="AG589" s="719"/>
      <c r="AH589" s="719"/>
      <c r="AI589" s="742"/>
      <c r="AJ589" s="374"/>
      <c r="AK589" s="374"/>
      <c r="AL589" s="374"/>
      <c r="AM589" s="374"/>
      <c r="AN589" s="374"/>
      <c r="AO589" s="374"/>
      <c r="AP589" s="374"/>
      <c r="AQ589" s="374"/>
      <c r="AR589" s="374"/>
      <c r="AS589" s="374"/>
    </row>
    <row r="590" spans="1:48" ht="18" customHeight="1">
      <c r="A590" s="387"/>
      <c r="B590" s="718"/>
      <c r="C590" s="719"/>
      <c r="D590" s="719"/>
      <c r="E590" s="742"/>
      <c r="F590" s="718"/>
      <c r="G590" s="719"/>
      <c r="H590" s="719"/>
      <c r="I590" s="719"/>
      <c r="J590" s="719"/>
      <c r="K590" s="742"/>
      <c r="L590" s="277"/>
      <c r="N590" s="890" t="e">
        <f>TEXT($AJ$302,"0.000 000 0 ")&amp;$AJ$303</f>
        <v>#DIV/0!</v>
      </c>
      <c r="O590" s="890"/>
      <c r="P590" s="890"/>
      <c r="Q590" s="890"/>
      <c r="R590" s="890"/>
      <c r="S590" s="890"/>
      <c r="T590" s="890"/>
      <c r="U590" s="890"/>
      <c r="V590" s="890"/>
      <c r="W590" s="891"/>
      <c r="X590" s="718"/>
      <c r="Y590" s="719"/>
      <c r="Z590" s="719"/>
      <c r="AA590" s="719"/>
      <c r="AB590" s="719"/>
      <c r="AC590" s="742"/>
      <c r="AD590" s="718"/>
      <c r="AE590" s="719"/>
      <c r="AF590" s="719"/>
      <c r="AG590" s="719"/>
      <c r="AH590" s="719"/>
      <c r="AI590" s="742"/>
      <c r="AJ590" s="374"/>
      <c r="AK590" s="374"/>
      <c r="AL590" s="374"/>
      <c r="AM590" s="374"/>
      <c r="AN590" s="374"/>
      <c r="AO590" s="374"/>
      <c r="AP590" s="374"/>
      <c r="AQ590" s="374"/>
      <c r="AR590" s="374"/>
      <c r="AS590" s="374"/>
    </row>
    <row r="591" spans="1:48" ht="18" customHeight="1">
      <c r="A591" s="387"/>
      <c r="B591" s="718"/>
      <c r="C591" s="719"/>
      <c r="D591" s="719"/>
      <c r="E591" s="742"/>
      <c r="F591" s="718"/>
      <c r="G591" s="719"/>
      <c r="H591" s="719"/>
      <c r="I591" s="719"/>
      <c r="J591" s="719"/>
      <c r="K591" s="742"/>
      <c r="L591" s="276"/>
      <c r="M591" s="278"/>
      <c r="N591" s="892"/>
      <c r="O591" s="892"/>
      <c r="P591" s="892"/>
      <c r="Q591" s="892"/>
      <c r="R591" s="892"/>
      <c r="S591" s="892"/>
      <c r="T591" s="892"/>
      <c r="U591" s="892"/>
      <c r="V591" s="892"/>
      <c r="W591" s="893"/>
      <c r="X591" s="718"/>
      <c r="Y591" s="719"/>
      <c r="Z591" s="719"/>
      <c r="AA591" s="719"/>
      <c r="AB591" s="719"/>
      <c r="AC591" s="742"/>
      <c r="AD591" s="718"/>
      <c r="AE591" s="719"/>
      <c r="AF591" s="719"/>
      <c r="AG591" s="719"/>
      <c r="AH591" s="719"/>
      <c r="AI591" s="742"/>
      <c r="AJ591" s="374"/>
      <c r="AK591" s="374"/>
      <c r="AL591" s="374"/>
      <c r="AM591" s="374"/>
      <c r="AN591" s="374"/>
      <c r="AO591" s="374"/>
      <c r="AP591" s="374"/>
      <c r="AQ591" s="374"/>
    </row>
    <row r="592" spans="1:48" ht="18" customHeight="1">
      <c r="A592" s="387"/>
      <c r="B592" s="718"/>
      <c r="C592" s="719"/>
      <c r="D592" s="719"/>
      <c r="E592" s="742"/>
      <c r="F592" s="720"/>
      <c r="G592" s="721"/>
      <c r="H592" s="721"/>
      <c r="I592" s="721"/>
      <c r="J592" s="721"/>
      <c r="K592" s="743"/>
      <c r="L592" s="665"/>
      <c r="M592" s="744"/>
      <c r="N592" s="744"/>
      <c r="O592" s="744"/>
      <c r="P592" s="744"/>
      <c r="Q592" s="745"/>
      <c r="R592" s="692" t="s">
        <v>426</v>
      </c>
      <c r="S592" s="894"/>
      <c r="T592" s="894"/>
      <c r="U592" s="894"/>
      <c r="V592" s="894"/>
      <c r="W592" s="895"/>
      <c r="X592" s="720"/>
      <c r="Y592" s="721"/>
      <c r="Z592" s="721"/>
      <c r="AA592" s="721"/>
      <c r="AB592" s="721"/>
      <c r="AC592" s="743"/>
      <c r="AD592" s="720"/>
      <c r="AE592" s="721"/>
      <c r="AF592" s="721"/>
      <c r="AG592" s="721"/>
      <c r="AH592" s="721"/>
      <c r="AI592" s="743"/>
      <c r="AJ592" s="374"/>
      <c r="AK592" s="374"/>
      <c r="AL592" s="374"/>
      <c r="AM592" s="374"/>
      <c r="AN592" s="374"/>
      <c r="AO592" s="374"/>
      <c r="AP592" s="374"/>
      <c r="AQ592" s="374"/>
    </row>
    <row r="593" spans="1:45" ht="18" customHeight="1">
      <c r="A593" s="387"/>
      <c r="B593" s="720"/>
      <c r="C593" s="721"/>
      <c r="D593" s="721"/>
      <c r="E593" s="743"/>
      <c r="F593" s="665">
        <f t="shared" ref="F593:F608" si="51">D559</f>
        <v>0</v>
      </c>
      <c r="G593" s="744"/>
      <c r="H593" s="744"/>
      <c r="I593" s="744"/>
      <c r="J593" s="744"/>
      <c r="K593" s="745"/>
      <c r="L593" s="665">
        <f>P256</f>
        <v>0</v>
      </c>
      <c r="M593" s="744"/>
      <c r="N593" s="744"/>
      <c r="O593" s="744"/>
      <c r="P593" s="744"/>
      <c r="Q593" s="745"/>
      <c r="R593" s="665">
        <f>F593</f>
        <v>0</v>
      </c>
      <c r="S593" s="744"/>
      <c r="T593" s="744"/>
      <c r="U593" s="744"/>
      <c r="V593" s="744"/>
      <c r="W593" s="745"/>
      <c r="X593" s="665">
        <f>R593</f>
        <v>0</v>
      </c>
      <c r="Y593" s="744"/>
      <c r="Z593" s="744"/>
      <c r="AA593" s="744"/>
      <c r="AB593" s="744"/>
      <c r="AC593" s="745"/>
      <c r="AD593" s="665">
        <f>X593</f>
        <v>0</v>
      </c>
      <c r="AE593" s="744"/>
      <c r="AF593" s="744"/>
      <c r="AG593" s="744"/>
      <c r="AH593" s="744"/>
      <c r="AI593" s="745"/>
      <c r="AJ593" s="374"/>
      <c r="AK593" s="374"/>
      <c r="AL593" s="374"/>
      <c r="AM593" s="374"/>
      <c r="AN593" s="374"/>
      <c r="AO593" s="374"/>
      <c r="AP593" s="374"/>
      <c r="AQ593" s="374"/>
      <c r="AR593" s="374"/>
      <c r="AS593" s="374"/>
    </row>
    <row r="594" spans="1:45" ht="18" customHeight="1">
      <c r="A594" s="387"/>
      <c r="B594" s="880">
        <f>B560</f>
        <v>1</v>
      </c>
      <c r="C594" s="880"/>
      <c r="D594" s="880"/>
      <c r="E594" s="880"/>
      <c r="F594" s="776" t="str">
        <f t="shared" si="51"/>
        <v/>
      </c>
      <c r="G594" s="744"/>
      <c r="H594" s="744"/>
      <c r="I594" s="744"/>
      <c r="J594" s="744"/>
      <c r="K594" s="745"/>
      <c r="L594" s="665" t="str">
        <f>Calcu_ADJ!H45</f>
        <v/>
      </c>
      <c r="M594" s="744"/>
      <c r="N594" s="744"/>
      <c r="O594" s="744"/>
      <c r="P594" s="744"/>
      <c r="Q594" s="745"/>
      <c r="R594" s="665" t="str">
        <f>Calcu_ADJ!I45</f>
        <v/>
      </c>
      <c r="S594" s="744"/>
      <c r="T594" s="744"/>
      <c r="U594" s="744"/>
      <c r="V594" s="744"/>
      <c r="W594" s="745"/>
      <c r="X594" s="665" t="str">
        <f>Calcu_ADJ!J45</f>
        <v/>
      </c>
      <c r="Y594" s="744"/>
      <c r="Z594" s="744"/>
      <c r="AA594" s="744"/>
      <c r="AB594" s="744"/>
      <c r="AC594" s="745"/>
      <c r="AD594" s="665" t="str">
        <f>Calcu_ADJ!T45</f>
        <v/>
      </c>
      <c r="AE594" s="744"/>
      <c r="AF594" s="744"/>
      <c r="AG594" s="744"/>
      <c r="AH594" s="744"/>
      <c r="AI594" s="745"/>
      <c r="AJ594" s="374"/>
      <c r="AK594" s="374"/>
      <c r="AL594" s="374"/>
      <c r="AM594" s="374"/>
      <c r="AN594" s="374"/>
      <c r="AO594" s="374"/>
      <c r="AP594" s="374"/>
      <c r="AQ594" s="374"/>
      <c r="AR594" s="374"/>
      <c r="AS594" s="374"/>
    </row>
    <row r="595" spans="1:45" ht="18" customHeight="1">
      <c r="A595" s="387"/>
      <c r="B595" s="880">
        <f t="shared" ref="B595:B608" si="52">B561</f>
        <v>2</v>
      </c>
      <c r="C595" s="880"/>
      <c r="D595" s="880"/>
      <c r="E595" s="880"/>
      <c r="F595" s="776" t="str">
        <f t="shared" si="51"/>
        <v/>
      </c>
      <c r="G595" s="744"/>
      <c r="H595" s="744"/>
      <c r="I595" s="744"/>
      <c r="J595" s="744"/>
      <c r="K595" s="745"/>
      <c r="L595" s="665" t="str">
        <f>Calcu_ADJ!H46</f>
        <v/>
      </c>
      <c r="M595" s="744"/>
      <c r="N595" s="744"/>
      <c r="O595" s="744"/>
      <c r="P595" s="744"/>
      <c r="Q595" s="745"/>
      <c r="R595" s="665" t="str">
        <f>Calcu_ADJ!I46</f>
        <v/>
      </c>
      <c r="S595" s="744"/>
      <c r="T595" s="744"/>
      <c r="U595" s="744"/>
      <c r="V595" s="744"/>
      <c r="W595" s="745"/>
      <c r="X595" s="665" t="str">
        <f>Calcu_ADJ!J46</f>
        <v/>
      </c>
      <c r="Y595" s="744"/>
      <c r="Z595" s="744"/>
      <c r="AA595" s="744"/>
      <c r="AB595" s="744"/>
      <c r="AC595" s="745"/>
      <c r="AD595" s="665" t="str">
        <f>Calcu_ADJ!T46</f>
        <v/>
      </c>
      <c r="AE595" s="744"/>
      <c r="AF595" s="744"/>
      <c r="AG595" s="744"/>
      <c r="AH595" s="744"/>
      <c r="AI595" s="745"/>
      <c r="AJ595" s="374"/>
      <c r="AK595" s="374"/>
      <c r="AL595" s="374"/>
      <c r="AM595" s="374"/>
      <c r="AN595" s="374"/>
      <c r="AO595" s="374"/>
      <c r="AP595" s="374"/>
      <c r="AQ595" s="374"/>
      <c r="AR595" s="374"/>
      <c r="AS595" s="374"/>
    </row>
    <row r="596" spans="1:45" ht="18" customHeight="1">
      <c r="A596" s="387"/>
      <c r="B596" s="880">
        <f t="shared" si="52"/>
        <v>3</v>
      </c>
      <c r="C596" s="880"/>
      <c r="D596" s="880"/>
      <c r="E596" s="880"/>
      <c r="F596" s="776" t="str">
        <f t="shared" si="51"/>
        <v/>
      </c>
      <c r="G596" s="744"/>
      <c r="H596" s="744"/>
      <c r="I596" s="744"/>
      <c r="J596" s="744"/>
      <c r="K596" s="745"/>
      <c r="L596" s="665" t="str">
        <f>Calcu_ADJ!H47</f>
        <v/>
      </c>
      <c r="M596" s="744"/>
      <c r="N596" s="744"/>
      <c r="O596" s="744"/>
      <c r="P596" s="744"/>
      <c r="Q596" s="745"/>
      <c r="R596" s="665" t="str">
        <f>Calcu_ADJ!I47</f>
        <v/>
      </c>
      <c r="S596" s="744"/>
      <c r="T596" s="744"/>
      <c r="U596" s="744"/>
      <c r="V596" s="744"/>
      <c r="W596" s="745"/>
      <c r="X596" s="665" t="str">
        <f>Calcu_ADJ!J47</f>
        <v/>
      </c>
      <c r="Y596" s="744"/>
      <c r="Z596" s="744"/>
      <c r="AA596" s="744"/>
      <c r="AB596" s="744"/>
      <c r="AC596" s="745"/>
      <c r="AD596" s="665" t="str">
        <f>Calcu_ADJ!T47</f>
        <v/>
      </c>
      <c r="AE596" s="744"/>
      <c r="AF596" s="744"/>
      <c r="AG596" s="744"/>
      <c r="AH596" s="744"/>
      <c r="AI596" s="745"/>
      <c r="AJ596" s="374"/>
      <c r="AK596" s="374"/>
      <c r="AL596" s="374"/>
      <c r="AM596" s="374"/>
      <c r="AN596" s="374"/>
      <c r="AO596" s="374"/>
      <c r="AP596" s="374"/>
      <c r="AQ596" s="374"/>
      <c r="AR596" s="374"/>
      <c r="AS596" s="374"/>
    </row>
    <row r="597" spans="1:45" ht="18" customHeight="1">
      <c r="A597" s="387"/>
      <c r="B597" s="880">
        <f t="shared" si="52"/>
        <v>4</v>
      </c>
      <c r="C597" s="880"/>
      <c r="D597" s="880"/>
      <c r="E597" s="880"/>
      <c r="F597" s="776" t="str">
        <f t="shared" si="51"/>
        <v/>
      </c>
      <c r="G597" s="744"/>
      <c r="H597" s="744"/>
      <c r="I597" s="744"/>
      <c r="J597" s="744"/>
      <c r="K597" s="745"/>
      <c r="L597" s="665" t="str">
        <f>Calcu_ADJ!H48</f>
        <v/>
      </c>
      <c r="M597" s="744"/>
      <c r="N597" s="744"/>
      <c r="O597" s="744"/>
      <c r="P597" s="744"/>
      <c r="Q597" s="745"/>
      <c r="R597" s="665" t="str">
        <f>Calcu_ADJ!I48</f>
        <v/>
      </c>
      <c r="S597" s="744"/>
      <c r="T597" s="744"/>
      <c r="U597" s="744"/>
      <c r="V597" s="744"/>
      <c r="W597" s="745"/>
      <c r="X597" s="665" t="str">
        <f>Calcu_ADJ!J48</f>
        <v/>
      </c>
      <c r="Y597" s="744"/>
      <c r="Z597" s="744"/>
      <c r="AA597" s="744"/>
      <c r="AB597" s="744"/>
      <c r="AC597" s="745"/>
      <c r="AD597" s="665" t="str">
        <f>Calcu_ADJ!T48</f>
        <v/>
      </c>
      <c r="AE597" s="744"/>
      <c r="AF597" s="744"/>
      <c r="AG597" s="744"/>
      <c r="AH597" s="744"/>
      <c r="AI597" s="745"/>
      <c r="AJ597" s="374"/>
      <c r="AK597" s="374"/>
      <c r="AL597" s="374"/>
      <c r="AM597" s="374"/>
      <c r="AN597" s="374"/>
      <c r="AO597" s="374"/>
      <c r="AP597" s="374"/>
      <c r="AQ597" s="374"/>
      <c r="AR597" s="374"/>
      <c r="AS597" s="374"/>
    </row>
    <row r="598" spans="1:45" ht="18" customHeight="1">
      <c r="A598" s="387"/>
      <c r="B598" s="880">
        <f t="shared" si="52"/>
        <v>5</v>
      </c>
      <c r="C598" s="880"/>
      <c r="D598" s="880"/>
      <c r="E598" s="880"/>
      <c r="F598" s="776" t="str">
        <f t="shared" si="51"/>
        <v/>
      </c>
      <c r="G598" s="744"/>
      <c r="H598" s="744"/>
      <c r="I598" s="744"/>
      <c r="J598" s="744"/>
      <c r="K598" s="745"/>
      <c r="L598" s="665" t="str">
        <f>Calcu_ADJ!H49</f>
        <v/>
      </c>
      <c r="M598" s="744"/>
      <c r="N598" s="744"/>
      <c r="O598" s="744"/>
      <c r="P598" s="744"/>
      <c r="Q598" s="745"/>
      <c r="R598" s="665" t="str">
        <f>Calcu_ADJ!I49</f>
        <v/>
      </c>
      <c r="S598" s="744"/>
      <c r="T598" s="744"/>
      <c r="U598" s="744"/>
      <c r="V598" s="744"/>
      <c r="W598" s="745"/>
      <c r="X598" s="665" t="str">
        <f>Calcu_ADJ!J49</f>
        <v/>
      </c>
      <c r="Y598" s="744"/>
      <c r="Z598" s="744"/>
      <c r="AA598" s="744"/>
      <c r="AB598" s="744"/>
      <c r="AC598" s="745"/>
      <c r="AD598" s="665" t="str">
        <f>Calcu_ADJ!T49</f>
        <v/>
      </c>
      <c r="AE598" s="744"/>
      <c r="AF598" s="744"/>
      <c r="AG598" s="744"/>
      <c r="AH598" s="744"/>
      <c r="AI598" s="745"/>
      <c r="AJ598" s="374"/>
      <c r="AK598" s="374"/>
      <c r="AL598" s="374"/>
      <c r="AM598" s="374"/>
      <c r="AN598" s="374"/>
      <c r="AO598" s="374"/>
      <c r="AP598" s="374"/>
      <c r="AQ598" s="374"/>
      <c r="AR598" s="374"/>
      <c r="AS598" s="374"/>
    </row>
    <row r="599" spans="1:45" ht="18" customHeight="1">
      <c r="A599" s="387"/>
      <c r="B599" s="880">
        <f t="shared" si="52"/>
        <v>6</v>
      </c>
      <c r="C599" s="880"/>
      <c r="D599" s="880"/>
      <c r="E599" s="880"/>
      <c r="F599" s="776" t="str">
        <f t="shared" si="51"/>
        <v/>
      </c>
      <c r="G599" s="744"/>
      <c r="H599" s="744"/>
      <c r="I599" s="744"/>
      <c r="J599" s="744"/>
      <c r="K599" s="745"/>
      <c r="L599" s="665" t="str">
        <f>Calcu_ADJ!H50</f>
        <v/>
      </c>
      <c r="M599" s="744"/>
      <c r="N599" s="744"/>
      <c r="O599" s="744"/>
      <c r="P599" s="744"/>
      <c r="Q599" s="745"/>
      <c r="R599" s="665" t="str">
        <f>Calcu_ADJ!I50</f>
        <v/>
      </c>
      <c r="S599" s="744"/>
      <c r="T599" s="744"/>
      <c r="U599" s="744"/>
      <c r="V599" s="744"/>
      <c r="W599" s="745"/>
      <c r="X599" s="665" t="str">
        <f>Calcu_ADJ!J50</f>
        <v/>
      </c>
      <c r="Y599" s="744"/>
      <c r="Z599" s="744"/>
      <c r="AA599" s="744"/>
      <c r="AB599" s="744"/>
      <c r="AC599" s="745"/>
      <c r="AD599" s="665" t="str">
        <f>Calcu_ADJ!T50</f>
        <v/>
      </c>
      <c r="AE599" s="744"/>
      <c r="AF599" s="744"/>
      <c r="AG599" s="744"/>
      <c r="AH599" s="744"/>
      <c r="AI599" s="745"/>
      <c r="AJ599" s="374"/>
      <c r="AK599" s="374"/>
      <c r="AL599" s="374"/>
      <c r="AM599" s="374"/>
      <c r="AN599" s="374"/>
      <c r="AO599" s="374"/>
      <c r="AP599" s="374"/>
      <c r="AQ599" s="374"/>
      <c r="AR599" s="374"/>
      <c r="AS599" s="374"/>
    </row>
    <row r="600" spans="1:45" ht="18" customHeight="1">
      <c r="A600" s="387"/>
      <c r="B600" s="880">
        <f t="shared" si="52"/>
        <v>7</v>
      </c>
      <c r="C600" s="880"/>
      <c r="D600" s="880"/>
      <c r="E600" s="880"/>
      <c r="F600" s="776" t="str">
        <f t="shared" si="51"/>
        <v/>
      </c>
      <c r="G600" s="744"/>
      <c r="H600" s="744"/>
      <c r="I600" s="744"/>
      <c r="J600" s="744"/>
      <c r="K600" s="745"/>
      <c r="L600" s="665" t="str">
        <f>Calcu_ADJ!H51</f>
        <v/>
      </c>
      <c r="M600" s="744"/>
      <c r="N600" s="744"/>
      <c r="O600" s="744"/>
      <c r="P600" s="744"/>
      <c r="Q600" s="745"/>
      <c r="R600" s="665" t="str">
        <f>Calcu_ADJ!I51</f>
        <v/>
      </c>
      <c r="S600" s="744"/>
      <c r="T600" s="744"/>
      <c r="U600" s="744"/>
      <c r="V600" s="744"/>
      <c r="W600" s="745"/>
      <c r="X600" s="665" t="str">
        <f>Calcu_ADJ!J51</f>
        <v/>
      </c>
      <c r="Y600" s="744"/>
      <c r="Z600" s="744"/>
      <c r="AA600" s="744"/>
      <c r="AB600" s="744"/>
      <c r="AC600" s="745"/>
      <c r="AD600" s="665" t="str">
        <f>Calcu_ADJ!T51</f>
        <v/>
      </c>
      <c r="AE600" s="744"/>
      <c r="AF600" s="744"/>
      <c r="AG600" s="744"/>
      <c r="AH600" s="744"/>
      <c r="AI600" s="745"/>
      <c r="AJ600" s="374"/>
      <c r="AK600" s="374"/>
      <c r="AL600" s="374"/>
      <c r="AM600" s="374"/>
      <c r="AN600" s="374"/>
      <c r="AO600" s="374"/>
      <c r="AP600" s="374"/>
      <c r="AQ600" s="374"/>
      <c r="AR600" s="374"/>
      <c r="AS600" s="374"/>
    </row>
    <row r="601" spans="1:45" ht="18" customHeight="1">
      <c r="A601" s="387"/>
      <c r="B601" s="880">
        <f t="shared" si="52"/>
        <v>8</v>
      </c>
      <c r="C601" s="880"/>
      <c r="D601" s="880"/>
      <c r="E601" s="880"/>
      <c r="F601" s="776" t="str">
        <f t="shared" si="51"/>
        <v/>
      </c>
      <c r="G601" s="744"/>
      <c r="H601" s="744"/>
      <c r="I601" s="744"/>
      <c r="J601" s="744"/>
      <c r="K601" s="745"/>
      <c r="L601" s="665" t="str">
        <f>Calcu_ADJ!H52</f>
        <v/>
      </c>
      <c r="M601" s="744"/>
      <c r="N601" s="744"/>
      <c r="O601" s="744"/>
      <c r="P601" s="744"/>
      <c r="Q601" s="745"/>
      <c r="R601" s="665" t="str">
        <f>Calcu_ADJ!I52</f>
        <v/>
      </c>
      <c r="S601" s="744"/>
      <c r="T601" s="744"/>
      <c r="U601" s="744"/>
      <c r="V601" s="744"/>
      <c r="W601" s="745"/>
      <c r="X601" s="665" t="str">
        <f>Calcu_ADJ!J52</f>
        <v/>
      </c>
      <c r="Y601" s="744"/>
      <c r="Z601" s="744"/>
      <c r="AA601" s="744"/>
      <c r="AB601" s="744"/>
      <c r="AC601" s="745"/>
      <c r="AD601" s="665" t="str">
        <f>Calcu_ADJ!T52</f>
        <v/>
      </c>
      <c r="AE601" s="744"/>
      <c r="AF601" s="744"/>
      <c r="AG601" s="744"/>
      <c r="AH601" s="744"/>
      <c r="AI601" s="745"/>
      <c r="AJ601" s="374"/>
      <c r="AK601" s="374"/>
      <c r="AL601" s="374"/>
      <c r="AM601" s="374"/>
      <c r="AN601" s="374"/>
      <c r="AO601" s="374"/>
      <c r="AP601" s="374"/>
      <c r="AQ601" s="374"/>
      <c r="AR601" s="374"/>
      <c r="AS601" s="374"/>
    </row>
    <row r="602" spans="1:45" ht="18" customHeight="1">
      <c r="A602" s="387"/>
      <c r="B602" s="880">
        <f t="shared" si="52"/>
        <v>9</v>
      </c>
      <c r="C602" s="880"/>
      <c r="D602" s="880"/>
      <c r="E602" s="880"/>
      <c r="F602" s="776" t="str">
        <f t="shared" si="51"/>
        <v/>
      </c>
      <c r="G602" s="744"/>
      <c r="H602" s="744"/>
      <c r="I602" s="744"/>
      <c r="J602" s="744"/>
      <c r="K602" s="745"/>
      <c r="L602" s="665" t="str">
        <f>Calcu_ADJ!H53</f>
        <v/>
      </c>
      <c r="M602" s="744"/>
      <c r="N602" s="744"/>
      <c r="O602" s="744"/>
      <c r="P602" s="744"/>
      <c r="Q602" s="745"/>
      <c r="R602" s="665" t="str">
        <f>Calcu_ADJ!I53</f>
        <v/>
      </c>
      <c r="S602" s="744"/>
      <c r="T602" s="744"/>
      <c r="U602" s="744"/>
      <c r="V602" s="744"/>
      <c r="W602" s="745"/>
      <c r="X602" s="665" t="str">
        <f>Calcu_ADJ!J53</f>
        <v/>
      </c>
      <c r="Y602" s="744"/>
      <c r="Z602" s="744"/>
      <c r="AA602" s="744"/>
      <c r="AB602" s="744"/>
      <c r="AC602" s="745"/>
      <c r="AD602" s="665" t="str">
        <f>Calcu_ADJ!T53</f>
        <v/>
      </c>
      <c r="AE602" s="744"/>
      <c r="AF602" s="744"/>
      <c r="AG602" s="744"/>
      <c r="AH602" s="744"/>
      <c r="AI602" s="745"/>
      <c r="AJ602" s="374"/>
      <c r="AK602" s="374"/>
      <c r="AL602" s="374"/>
      <c r="AM602" s="374"/>
      <c r="AN602" s="374"/>
      <c r="AO602" s="374"/>
      <c r="AP602" s="374"/>
      <c r="AQ602" s="374"/>
      <c r="AR602" s="374"/>
      <c r="AS602" s="374"/>
    </row>
    <row r="603" spans="1:45" ht="18" customHeight="1">
      <c r="A603" s="387"/>
      <c r="B603" s="880">
        <f t="shared" si="52"/>
        <v>10</v>
      </c>
      <c r="C603" s="880"/>
      <c r="D603" s="880"/>
      <c r="E603" s="880"/>
      <c r="F603" s="776" t="str">
        <f t="shared" si="51"/>
        <v/>
      </c>
      <c r="G603" s="744"/>
      <c r="H603" s="744"/>
      <c r="I603" s="744"/>
      <c r="J603" s="744"/>
      <c r="K603" s="745"/>
      <c r="L603" s="665" t="str">
        <f>Calcu_ADJ!H54</f>
        <v/>
      </c>
      <c r="M603" s="744"/>
      <c r="N603" s="744"/>
      <c r="O603" s="744"/>
      <c r="P603" s="744"/>
      <c r="Q603" s="745"/>
      <c r="R603" s="665" t="str">
        <f>Calcu_ADJ!I54</f>
        <v/>
      </c>
      <c r="S603" s="744"/>
      <c r="T603" s="744"/>
      <c r="U603" s="744"/>
      <c r="V603" s="744"/>
      <c r="W603" s="745"/>
      <c r="X603" s="665" t="str">
        <f>Calcu_ADJ!J54</f>
        <v/>
      </c>
      <c r="Y603" s="744"/>
      <c r="Z603" s="744"/>
      <c r="AA603" s="744"/>
      <c r="AB603" s="744"/>
      <c r="AC603" s="745"/>
      <c r="AD603" s="665" t="str">
        <f>Calcu_ADJ!T54</f>
        <v/>
      </c>
      <c r="AE603" s="744"/>
      <c r="AF603" s="744"/>
      <c r="AG603" s="744"/>
      <c r="AH603" s="744"/>
      <c r="AI603" s="745"/>
      <c r="AJ603" s="374"/>
      <c r="AK603" s="374"/>
      <c r="AL603" s="374"/>
      <c r="AM603" s="374"/>
      <c r="AN603" s="374"/>
      <c r="AO603" s="374"/>
      <c r="AP603" s="374"/>
      <c r="AQ603" s="374"/>
      <c r="AR603" s="374"/>
      <c r="AS603" s="374"/>
    </row>
    <row r="604" spans="1:45" ht="18" customHeight="1">
      <c r="A604" s="387"/>
      <c r="B604" s="880">
        <f t="shared" si="52"/>
        <v>11</v>
      </c>
      <c r="C604" s="880"/>
      <c r="D604" s="880"/>
      <c r="E604" s="880"/>
      <c r="F604" s="776" t="str">
        <f t="shared" si="51"/>
        <v/>
      </c>
      <c r="G604" s="744"/>
      <c r="H604" s="744"/>
      <c r="I604" s="744"/>
      <c r="J604" s="744"/>
      <c r="K604" s="745"/>
      <c r="L604" s="665" t="str">
        <f>Calcu_ADJ!H55</f>
        <v/>
      </c>
      <c r="M604" s="744"/>
      <c r="N604" s="744"/>
      <c r="O604" s="744"/>
      <c r="P604" s="744"/>
      <c r="Q604" s="745"/>
      <c r="R604" s="665" t="str">
        <f>Calcu_ADJ!I55</f>
        <v/>
      </c>
      <c r="S604" s="744"/>
      <c r="T604" s="744"/>
      <c r="U604" s="744"/>
      <c r="V604" s="744"/>
      <c r="W604" s="745"/>
      <c r="X604" s="665" t="str">
        <f>Calcu_ADJ!J55</f>
        <v/>
      </c>
      <c r="Y604" s="744"/>
      <c r="Z604" s="744"/>
      <c r="AA604" s="744"/>
      <c r="AB604" s="744"/>
      <c r="AC604" s="745"/>
      <c r="AD604" s="665" t="str">
        <f>Calcu_ADJ!T55</f>
        <v/>
      </c>
      <c r="AE604" s="744"/>
      <c r="AF604" s="744"/>
      <c r="AG604" s="744"/>
      <c r="AH604" s="744"/>
      <c r="AI604" s="745"/>
      <c r="AJ604" s="374"/>
      <c r="AK604" s="374"/>
      <c r="AL604" s="374"/>
      <c r="AM604" s="374"/>
      <c r="AN604" s="374"/>
      <c r="AO604" s="374"/>
      <c r="AP604" s="374"/>
      <c r="AQ604" s="374"/>
      <c r="AR604" s="374"/>
      <c r="AS604" s="374"/>
    </row>
    <row r="605" spans="1:45" ht="18" customHeight="1">
      <c r="B605" s="880">
        <f t="shared" si="52"/>
        <v>12</v>
      </c>
      <c r="C605" s="880"/>
      <c r="D605" s="880"/>
      <c r="E605" s="880"/>
      <c r="F605" s="776" t="str">
        <f t="shared" si="51"/>
        <v/>
      </c>
      <c r="G605" s="744"/>
      <c r="H605" s="744"/>
      <c r="I605" s="744"/>
      <c r="J605" s="744"/>
      <c r="K605" s="745"/>
      <c r="L605" s="665" t="str">
        <f>Calcu_ADJ!H56</f>
        <v/>
      </c>
      <c r="M605" s="744"/>
      <c r="N605" s="744"/>
      <c r="O605" s="744"/>
      <c r="P605" s="744"/>
      <c r="Q605" s="745"/>
      <c r="R605" s="665" t="str">
        <f>Calcu_ADJ!I56</f>
        <v/>
      </c>
      <c r="S605" s="744"/>
      <c r="T605" s="744"/>
      <c r="U605" s="744"/>
      <c r="V605" s="744"/>
      <c r="W605" s="745"/>
      <c r="X605" s="665" t="str">
        <f>Calcu_ADJ!J56</f>
        <v/>
      </c>
      <c r="Y605" s="744"/>
      <c r="Z605" s="744"/>
      <c r="AA605" s="744"/>
      <c r="AB605" s="744"/>
      <c r="AC605" s="745"/>
      <c r="AD605" s="665" t="str">
        <f>Calcu_ADJ!T56</f>
        <v/>
      </c>
      <c r="AE605" s="744"/>
      <c r="AF605" s="744"/>
      <c r="AG605" s="744"/>
      <c r="AH605" s="744"/>
      <c r="AI605" s="745"/>
      <c r="AJ605" s="374"/>
      <c r="AK605" s="374"/>
      <c r="AL605" s="374"/>
      <c r="AM605" s="374"/>
      <c r="AN605" s="374"/>
      <c r="AO605" s="374"/>
      <c r="AP605" s="374"/>
      <c r="AQ605" s="374"/>
      <c r="AR605" s="374"/>
      <c r="AS605" s="374"/>
    </row>
    <row r="606" spans="1:45" ht="18" customHeight="1">
      <c r="B606" s="880">
        <f t="shared" si="52"/>
        <v>13</v>
      </c>
      <c r="C606" s="880"/>
      <c r="D606" s="880"/>
      <c r="E606" s="880"/>
      <c r="F606" s="776" t="str">
        <f t="shared" si="51"/>
        <v/>
      </c>
      <c r="G606" s="744"/>
      <c r="H606" s="744"/>
      <c r="I606" s="744"/>
      <c r="J606" s="744"/>
      <c r="K606" s="745"/>
      <c r="L606" s="665" t="str">
        <f>Calcu_ADJ!H57</f>
        <v/>
      </c>
      <c r="M606" s="744"/>
      <c r="N606" s="744"/>
      <c r="O606" s="744"/>
      <c r="P606" s="744"/>
      <c r="Q606" s="745"/>
      <c r="R606" s="665" t="str">
        <f>Calcu_ADJ!I57</f>
        <v/>
      </c>
      <c r="S606" s="744"/>
      <c r="T606" s="744"/>
      <c r="U606" s="744"/>
      <c r="V606" s="744"/>
      <c r="W606" s="745"/>
      <c r="X606" s="665" t="str">
        <f>Calcu_ADJ!J57</f>
        <v/>
      </c>
      <c r="Y606" s="744"/>
      <c r="Z606" s="744"/>
      <c r="AA606" s="744"/>
      <c r="AB606" s="744"/>
      <c r="AC606" s="745"/>
      <c r="AD606" s="665" t="str">
        <f>Calcu_ADJ!T57</f>
        <v/>
      </c>
      <c r="AE606" s="744"/>
      <c r="AF606" s="744"/>
      <c r="AG606" s="744"/>
      <c r="AH606" s="744"/>
      <c r="AI606" s="745"/>
    </row>
    <row r="607" spans="1:45" ht="18" customHeight="1">
      <c r="B607" s="880">
        <f t="shared" si="52"/>
        <v>14</v>
      </c>
      <c r="C607" s="880"/>
      <c r="D607" s="880"/>
      <c r="E607" s="880"/>
      <c r="F607" s="776" t="str">
        <f t="shared" si="51"/>
        <v/>
      </c>
      <c r="G607" s="744"/>
      <c r="H607" s="744"/>
      <c r="I607" s="744"/>
      <c r="J607" s="744"/>
      <c r="K607" s="745"/>
      <c r="L607" s="665" t="str">
        <f>Calcu_ADJ!H58</f>
        <v/>
      </c>
      <c r="M607" s="744"/>
      <c r="N607" s="744"/>
      <c r="O607" s="744"/>
      <c r="P607" s="744"/>
      <c r="Q607" s="745"/>
      <c r="R607" s="665" t="str">
        <f>Calcu_ADJ!I58</f>
        <v/>
      </c>
      <c r="S607" s="744"/>
      <c r="T607" s="744"/>
      <c r="U607" s="744"/>
      <c r="V607" s="744"/>
      <c r="W607" s="745"/>
      <c r="X607" s="665" t="str">
        <f>Calcu_ADJ!J58</f>
        <v/>
      </c>
      <c r="Y607" s="744"/>
      <c r="Z607" s="744"/>
      <c r="AA607" s="744"/>
      <c r="AB607" s="744"/>
      <c r="AC607" s="745"/>
      <c r="AD607" s="665" t="str">
        <f>Calcu_ADJ!T58</f>
        <v/>
      </c>
      <c r="AE607" s="744"/>
      <c r="AF607" s="744"/>
      <c r="AG607" s="744"/>
      <c r="AH607" s="744"/>
      <c r="AI607" s="745"/>
    </row>
    <row r="608" spans="1:45" ht="18" customHeight="1">
      <c r="B608" s="880">
        <f t="shared" si="52"/>
        <v>15</v>
      </c>
      <c r="C608" s="880"/>
      <c r="D608" s="880"/>
      <c r="E608" s="880"/>
      <c r="F608" s="776" t="str">
        <f t="shared" si="51"/>
        <v/>
      </c>
      <c r="G608" s="744"/>
      <c r="H608" s="744"/>
      <c r="I608" s="744"/>
      <c r="J608" s="744"/>
      <c r="K608" s="745"/>
      <c r="L608" s="665" t="str">
        <f>Calcu_ADJ!H59</f>
        <v/>
      </c>
      <c r="M608" s="744"/>
      <c r="N608" s="744"/>
      <c r="O608" s="744"/>
      <c r="P608" s="744"/>
      <c r="Q608" s="745"/>
      <c r="R608" s="665" t="str">
        <f>Calcu_ADJ!I59</f>
        <v/>
      </c>
      <c r="S608" s="744"/>
      <c r="T608" s="744"/>
      <c r="U608" s="744"/>
      <c r="V608" s="744"/>
      <c r="W608" s="745"/>
      <c r="X608" s="665" t="str">
        <f>Calcu_ADJ!J59</f>
        <v/>
      </c>
      <c r="Y608" s="744"/>
      <c r="Z608" s="744"/>
      <c r="AA608" s="744"/>
      <c r="AB608" s="744"/>
      <c r="AC608" s="745"/>
      <c r="AD608" s="665" t="str">
        <f>Calcu_ADJ!T59</f>
        <v/>
      </c>
      <c r="AE608" s="744"/>
      <c r="AF608" s="744"/>
      <c r="AG608" s="744"/>
      <c r="AH608" s="744"/>
      <c r="AI608" s="745"/>
    </row>
  </sheetData>
  <mergeCells count="2614">
    <mergeCell ref="B231:E231"/>
    <mergeCell ref="F231:K231"/>
    <mergeCell ref="L231:Q231"/>
    <mergeCell ref="R231:W231"/>
    <mergeCell ref="X231:AC231"/>
    <mergeCell ref="AD231:AI231"/>
    <mergeCell ref="R226:W226"/>
    <mergeCell ref="X226:AC226"/>
    <mergeCell ref="AD226:AI226"/>
    <mergeCell ref="B236:E236"/>
    <mergeCell ref="B237:E237"/>
    <mergeCell ref="B238:E238"/>
    <mergeCell ref="F235:K235"/>
    <mergeCell ref="L235:Q235"/>
    <mergeCell ref="R235:W235"/>
    <mergeCell ref="X235:AC235"/>
    <mergeCell ref="AD235:AI235"/>
    <mergeCell ref="F236:K236"/>
    <mergeCell ref="L236:Q236"/>
    <mergeCell ref="R236:W236"/>
    <mergeCell ref="X236:AC236"/>
    <mergeCell ref="AD236:AI236"/>
    <mergeCell ref="F237:K237"/>
    <mergeCell ref="L237:Q237"/>
    <mergeCell ref="R237:W237"/>
    <mergeCell ref="X237:AC237"/>
    <mergeCell ref="AD237:AI237"/>
    <mergeCell ref="F238:K238"/>
    <mergeCell ref="L238:Q238"/>
    <mergeCell ref="R238:W238"/>
    <mergeCell ref="X238:AC238"/>
    <mergeCell ref="AD238:AI238"/>
    <mergeCell ref="B233:E233"/>
    <mergeCell ref="F233:K233"/>
    <mergeCell ref="L233:Q233"/>
    <mergeCell ref="R233:W233"/>
    <mergeCell ref="X233:AC233"/>
    <mergeCell ref="AD233:AI233"/>
    <mergeCell ref="B234:E234"/>
    <mergeCell ref="F234:K234"/>
    <mergeCell ref="L234:Q234"/>
    <mergeCell ref="R234:W234"/>
    <mergeCell ref="X234:AC234"/>
    <mergeCell ref="AD234:AI234"/>
    <mergeCell ref="B232:E232"/>
    <mergeCell ref="F232:K232"/>
    <mergeCell ref="L232:Q232"/>
    <mergeCell ref="R232:W232"/>
    <mergeCell ref="X232:AC232"/>
    <mergeCell ref="AD232:AI232"/>
    <mergeCell ref="B235:E235"/>
    <mergeCell ref="B229:E229"/>
    <mergeCell ref="F229:K229"/>
    <mergeCell ref="L229:Q229"/>
    <mergeCell ref="R229:W229"/>
    <mergeCell ref="X229:AC229"/>
    <mergeCell ref="AD229:AI229"/>
    <mergeCell ref="B230:E230"/>
    <mergeCell ref="F230:K230"/>
    <mergeCell ref="L230:Q230"/>
    <mergeCell ref="B225:E225"/>
    <mergeCell ref="F225:K225"/>
    <mergeCell ref="L225:Q225"/>
    <mergeCell ref="R225:W225"/>
    <mergeCell ref="X225:AC225"/>
    <mergeCell ref="AD225:AI225"/>
    <mergeCell ref="B226:E226"/>
    <mergeCell ref="F226:K226"/>
    <mergeCell ref="L226:Q226"/>
    <mergeCell ref="R230:W230"/>
    <mergeCell ref="X230:AC230"/>
    <mergeCell ref="AD230:AI230"/>
    <mergeCell ref="B228:E228"/>
    <mergeCell ref="F228:K228"/>
    <mergeCell ref="L228:Q228"/>
    <mergeCell ref="R228:W228"/>
    <mergeCell ref="X228:AC228"/>
    <mergeCell ref="AD228:AI228"/>
    <mergeCell ref="B227:E227"/>
    <mergeCell ref="F227:K227"/>
    <mergeCell ref="L227:Q227"/>
    <mergeCell ref="R227:W227"/>
    <mergeCell ref="X227:AC227"/>
    <mergeCell ref="AD227:AI227"/>
    <mergeCell ref="B224:E224"/>
    <mergeCell ref="F224:K224"/>
    <mergeCell ref="L224:Q224"/>
    <mergeCell ref="R224:W224"/>
    <mergeCell ref="X224:AC224"/>
    <mergeCell ref="AD224:AI224"/>
    <mergeCell ref="R222:W222"/>
    <mergeCell ref="R223:W223"/>
    <mergeCell ref="X223:AC223"/>
    <mergeCell ref="AD223:AI223"/>
    <mergeCell ref="B216:E223"/>
    <mergeCell ref="L216:AI216"/>
    <mergeCell ref="F216:K216"/>
    <mergeCell ref="L222:Q222"/>
    <mergeCell ref="F223:K223"/>
    <mergeCell ref="L223:Q223"/>
    <mergeCell ref="F217:K222"/>
    <mergeCell ref="L217:W218"/>
    <mergeCell ref="L219:W219"/>
    <mergeCell ref="AD217:AI222"/>
    <mergeCell ref="X217:AC222"/>
    <mergeCell ref="AR204:AS204"/>
    <mergeCell ref="AR202:AS202"/>
    <mergeCell ref="D203:H203"/>
    <mergeCell ref="I203:M203"/>
    <mergeCell ref="N203:R203"/>
    <mergeCell ref="S203:W203"/>
    <mergeCell ref="X203:AB203"/>
    <mergeCell ref="AC203:AG203"/>
    <mergeCell ref="AH203:AL203"/>
    <mergeCell ref="AM203:AQ203"/>
    <mergeCell ref="AR203:AS203"/>
    <mergeCell ref="AR200:AS200"/>
    <mergeCell ref="D201:H201"/>
    <mergeCell ref="I201:M201"/>
    <mergeCell ref="N201:R201"/>
    <mergeCell ref="S201:W201"/>
    <mergeCell ref="X201:AB201"/>
    <mergeCell ref="AC201:AG201"/>
    <mergeCell ref="AH201:AL201"/>
    <mergeCell ref="AM201:AQ201"/>
    <mergeCell ref="AR201:AS201"/>
    <mergeCell ref="AR198:AS198"/>
    <mergeCell ref="D199:H199"/>
    <mergeCell ref="I199:M199"/>
    <mergeCell ref="N199:R199"/>
    <mergeCell ref="S199:W199"/>
    <mergeCell ref="X199:AB199"/>
    <mergeCell ref="AC199:AG199"/>
    <mergeCell ref="AH199:AL199"/>
    <mergeCell ref="AM199:AQ199"/>
    <mergeCell ref="AR199:AS199"/>
    <mergeCell ref="AR196:AS196"/>
    <mergeCell ref="D197:H197"/>
    <mergeCell ref="I197:M197"/>
    <mergeCell ref="N197:R197"/>
    <mergeCell ref="S197:W197"/>
    <mergeCell ref="X197:AB197"/>
    <mergeCell ref="AC197:AG197"/>
    <mergeCell ref="AH197:AL197"/>
    <mergeCell ref="AM197:AQ197"/>
    <mergeCell ref="AR197:AS197"/>
    <mergeCell ref="AR194:AS194"/>
    <mergeCell ref="D195:H195"/>
    <mergeCell ref="I195:M195"/>
    <mergeCell ref="N195:R195"/>
    <mergeCell ref="S195:W195"/>
    <mergeCell ref="X195:AB195"/>
    <mergeCell ref="AC195:AG195"/>
    <mergeCell ref="AH195:AL195"/>
    <mergeCell ref="AM195:AQ195"/>
    <mergeCell ref="AR195:AS195"/>
    <mergeCell ref="AR192:AS192"/>
    <mergeCell ref="D193:H193"/>
    <mergeCell ref="I193:M193"/>
    <mergeCell ref="N193:R193"/>
    <mergeCell ref="S193:W193"/>
    <mergeCell ref="X193:AB193"/>
    <mergeCell ref="AC193:AG193"/>
    <mergeCell ref="AH193:AL193"/>
    <mergeCell ref="AM193:AQ193"/>
    <mergeCell ref="AR193:AS193"/>
    <mergeCell ref="AH192:AL192"/>
    <mergeCell ref="AM192:AQ192"/>
    <mergeCell ref="AR190:AS190"/>
    <mergeCell ref="D191:H191"/>
    <mergeCell ref="I191:M191"/>
    <mergeCell ref="N191:R191"/>
    <mergeCell ref="S191:W191"/>
    <mergeCell ref="X191:AB191"/>
    <mergeCell ref="AC191:AG191"/>
    <mergeCell ref="AH191:AL191"/>
    <mergeCell ref="AM191:AQ191"/>
    <mergeCell ref="AR191:AS191"/>
    <mergeCell ref="AM185:AS185"/>
    <mergeCell ref="N186:AG186"/>
    <mergeCell ref="D189:H189"/>
    <mergeCell ref="B185:C189"/>
    <mergeCell ref="I189:M189"/>
    <mergeCell ref="N189:R189"/>
    <mergeCell ref="S189:W189"/>
    <mergeCell ref="X189:AB189"/>
    <mergeCell ref="AC189:AG189"/>
    <mergeCell ref="AH189:AL189"/>
    <mergeCell ref="AM189:AQ189"/>
    <mergeCell ref="AR189:AS189"/>
    <mergeCell ref="D185:M185"/>
    <mergeCell ref="N187:R188"/>
    <mergeCell ref="S187:W188"/>
    <mergeCell ref="X187:AB188"/>
    <mergeCell ref="AC187:AG188"/>
    <mergeCell ref="D186:H188"/>
    <mergeCell ref="I186:M188"/>
    <mergeCell ref="AH186:AL188"/>
    <mergeCell ref="AM186:AQ188"/>
    <mergeCell ref="AR186:AS188"/>
    <mergeCell ref="B203:C203"/>
    <mergeCell ref="B204:C204"/>
    <mergeCell ref="D204:H204"/>
    <mergeCell ref="I204:M204"/>
    <mergeCell ref="N204:R204"/>
    <mergeCell ref="S204:W204"/>
    <mergeCell ref="X204:AB204"/>
    <mergeCell ref="AC204:AG204"/>
    <mergeCell ref="AH204:AL204"/>
    <mergeCell ref="AM204:AQ204"/>
    <mergeCell ref="B201:C201"/>
    <mergeCell ref="B202:C202"/>
    <mergeCell ref="D202:H202"/>
    <mergeCell ref="I202:M202"/>
    <mergeCell ref="N202:R202"/>
    <mergeCell ref="S202:W202"/>
    <mergeCell ref="X202:AB202"/>
    <mergeCell ref="AC202:AG202"/>
    <mergeCell ref="AH202:AL202"/>
    <mergeCell ref="AM202:AQ202"/>
    <mergeCell ref="B199:C199"/>
    <mergeCell ref="B200:C200"/>
    <mergeCell ref="D200:H200"/>
    <mergeCell ref="I200:M200"/>
    <mergeCell ref="N200:R200"/>
    <mergeCell ref="S200:W200"/>
    <mergeCell ref="X200:AB200"/>
    <mergeCell ref="AC200:AG200"/>
    <mergeCell ref="AH200:AL200"/>
    <mergeCell ref="AM200:AQ200"/>
    <mergeCell ref="B197:C197"/>
    <mergeCell ref="B198:C198"/>
    <mergeCell ref="D198:H198"/>
    <mergeCell ref="I198:M198"/>
    <mergeCell ref="N198:R198"/>
    <mergeCell ref="S198:W198"/>
    <mergeCell ref="X198:AB198"/>
    <mergeCell ref="AC198:AG198"/>
    <mergeCell ref="AH198:AL198"/>
    <mergeCell ref="AM198:AQ198"/>
    <mergeCell ref="B190:C190"/>
    <mergeCell ref="D190:H190"/>
    <mergeCell ref="I190:M190"/>
    <mergeCell ref="N190:R190"/>
    <mergeCell ref="S190:W190"/>
    <mergeCell ref="X190:AB190"/>
    <mergeCell ref="AC190:AG190"/>
    <mergeCell ref="AH190:AL190"/>
    <mergeCell ref="AM190:AQ190"/>
    <mergeCell ref="B195:C195"/>
    <mergeCell ref="B196:C196"/>
    <mergeCell ref="D196:H196"/>
    <mergeCell ref="I196:M196"/>
    <mergeCell ref="N196:R196"/>
    <mergeCell ref="S196:W196"/>
    <mergeCell ref="X196:AB196"/>
    <mergeCell ref="AC196:AG196"/>
    <mergeCell ref="AH196:AL196"/>
    <mergeCell ref="AM196:AQ196"/>
    <mergeCell ref="B193:C193"/>
    <mergeCell ref="B194:C194"/>
    <mergeCell ref="D194:H194"/>
    <mergeCell ref="I194:M194"/>
    <mergeCell ref="N194:R194"/>
    <mergeCell ref="S194:W194"/>
    <mergeCell ref="X194:AB194"/>
    <mergeCell ref="AC194:AG194"/>
    <mergeCell ref="AH194:AL194"/>
    <mergeCell ref="AM194:AQ194"/>
    <mergeCell ref="B191:C191"/>
    <mergeCell ref="B192:C192"/>
    <mergeCell ref="H213:I213"/>
    <mergeCell ref="J213:M213"/>
    <mergeCell ref="Q213:T213"/>
    <mergeCell ref="E180:I180"/>
    <mergeCell ref="D182:G182"/>
    <mergeCell ref="H182:I182"/>
    <mergeCell ref="L207:V207"/>
    <mergeCell ref="W207:W208"/>
    <mergeCell ref="X207:AC208"/>
    <mergeCell ref="L208:P208"/>
    <mergeCell ref="Q208:Q209"/>
    <mergeCell ref="R208:V208"/>
    <mergeCell ref="L209:P209"/>
    <mergeCell ref="R209:V209"/>
    <mergeCell ref="N185:AL185"/>
    <mergeCell ref="E179:I179"/>
    <mergeCell ref="K179:L179"/>
    <mergeCell ref="M179:Q179"/>
    <mergeCell ref="D192:H192"/>
    <mergeCell ref="I192:M192"/>
    <mergeCell ref="N192:R192"/>
    <mergeCell ref="S192:W192"/>
    <mergeCell ref="X192:AB192"/>
    <mergeCell ref="AC192:AG192"/>
    <mergeCell ref="AP175:AS175"/>
    <mergeCell ref="B175:C175"/>
    <mergeCell ref="D175:H175"/>
    <mergeCell ref="I175:L175"/>
    <mergeCell ref="M175:O175"/>
    <mergeCell ref="P175:W175"/>
    <mergeCell ref="X175:AB175"/>
    <mergeCell ref="AC175:AG175"/>
    <mergeCell ref="AH175:AL175"/>
    <mergeCell ref="AM175:AO175"/>
    <mergeCell ref="AP173:AS173"/>
    <mergeCell ref="B174:C174"/>
    <mergeCell ref="D174:H174"/>
    <mergeCell ref="I174:O174"/>
    <mergeCell ref="P174:U174"/>
    <mergeCell ref="V174:W174"/>
    <mergeCell ref="X174:AB174"/>
    <mergeCell ref="AC174:AG174"/>
    <mergeCell ref="AH174:AM174"/>
    <mergeCell ref="AN174:AO174"/>
    <mergeCell ref="AP174:AS174"/>
    <mergeCell ref="B173:C173"/>
    <mergeCell ref="D173:H173"/>
    <mergeCell ref="I173:O173"/>
    <mergeCell ref="P173:U173"/>
    <mergeCell ref="V173:W173"/>
    <mergeCell ref="X173:AB173"/>
    <mergeCell ref="AC173:AG173"/>
    <mergeCell ref="AH173:AM173"/>
    <mergeCell ref="AN173:AO173"/>
    <mergeCell ref="AP171:AS171"/>
    <mergeCell ref="B172:C172"/>
    <mergeCell ref="D172:H172"/>
    <mergeCell ref="I172:O172"/>
    <mergeCell ref="P172:U172"/>
    <mergeCell ref="V172:W172"/>
    <mergeCell ref="X172:AB172"/>
    <mergeCell ref="AC172:AG172"/>
    <mergeCell ref="AH172:AM172"/>
    <mergeCell ref="AN172:AO172"/>
    <mergeCell ref="AP172:AS172"/>
    <mergeCell ref="B171:C171"/>
    <mergeCell ref="D171:H171"/>
    <mergeCell ref="I171:O171"/>
    <mergeCell ref="P171:U171"/>
    <mergeCell ref="V171:W171"/>
    <mergeCell ref="X171:AB171"/>
    <mergeCell ref="AC171:AG171"/>
    <mergeCell ref="AH171:AM171"/>
    <mergeCell ref="AN171:AO171"/>
    <mergeCell ref="AP169:AS169"/>
    <mergeCell ref="B170:C170"/>
    <mergeCell ref="D170:H170"/>
    <mergeCell ref="I170:L170"/>
    <mergeCell ref="M170:O170"/>
    <mergeCell ref="U170:W170"/>
    <mergeCell ref="X170:AB170"/>
    <mergeCell ref="AC170:AG170"/>
    <mergeCell ref="AH170:AL170"/>
    <mergeCell ref="AM170:AO170"/>
    <mergeCell ref="AP170:AS170"/>
    <mergeCell ref="B169:C169"/>
    <mergeCell ref="D169:H169"/>
    <mergeCell ref="I169:L169"/>
    <mergeCell ref="M169:O169"/>
    <mergeCell ref="U169:W169"/>
    <mergeCell ref="X169:AB169"/>
    <mergeCell ref="AC169:AG169"/>
    <mergeCell ref="AH169:AL169"/>
    <mergeCell ref="AM169:AO169"/>
    <mergeCell ref="P169:T169"/>
    <mergeCell ref="P170:T170"/>
    <mergeCell ref="B166:C168"/>
    <mergeCell ref="D166:H166"/>
    <mergeCell ref="I166:O166"/>
    <mergeCell ref="P166:W166"/>
    <mergeCell ref="X166:AB166"/>
    <mergeCell ref="AC166:AG166"/>
    <mergeCell ref="AH166:AO166"/>
    <mergeCell ref="AP166:AS166"/>
    <mergeCell ref="D167:H168"/>
    <mergeCell ref="I167:O167"/>
    <mergeCell ref="P167:W167"/>
    <mergeCell ref="X167:AB167"/>
    <mergeCell ref="AC167:AG167"/>
    <mergeCell ref="AH167:AO167"/>
    <mergeCell ref="AP167:AS167"/>
    <mergeCell ref="I168:O168"/>
    <mergeCell ref="P168:W168"/>
    <mergeCell ref="X168:AB168"/>
    <mergeCell ref="AC168:AG168"/>
    <mergeCell ref="AH168:AO168"/>
    <mergeCell ref="AP168:AS168"/>
    <mergeCell ref="B162:G162"/>
    <mergeCell ref="H162:M162"/>
    <mergeCell ref="N162:S162"/>
    <mergeCell ref="T162:Y162"/>
    <mergeCell ref="Z162:AE162"/>
    <mergeCell ref="AF162:AL162"/>
    <mergeCell ref="AM162:AS162"/>
    <mergeCell ref="B163:G163"/>
    <mergeCell ref="H163:M163"/>
    <mergeCell ref="N163:S163"/>
    <mergeCell ref="T163:Y163"/>
    <mergeCell ref="Z163:AE163"/>
    <mergeCell ref="AF163:AL163"/>
    <mergeCell ref="AM163:AS163"/>
    <mergeCell ref="B159:G161"/>
    <mergeCell ref="H159:M160"/>
    <mergeCell ref="N159:AS159"/>
    <mergeCell ref="N160:S160"/>
    <mergeCell ref="T160:Y160"/>
    <mergeCell ref="Z160:AE160"/>
    <mergeCell ref="AF160:AS160"/>
    <mergeCell ref="H161:M161"/>
    <mergeCell ref="N161:S161"/>
    <mergeCell ref="T161:Y161"/>
    <mergeCell ref="Z161:AE161"/>
    <mergeCell ref="AF161:AL161"/>
    <mergeCell ref="AM161:AS161"/>
    <mergeCell ref="B155:F155"/>
    <mergeCell ref="G155:L155"/>
    <mergeCell ref="M155:Q155"/>
    <mergeCell ref="R155:V155"/>
    <mergeCell ref="W155:AA155"/>
    <mergeCell ref="AB155:AG156"/>
    <mergeCell ref="AH155:AM156"/>
    <mergeCell ref="AN155:AS156"/>
    <mergeCell ref="B156:F156"/>
    <mergeCell ref="G156:L156"/>
    <mergeCell ref="M156:Q156"/>
    <mergeCell ref="R156:V156"/>
    <mergeCell ref="W156:AA156"/>
    <mergeCell ref="B152:F154"/>
    <mergeCell ref="G152:L153"/>
    <mergeCell ref="M152:AS152"/>
    <mergeCell ref="M153:Q153"/>
    <mergeCell ref="R153:V153"/>
    <mergeCell ref="W153:AA153"/>
    <mergeCell ref="AB153:AM153"/>
    <mergeCell ref="AN153:AS153"/>
    <mergeCell ref="G154:L154"/>
    <mergeCell ref="M154:Q154"/>
    <mergeCell ref="R154:V154"/>
    <mergeCell ref="W154:AA154"/>
    <mergeCell ref="AB154:AG154"/>
    <mergeCell ref="AH154:AM154"/>
    <mergeCell ref="AN154:AS154"/>
    <mergeCell ref="X148:AC148"/>
    <mergeCell ref="AD148:AJ148"/>
    <mergeCell ref="AK148:AQ148"/>
    <mergeCell ref="B149:D149"/>
    <mergeCell ref="E149:K149"/>
    <mergeCell ref="L149:Q149"/>
    <mergeCell ref="R149:W149"/>
    <mergeCell ref="X149:AC149"/>
    <mergeCell ref="AD149:AJ149"/>
    <mergeCell ref="AK149:AQ149"/>
    <mergeCell ref="AD146:AJ146"/>
    <mergeCell ref="AK146:AQ146"/>
    <mergeCell ref="B147:D147"/>
    <mergeCell ref="E147:K147"/>
    <mergeCell ref="L147:Q147"/>
    <mergeCell ref="R147:W147"/>
    <mergeCell ref="X147:AC147"/>
    <mergeCell ref="AD147:AJ147"/>
    <mergeCell ref="AK147:AQ147"/>
    <mergeCell ref="B146:D146"/>
    <mergeCell ref="E146:K146"/>
    <mergeCell ref="L146:Q146"/>
    <mergeCell ref="R146:W146"/>
    <mergeCell ref="X146:AC146"/>
    <mergeCell ref="B148:D148"/>
    <mergeCell ref="E148:K148"/>
    <mergeCell ref="L148:Q148"/>
    <mergeCell ref="R148:W148"/>
    <mergeCell ref="AD144:AJ144"/>
    <mergeCell ref="AK144:AQ144"/>
    <mergeCell ref="B145:D145"/>
    <mergeCell ref="E145:K145"/>
    <mergeCell ref="L145:Q145"/>
    <mergeCell ref="R145:W145"/>
    <mergeCell ref="X145:AC145"/>
    <mergeCell ref="AD145:AJ145"/>
    <mergeCell ref="AK145:AQ145"/>
    <mergeCell ref="B142:D142"/>
    <mergeCell ref="E142:K142"/>
    <mergeCell ref="L142:Q142"/>
    <mergeCell ref="R142:W142"/>
    <mergeCell ref="X142:AC142"/>
    <mergeCell ref="AD142:AJ142"/>
    <mergeCell ref="AK142:AQ142"/>
    <mergeCell ref="B143:D143"/>
    <mergeCell ref="E143:K143"/>
    <mergeCell ref="L143:Q143"/>
    <mergeCell ref="R143:W143"/>
    <mergeCell ref="X143:AC143"/>
    <mergeCell ref="AD143:AJ143"/>
    <mergeCell ref="AK143:AQ143"/>
    <mergeCell ref="B144:D144"/>
    <mergeCell ref="E144:K144"/>
    <mergeCell ref="L144:Q144"/>
    <mergeCell ref="R144:W144"/>
    <mergeCell ref="X144:AC144"/>
    <mergeCell ref="B140:D140"/>
    <mergeCell ref="E140:K140"/>
    <mergeCell ref="L140:Q140"/>
    <mergeCell ref="R140:W140"/>
    <mergeCell ref="X140:AC140"/>
    <mergeCell ref="AD140:AJ140"/>
    <mergeCell ref="AK140:AQ140"/>
    <mergeCell ref="B141:D141"/>
    <mergeCell ref="E141:K141"/>
    <mergeCell ref="L141:Q141"/>
    <mergeCell ref="R141:W141"/>
    <mergeCell ref="X141:AC141"/>
    <mergeCell ref="AD141:AJ141"/>
    <mergeCell ref="AK141:AQ141"/>
    <mergeCell ref="B138:D138"/>
    <mergeCell ref="E138:K138"/>
    <mergeCell ref="L138:Q138"/>
    <mergeCell ref="R138:W138"/>
    <mergeCell ref="X138:AC138"/>
    <mergeCell ref="AD138:AJ138"/>
    <mergeCell ref="AK138:AQ138"/>
    <mergeCell ref="B139:D139"/>
    <mergeCell ref="E139:K139"/>
    <mergeCell ref="L139:Q139"/>
    <mergeCell ref="R139:W139"/>
    <mergeCell ref="X139:AC139"/>
    <mergeCell ref="AD139:AJ139"/>
    <mergeCell ref="AK139:AQ139"/>
    <mergeCell ref="B136:D136"/>
    <mergeCell ref="E136:K136"/>
    <mergeCell ref="L136:Q136"/>
    <mergeCell ref="R136:W136"/>
    <mergeCell ref="X136:AC136"/>
    <mergeCell ref="AD136:AJ136"/>
    <mergeCell ref="AK136:AQ136"/>
    <mergeCell ref="B137:D137"/>
    <mergeCell ref="E137:K137"/>
    <mergeCell ref="R137:W137"/>
    <mergeCell ref="X137:AC137"/>
    <mergeCell ref="AD137:AJ137"/>
    <mergeCell ref="AK137:AQ137"/>
    <mergeCell ref="B134:D134"/>
    <mergeCell ref="E134:K134"/>
    <mergeCell ref="L134:Q134"/>
    <mergeCell ref="R134:W134"/>
    <mergeCell ref="X134:AC134"/>
    <mergeCell ref="AD134:AJ134"/>
    <mergeCell ref="AK134:AQ134"/>
    <mergeCell ref="B135:D135"/>
    <mergeCell ref="E135:K135"/>
    <mergeCell ref="L135:Q135"/>
    <mergeCell ref="R135:W135"/>
    <mergeCell ref="X135:AC135"/>
    <mergeCell ref="AD135:AJ135"/>
    <mergeCell ref="AK135:AQ135"/>
    <mergeCell ref="B132:D132"/>
    <mergeCell ref="E132:K132"/>
    <mergeCell ref="L132:Q132"/>
    <mergeCell ref="R132:W132"/>
    <mergeCell ref="X132:AC132"/>
    <mergeCell ref="AD132:AJ132"/>
    <mergeCell ref="AK132:AQ132"/>
    <mergeCell ref="B133:D133"/>
    <mergeCell ref="E133:K133"/>
    <mergeCell ref="L133:Q133"/>
    <mergeCell ref="R133:W133"/>
    <mergeCell ref="X133:AC133"/>
    <mergeCell ref="AD133:AJ133"/>
    <mergeCell ref="AK133:AQ133"/>
    <mergeCell ref="B130:D130"/>
    <mergeCell ref="E130:K130"/>
    <mergeCell ref="L130:Q130"/>
    <mergeCell ref="R130:W130"/>
    <mergeCell ref="X130:AC130"/>
    <mergeCell ref="AD130:AJ130"/>
    <mergeCell ref="AK130:AQ130"/>
    <mergeCell ref="B131:D131"/>
    <mergeCell ref="E131:K131"/>
    <mergeCell ref="L131:Q131"/>
    <mergeCell ref="R131:W131"/>
    <mergeCell ref="X131:AC131"/>
    <mergeCell ref="AD131:AJ131"/>
    <mergeCell ref="AK131:AQ131"/>
    <mergeCell ref="B128:D128"/>
    <mergeCell ref="E128:K128"/>
    <mergeCell ref="L128:Q128"/>
    <mergeCell ref="R128:W128"/>
    <mergeCell ref="X128:AC128"/>
    <mergeCell ref="AD128:AJ128"/>
    <mergeCell ref="AK128:AQ128"/>
    <mergeCell ref="B129:D129"/>
    <mergeCell ref="E129:K129"/>
    <mergeCell ref="L129:Q129"/>
    <mergeCell ref="R129:W129"/>
    <mergeCell ref="X129:AC129"/>
    <mergeCell ref="AD129:AJ129"/>
    <mergeCell ref="AK129:AQ129"/>
    <mergeCell ref="B126:D126"/>
    <mergeCell ref="E126:K126"/>
    <mergeCell ref="L126:Q126"/>
    <mergeCell ref="R126:W126"/>
    <mergeCell ref="X126:AC126"/>
    <mergeCell ref="AD126:AJ126"/>
    <mergeCell ref="AK126:AQ126"/>
    <mergeCell ref="B127:D127"/>
    <mergeCell ref="E127:K127"/>
    <mergeCell ref="L127:Q127"/>
    <mergeCell ref="R127:W127"/>
    <mergeCell ref="X127:AC127"/>
    <mergeCell ref="AD127:AJ127"/>
    <mergeCell ref="AK127:AQ127"/>
    <mergeCell ref="B124:D124"/>
    <mergeCell ref="E124:K124"/>
    <mergeCell ref="L124:Q124"/>
    <mergeCell ref="R124:W124"/>
    <mergeCell ref="X124:AC124"/>
    <mergeCell ref="AD124:AJ124"/>
    <mergeCell ref="AK124:AQ124"/>
    <mergeCell ref="B125:D125"/>
    <mergeCell ref="E125:K125"/>
    <mergeCell ref="R125:W125"/>
    <mergeCell ref="X125:AC125"/>
    <mergeCell ref="AD125:AJ125"/>
    <mergeCell ref="AK125:AQ125"/>
    <mergeCell ref="B122:D122"/>
    <mergeCell ref="E122:K122"/>
    <mergeCell ref="L122:Q122"/>
    <mergeCell ref="R122:W122"/>
    <mergeCell ref="X122:AC122"/>
    <mergeCell ref="AD122:AJ122"/>
    <mergeCell ref="AK122:AQ122"/>
    <mergeCell ref="B123:D123"/>
    <mergeCell ref="E123:K123"/>
    <mergeCell ref="L123:Q123"/>
    <mergeCell ref="R123:W123"/>
    <mergeCell ref="X123:AC123"/>
    <mergeCell ref="AD123:AJ123"/>
    <mergeCell ref="AK123:AQ123"/>
    <mergeCell ref="B120:D120"/>
    <mergeCell ref="E120:K120"/>
    <mergeCell ref="L120:Q120"/>
    <mergeCell ref="R120:W120"/>
    <mergeCell ref="X120:AC120"/>
    <mergeCell ref="AD120:AJ120"/>
    <mergeCell ref="AK120:AQ120"/>
    <mergeCell ref="B121:D121"/>
    <mergeCell ref="E121:K121"/>
    <mergeCell ref="L121:Q121"/>
    <mergeCell ref="R121:W121"/>
    <mergeCell ref="X121:AC121"/>
    <mergeCell ref="AD121:AJ121"/>
    <mergeCell ref="AK121:AQ121"/>
    <mergeCell ref="B113:H113"/>
    <mergeCell ref="I113:O113"/>
    <mergeCell ref="P113:V113"/>
    <mergeCell ref="W113:AC113"/>
    <mergeCell ref="AD113:AJ113"/>
    <mergeCell ref="B114:H114"/>
    <mergeCell ref="I114:O114"/>
    <mergeCell ref="P114:V114"/>
    <mergeCell ref="W114:AC114"/>
    <mergeCell ref="AD114:AJ114"/>
    <mergeCell ref="B117:D119"/>
    <mergeCell ref="E117:K118"/>
    <mergeCell ref="L117:AQ117"/>
    <mergeCell ref="L118:Q118"/>
    <mergeCell ref="R118:W118"/>
    <mergeCell ref="X118:AC118"/>
    <mergeCell ref="AD118:AQ118"/>
    <mergeCell ref="E119:K119"/>
    <mergeCell ref="B111:H111"/>
    <mergeCell ref="I111:O111"/>
    <mergeCell ref="P111:V111"/>
    <mergeCell ref="W111:AC111"/>
    <mergeCell ref="AD111:AJ111"/>
    <mergeCell ref="B112:H112"/>
    <mergeCell ref="I112:O112"/>
    <mergeCell ref="P112:V112"/>
    <mergeCell ref="W112:AC112"/>
    <mergeCell ref="AD112:AJ112"/>
    <mergeCell ref="B109:H109"/>
    <mergeCell ref="I109:O109"/>
    <mergeCell ref="P109:V109"/>
    <mergeCell ref="W109:AC109"/>
    <mergeCell ref="AD109:AJ109"/>
    <mergeCell ref="B110:H110"/>
    <mergeCell ref="I110:O110"/>
    <mergeCell ref="P110:V110"/>
    <mergeCell ref="W110:AC110"/>
    <mergeCell ref="AD110:AJ110"/>
    <mergeCell ref="B107:H107"/>
    <mergeCell ref="I107:O107"/>
    <mergeCell ref="P107:V107"/>
    <mergeCell ref="W107:AC107"/>
    <mergeCell ref="AD107:AJ107"/>
    <mergeCell ref="B108:H108"/>
    <mergeCell ref="I108:O108"/>
    <mergeCell ref="P108:V108"/>
    <mergeCell ref="W108:AC108"/>
    <mergeCell ref="AD108:AJ108"/>
    <mergeCell ref="B105:H105"/>
    <mergeCell ref="I105:O105"/>
    <mergeCell ref="P105:V105"/>
    <mergeCell ref="W105:AC105"/>
    <mergeCell ref="AD105:AJ105"/>
    <mergeCell ref="B106:H106"/>
    <mergeCell ref="I106:O106"/>
    <mergeCell ref="P106:V106"/>
    <mergeCell ref="W106:AC106"/>
    <mergeCell ref="AD106:AJ106"/>
    <mergeCell ref="B103:H103"/>
    <mergeCell ref="I103:O103"/>
    <mergeCell ref="P103:V103"/>
    <mergeCell ref="W103:AC103"/>
    <mergeCell ref="AD103:AJ103"/>
    <mergeCell ref="B104:H104"/>
    <mergeCell ref="I104:O104"/>
    <mergeCell ref="P104:V104"/>
    <mergeCell ref="W104:AC104"/>
    <mergeCell ref="AD104:AJ104"/>
    <mergeCell ref="B101:H101"/>
    <mergeCell ref="I101:O101"/>
    <mergeCell ref="P101:V101"/>
    <mergeCell ref="W101:AC101"/>
    <mergeCell ref="AD101:AJ101"/>
    <mergeCell ref="B102:H102"/>
    <mergeCell ref="I102:O102"/>
    <mergeCell ref="P102:V102"/>
    <mergeCell ref="W102:AC102"/>
    <mergeCell ref="AD102:AJ102"/>
    <mergeCell ref="B99:H99"/>
    <mergeCell ref="I99:O99"/>
    <mergeCell ref="P99:V99"/>
    <mergeCell ref="W99:AC99"/>
    <mergeCell ref="AD99:AJ99"/>
    <mergeCell ref="B100:H100"/>
    <mergeCell ref="I100:O100"/>
    <mergeCell ref="P100:V100"/>
    <mergeCell ref="W100:AC100"/>
    <mergeCell ref="AD100:AJ100"/>
    <mergeCell ref="B97:H97"/>
    <mergeCell ref="I97:O97"/>
    <mergeCell ref="P97:V97"/>
    <mergeCell ref="W97:AC97"/>
    <mergeCell ref="AD97:AJ97"/>
    <mergeCell ref="B98:H98"/>
    <mergeCell ref="I98:O98"/>
    <mergeCell ref="P98:V98"/>
    <mergeCell ref="W98:AC98"/>
    <mergeCell ref="AD98:AJ98"/>
    <mergeCell ref="B95:H95"/>
    <mergeCell ref="I95:O95"/>
    <mergeCell ref="P95:V95"/>
    <mergeCell ref="W95:AC95"/>
    <mergeCell ref="AD95:AJ95"/>
    <mergeCell ref="B96:H96"/>
    <mergeCell ref="I96:O96"/>
    <mergeCell ref="P96:V96"/>
    <mergeCell ref="W96:AC96"/>
    <mergeCell ref="AD96:AJ96"/>
    <mergeCell ref="B93:H93"/>
    <mergeCell ref="I93:O93"/>
    <mergeCell ref="P93:V93"/>
    <mergeCell ref="W93:AC93"/>
    <mergeCell ref="AD93:AJ93"/>
    <mergeCell ref="B94:H94"/>
    <mergeCell ref="I94:O94"/>
    <mergeCell ref="P94:V94"/>
    <mergeCell ref="W94:AC94"/>
    <mergeCell ref="AD94:AJ94"/>
    <mergeCell ref="I81:O83"/>
    <mergeCell ref="P81:AJ81"/>
    <mergeCell ref="P82:V83"/>
    <mergeCell ref="W82:AC83"/>
    <mergeCell ref="AD82:AJ83"/>
    <mergeCell ref="B91:H91"/>
    <mergeCell ref="I91:O91"/>
    <mergeCell ref="P91:V91"/>
    <mergeCell ref="W91:AC91"/>
    <mergeCell ref="AD91:AJ91"/>
    <mergeCell ref="B92:H92"/>
    <mergeCell ref="I92:O92"/>
    <mergeCell ref="P92:V92"/>
    <mergeCell ref="W92:AC92"/>
    <mergeCell ref="AD92:AJ92"/>
    <mergeCell ref="B89:H89"/>
    <mergeCell ref="I89:O89"/>
    <mergeCell ref="P89:V89"/>
    <mergeCell ref="W89:AC89"/>
    <mergeCell ref="AD89:AJ89"/>
    <mergeCell ref="B90:H90"/>
    <mergeCell ref="I90:O90"/>
    <mergeCell ref="P90:V90"/>
    <mergeCell ref="W90:AC90"/>
    <mergeCell ref="AD90:AJ90"/>
    <mergeCell ref="AG75:AQ75"/>
    <mergeCell ref="B76:D76"/>
    <mergeCell ref="E76:K76"/>
    <mergeCell ref="L76:R76"/>
    <mergeCell ref="S76:Y76"/>
    <mergeCell ref="Z76:AF76"/>
    <mergeCell ref="AG76:AQ76"/>
    <mergeCell ref="B87:H87"/>
    <mergeCell ref="I87:O87"/>
    <mergeCell ref="P87:V87"/>
    <mergeCell ref="W87:AC87"/>
    <mergeCell ref="AD87:AJ87"/>
    <mergeCell ref="B88:H88"/>
    <mergeCell ref="I88:O88"/>
    <mergeCell ref="P88:V88"/>
    <mergeCell ref="W88:AC88"/>
    <mergeCell ref="AD88:AJ88"/>
    <mergeCell ref="P84:V84"/>
    <mergeCell ref="W84:AC84"/>
    <mergeCell ref="AD84:AJ84"/>
    <mergeCell ref="B85:H85"/>
    <mergeCell ref="P85:V85"/>
    <mergeCell ref="W85:AC85"/>
    <mergeCell ref="AD85:AJ85"/>
    <mergeCell ref="B86:H86"/>
    <mergeCell ref="I86:O86"/>
    <mergeCell ref="P86:V86"/>
    <mergeCell ref="W86:AC86"/>
    <mergeCell ref="AD86:AJ86"/>
    <mergeCell ref="I85:O85"/>
    <mergeCell ref="I84:O84"/>
    <mergeCell ref="B81:H84"/>
    <mergeCell ref="B68:D68"/>
    <mergeCell ref="E68:K68"/>
    <mergeCell ref="L68:R68"/>
    <mergeCell ref="S68:Y68"/>
    <mergeCell ref="Z68:AF68"/>
    <mergeCell ref="AG68:AQ68"/>
    <mergeCell ref="B69:D69"/>
    <mergeCell ref="E69:K69"/>
    <mergeCell ref="L69:R69"/>
    <mergeCell ref="S69:Y69"/>
    <mergeCell ref="Z69:AF69"/>
    <mergeCell ref="AG69:AQ69"/>
    <mergeCell ref="B77:D77"/>
    <mergeCell ref="E77:K77"/>
    <mergeCell ref="L77:R77"/>
    <mergeCell ref="S77:Y77"/>
    <mergeCell ref="Z77:AF77"/>
    <mergeCell ref="AG77:AQ77"/>
    <mergeCell ref="E70:K70"/>
    <mergeCell ref="L70:R70"/>
    <mergeCell ref="S70:Y70"/>
    <mergeCell ref="Z70:AF70"/>
    <mergeCell ref="AG70:AQ70"/>
    <mergeCell ref="B71:D71"/>
    <mergeCell ref="E71:K71"/>
    <mergeCell ref="L71:R71"/>
    <mergeCell ref="S71:Y71"/>
    <mergeCell ref="Z71:AF71"/>
    <mergeCell ref="AG71:AQ71"/>
    <mergeCell ref="B75:D75"/>
    <mergeCell ref="E75:K75"/>
    <mergeCell ref="L75:R75"/>
    <mergeCell ref="B65:D65"/>
    <mergeCell ref="E65:K65"/>
    <mergeCell ref="L65:R65"/>
    <mergeCell ref="S65:Y65"/>
    <mergeCell ref="Z65:AF65"/>
    <mergeCell ref="AG65:AQ65"/>
    <mergeCell ref="B66:D66"/>
    <mergeCell ref="E66:K66"/>
    <mergeCell ref="L66:R66"/>
    <mergeCell ref="S66:Y66"/>
    <mergeCell ref="Z66:AF66"/>
    <mergeCell ref="AG66:AQ66"/>
    <mergeCell ref="B63:D63"/>
    <mergeCell ref="E63:K63"/>
    <mergeCell ref="L63:R63"/>
    <mergeCell ref="S63:Y63"/>
    <mergeCell ref="Z63:AF63"/>
    <mergeCell ref="AG63:AQ63"/>
    <mergeCell ref="B64:D64"/>
    <mergeCell ref="E64:K64"/>
    <mergeCell ref="L64:R64"/>
    <mergeCell ref="S64:Y64"/>
    <mergeCell ref="Z64:AF64"/>
    <mergeCell ref="AG64:AQ64"/>
    <mergeCell ref="B61:D61"/>
    <mergeCell ref="E61:K61"/>
    <mergeCell ref="L61:R61"/>
    <mergeCell ref="S61:Y61"/>
    <mergeCell ref="Z61:AF61"/>
    <mergeCell ref="AG61:AQ61"/>
    <mergeCell ref="B62:D62"/>
    <mergeCell ref="E62:K62"/>
    <mergeCell ref="L62:R62"/>
    <mergeCell ref="S62:Y62"/>
    <mergeCell ref="Z62:AF62"/>
    <mergeCell ref="AG62:AQ62"/>
    <mergeCell ref="B59:D59"/>
    <mergeCell ref="E59:K59"/>
    <mergeCell ref="L59:R59"/>
    <mergeCell ref="S59:Y59"/>
    <mergeCell ref="Z59:AF59"/>
    <mergeCell ref="AG59:AI59"/>
    <mergeCell ref="AJ59:AQ59"/>
    <mergeCell ref="B60:D60"/>
    <mergeCell ref="E60:K60"/>
    <mergeCell ref="L60:R60"/>
    <mergeCell ref="S60:Y60"/>
    <mergeCell ref="Z60:AF60"/>
    <mergeCell ref="AJ60:AQ60"/>
    <mergeCell ref="B57:D57"/>
    <mergeCell ref="E57:K57"/>
    <mergeCell ref="L57:R57"/>
    <mergeCell ref="S57:Y57"/>
    <mergeCell ref="Z57:AF57"/>
    <mergeCell ref="AG57:AQ57"/>
    <mergeCell ref="B58:D58"/>
    <mergeCell ref="E58:K58"/>
    <mergeCell ref="L58:R58"/>
    <mergeCell ref="S58:Y58"/>
    <mergeCell ref="Z58:AF58"/>
    <mergeCell ref="AG58:AQ58"/>
    <mergeCell ref="B55:D55"/>
    <mergeCell ref="E55:K55"/>
    <mergeCell ref="L55:R55"/>
    <mergeCell ref="S55:Y55"/>
    <mergeCell ref="Z55:AF55"/>
    <mergeCell ref="AG55:AI55"/>
    <mergeCell ref="AJ55:AQ55"/>
    <mergeCell ref="B56:D56"/>
    <mergeCell ref="E56:K56"/>
    <mergeCell ref="L56:R56"/>
    <mergeCell ref="S56:Y56"/>
    <mergeCell ref="Z56:AF56"/>
    <mergeCell ref="AJ56:AQ56"/>
    <mergeCell ref="Z53:AF53"/>
    <mergeCell ref="AG53:AQ53"/>
    <mergeCell ref="B54:D54"/>
    <mergeCell ref="E54:K54"/>
    <mergeCell ref="L54:R54"/>
    <mergeCell ref="S54:Y54"/>
    <mergeCell ref="Z54:AF54"/>
    <mergeCell ref="AG54:AQ54"/>
    <mergeCell ref="B51:D51"/>
    <mergeCell ref="E51:K51"/>
    <mergeCell ref="L51:R51"/>
    <mergeCell ref="S51:Y51"/>
    <mergeCell ref="Z51:AF51"/>
    <mergeCell ref="AG51:AK51"/>
    <mergeCell ref="AL51:AQ51"/>
    <mergeCell ref="B52:D52"/>
    <mergeCell ref="E52:K52"/>
    <mergeCell ref="L52:R52"/>
    <mergeCell ref="S52:Y52"/>
    <mergeCell ref="Z52:AF52"/>
    <mergeCell ref="AG52:AQ52"/>
    <mergeCell ref="AR5:AW5"/>
    <mergeCell ref="N6:Q6"/>
    <mergeCell ref="R6:S6"/>
    <mergeCell ref="AR6:AW6"/>
    <mergeCell ref="P11:AQ11"/>
    <mergeCell ref="AK12:AQ12"/>
    <mergeCell ref="AK13:AQ13"/>
    <mergeCell ref="AK14:AQ14"/>
    <mergeCell ref="AK15:AQ15"/>
    <mergeCell ref="AF6:AK6"/>
    <mergeCell ref="AL6:AQ6"/>
    <mergeCell ref="P20:V20"/>
    <mergeCell ref="W20:AC20"/>
    <mergeCell ref="AD20:AJ20"/>
    <mergeCell ref="AL5:AQ5"/>
    <mergeCell ref="AF5:AK5"/>
    <mergeCell ref="W17:AC17"/>
    <mergeCell ref="AD17:AJ17"/>
    <mergeCell ref="P12:V12"/>
    <mergeCell ref="W12:AC12"/>
    <mergeCell ref="AK16:AQ16"/>
    <mergeCell ref="AK17:AQ17"/>
    <mergeCell ref="AK18:AQ18"/>
    <mergeCell ref="AK19:AQ19"/>
    <mergeCell ref="AK20:AQ20"/>
    <mergeCell ref="N7:AK7"/>
    <mergeCell ref="AL7:AW7"/>
    <mergeCell ref="N8:S8"/>
    <mergeCell ref="T8:Y8"/>
    <mergeCell ref="Z8:AE8"/>
    <mergeCell ref="AF8:AK8"/>
    <mergeCell ref="AL8:AQ8"/>
    <mergeCell ref="AK37:AQ37"/>
    <mergeCell ref="AK38:AQ38"/>
    <mergeCell ref="AK39:AQ39"/>
    <mergeCell ref="AD22:AJ22"/>
    <mergeCell ref="AG50:AK50"/>
    <mergeCell ref="AL50:AQ50"/>
    <mergeCell ref="AK43:AQ43"/>
    <mergeCell ref="B46:D48"/>
    <mergeCell ref="E46:K47"/>
    <mergeCell ref="L46:AQ46"/>
    <mergeCell ref="L47:R47"/>
    <mergeCell ref="S47:Y47"/>
    <mergeCell ref="Z47:AF47"/>
    <mergeCell ref="AG47:AQ48"/>
    <mergeCell ref="E48:K48"/>
    <mergeCell ref="L48:R48"/>
    <mergeCell ref="S48:Y48"/>
    <mergeCell ref="Z48:AF48"/>
    <mergeCell ref="B38:H38"/>
    <mergeCell ref="I38:O38"/>
    <mergeCell ref="P38:V38"/>
    <mergeCell ref="E50:K50"/>
    <mergeCell ref="L50:R50"/>
    <mergeCell ref="S50:Y50"/>
    <mergeCell ref="Z50:AF50"/>
    <mergeCell ref="I25:O25"/>
    <mergeCell ref="P25:V25"/>
    <mergeCell ref="W25:AC25"/>
    <mergeCell ref="I36:O36"/>
    <mergeCell ref="P36:V36"/>
    <mergeCell ref="W36:AC36"/>
    <mergeCell ref="AD36:AJ36"/>
    <mergeCell ref="AK21:AQ21"/>
    <mergeCell ref="AK22:AQ22"/>
    <mergeCell ref="AK23:AQ23"/>
    <mergeCell ref="AK24:AQ24"/>
    <mergeCell ref="AK34:AQ34"/>
    <mergeCell ref="AK35:AQ35"/>
    <mergeCell ref="AK36:AQ36"/>
    <mergeCell ref="L125:Q125"/>
    <mergeCell ref="L137:Q137"/>
    <mergeCell ref="AG73:AQ73"/>
    <mergeCell ref="B78:D78"/>
    <mergeCell ref="E78:K78"/>
    <mergeCell ref="L78:R78"/>
    <mergeCell ref="S78:Y78"/>
    <mergeCell ref="Z78:AF78"/>
    <mergeCell ref="AG78:AQ78"/>
    <mergeCell ref="S75:Y75"/>
    <mergeCell ref="Z75:AF75"/>
    <mergeCell ref="AK40:AQ40"/>
    <mergeCell ref="AK41:AQ41"/>
    <mergeCell ref="AK42:AQ42"/>
    <mergeCell ref="AK25:AQ25"/>
    <mergeCell ref="AK26:AQ26"/>
    <mergeCell ref="AK27:AQ27"/>
    <mergeCell ref="AK28:AQ28"/>
    <mergeCell ref="AK29:AQ29"/>
    <mergeCell ref="AK30:AQ30"/>
    <mergeCell ref="AK31:AQ31"/>
    <mergeCell ref="AK32:AQ32"/>
    <mergeCell ref="AK33:AQ33"/>
    <mergeCell ref="L119:Q119"/>
    <mergeCell ref="R119:W119"/>
    <mergeCell ref="X119:AC119"/>
    <mergeCell ref="AD119:AJ119"/>
    <mergeCell ref="AK119:AQ119"/>
    <mergeCell ref="W38:AC38"/>
    <mergeCell ref="I30:O30"/>
    <mergeCell ref="P30:V30"/>
    <mergeCell ref="W30:AC30"/>
    <mergeCell ref="B5:G5"/>
    <mergeCell ref="N5:S5"/>
    <mergeCell ref="H5:M5"/>
    <mergeCell ref="B7:G7"/>
    <mergeCell ref="H7:M7"/>
    <mergeCell ref="B42:H42"/>
    <mergeCell ref="I42:O42"/>
    <mergeCell ref="P42:V42"/>
    <mergeCell ref="W42:AC42"/>
    <mergeCell ref="AD42:AJ42"/>
    <mergeCell ref="B43:H43"/>
    <mergeCell ref="I43:O43"/>
    <mergeCell ref="P43:V43"/>
    <mergeCell ref="W43:AC43"/>
    <mergeCell ref="AD43:AJ43"/>
    <mergeCell ref="AD33:AJ33"/>
    <mergeCell ref="T5:AE5"/>
    <mergeCell ref="B6:G6"/>
    <mergeCell ref="H6:M6"/>
    <mergeCell ref="B8:G8"/>
    <mergeCell ref="H8:M8"/>
    <mergeCell ref="T6:Y6"/>
    <mergeCell ref="Z6:AE6"/>
    <mergeCell ref="AD41:AJ41"/>
    <mergeCell ref="B36:H36"/>
    <mergeCell ref="B11:H13"/>
    <mergeCell ref="I11:O12"/>
    <mergeCell ref="B35:H35"/>
    <mergeCell ref="E74:K74"/>
    <mergeCell ref="L74:R74"/>
    <mergeCell ref="S74:Y74"/>
    <mergeCell ref="Z74:AF74"/>
    <mergeCell ref="AG74:AQ74"/>
    <mergeCell ref="B74:D74"/>
    <mergeCell ref="B67:D67"/>
    <mergeCell ref="E67:K67"/>
    <mergeCell ref="L67:R67"/>
    <mergeCell ref="S67:Y67"/>
    <mergeCell ref="Z67:AF67"/>
    <mergeCell ref="AG67:AQ67"/>
    <mergeCell ref="B70:D70"/>
    <mergeCell ref="B49:D49"/>
    <mergeCell ref="E49:K49"/>
    <mergeCell ref="L49:R49"/>
    <mergeCell ref="S49:Y49"/>
    <mergeCell ref="Z49:AF49"/>
    <mergeCell ref="AG49:AQ49"/>
    <mergeCell ref="B50:D50"/>
    <mergeCell ref="B72:D72"/>
    <mergeCell ref="E72:K72"/>
    <mergeCell ref="L72:R72"/>
    <mergeCell ref="S72:Y72"/>
    <mergeCell ref="Z72:AF72"/>
    <mergeCell ref="AG72:AQ72"/>
    <mergeCell ref="B73:D73"/>
    <mergeCell ref="E73:K73"/>
    <mergeCell ref="L73:R73"/>
    <mergeCell ref="S73:Y73"/>
    <mergeCell ref="Z73:AF73"/>
    <mergeCell ref="B53:D53"/>
    <mergeCell ref="AD29:AJ29"/>
    <mergeCell ref="I35:O35"/>
    <mergeCell ref="P35:V35"/>
    <mergeCell ref="W35:AC35"/>
    <mergeCell ref="AD35:AJ35"/>
    <mergeCell ref="B34:H34"/>
    <mergeCell ref="I34:O34"/>
    <mergeCell ref="P34:V34"/>
    <mergeCell ref="W34:AC34"/>
    <mergeCell ref="AD34:AJ34"/>
    <mergeCell ref="B33:H33"/>
    <mergeCell ref="I33:O33"/>
    <mergeCell ref="P33:V33"/>
    <mergeCell ref="W33:AC33"/>
    <mergeCell ref="B41:H41"/>
    <mergeCell ref="I41:O41"/>
    <mergeCell ref="P41:V41"/>
    <mergeCell ref="W41:AC41"/>
    <mergeCell ref="I37:O37"/>
    <mergeCell ref="P37:V37"/>
    <mergeCell ref="W37:AC37"/>
    <mergeCell ref="AD37:AJ37"/>
    <mergeCell ref="AD38:AJ38"/>
    <mergeCell ref="B39:H39"/>
    <mergeCell ref="I39:O39"/>
    <mergeCell ref="AD30:AJ30"/>
    <mergeCell ref="E53:K53"/>
    <mergeCell ref="L53:R53"/>
    <mergeCell ref="S53:Y53"/>
    <mergeCell ref="W21:AC21"/>
    <mergeCell ref="AD21:AJ21"/>
    <mergeCell ref="B20:H20"/>
    <mergeCell ref="I20:O20"/>
    <mergeCell ref="P39:V39"/>
    <mergeCell ref="W39:AC39"/>
    <mergeCell ref="AD39:AJ39"/>
    <mergeCell ref="B37:H37"/>
    <mergeCell ref="B40:H40"/>
    <mergeCell ref="I40:O40"/>
    <mergeCell ref="P40:V40"/>
    <mergeCell ref="W40:AC40"/>
    <mergeCell ref="AD40:AJ40"/>
    <mergeCell ref="AD25:AJ25"/>
    <mergeCell ref="B32:H32"/>
    <mergeCell ref="I32:O32"/>
    <mergeCell ref="P32:V32"/>
    <mergeCell ref="W32:AC32"/>
    <mergeCell ref="AD32:AJ32"/>
    <mergeCell ref="B31:H31"/>
    <mergeCell ref="I31:O31"/>
    <mergeCell ref="P31:V31"/>
    <mergeCell ref="W31:AC31"/>
    <mergeCell ref="AD31:AJ31"/>
    <mergeCell ref="B30:H30"/>
    <mergeCell ref="I22:O22"/>
    <mergeCell ref="P22:V22"/>
    <mergeCell ref="W22:AC22"/>
    <mergeCell ref="B29:H29"/>
    <mergeCell ref="I29:O29"/>
    <mergeCell ref="P29:V29"/>
    <mergeCell ref="W29:AC29"/>
    <mergeCell ref="B18:H18"/>
    <mergeCell ref="I18:O18"/>
    <mergeCell ref="P18:V18"/>
    <mergeCell ref="W18:AC18"/>
    <mergeCell ref="AD18:AJ18"/>
    <mergeCell ref="B17:H17"/>
    <mergeCell ref="I17:O17"/>
    <mergeCell ref="P17:V17"/>
    <mergeCell ref="B19:H19"/>
    <mergeCell ref="I19:O19"/>
    <mergeCell ref="P19:V19"/>
    <mergeCell ref="W19:AC19"/>
    <mergeCell ref="AD19:AJ19"/>
    <mergeCell ref="B28:H28"/>
    <mergeCell ref="I28:O28"/>
    <mergeCell ref="P28:V28"/>
    <mergeCell ref="W28:AC28"/>
    <mergeCell ref="AD28:AJ28"/>
    <mergeCell ref="B27:H27"/>
    <mergeCell ref="I27:O27"/>
    <mergeCell ref="P27:V27"/>
    <mergeCell ref="W27:AC27"/>
    <mergeCell ref="AD27:AJ27"/>
    <mergeCell ref="B26:H26"/>
    <mergeCell ref="I26:O26"/>
    <mergeCell ref="P26:V26"/>
    <mergeCell ref="W26:AC26"/>
    <mergeCell ref="AD26:AJ26"/>
    <mergeCell ref="B25:H25"/>
    <mergeCell ref="B21:H21"/>
    <mergeCell ref="I21:O21"/>
    <mergeCell ref="P21:V21"/>
    <mergeCell ref="B16:H16"/>
    <mergeCell ref="I16:O16"/>
    <mergeCell ref="P16:V16"/>
    <mergeCell ref="W16:AC16"/>
    <mergeCell ref="AD16:AJ16"/>
    <mergeCell ref="B15:H15"/>
    <mergeCell ref="I15:O15"/>
    <mergeCell ref="P15:V15"/>
    <mergeCell ref="W15:AC15"/>
    <mergeCell ref="AD15:AJ15"/>
    <mergeCell ref="N220:W221"/>
    <mergeCell ref="B14:H14"/>
    <mergeCell ref="I14:O14"/>
    <mergeCell ref="P14:V14"/>
    <mergeCell ref="W14:AC14"/>
    <mergeCell ref="AD14:AJ14"/>
    <mergeCell ref="AD12:AJ12"/>
    <mergeCell ref="I13:O13"/>
    <mergeCell ref="P13:V13"/>
    <mergeCell ref="B24:H24"/>
    <mergeCell ref="I24:O24"/>
    <mergeCell ref="P24:V24"/>
    <mergeCell ref="W24:AC24"/>
    <mergeCell ref="AD24:AJ24"/>
    <mergeCell ref="B23:H23"/>
    <mergeCell ref="I23:O23"/>
    <mergeCell ref="P23:V23"/>
    <mergeCell ref="W23:AC23"/>
    <mergeCell ref="AD23:AJ23"/>
    <mergeCell ref="W13:AC13"/>
    <mergeCell ref="AD13:AJ13"/>
    <mergeCell ref="B22:H22"/>
    <mergeCell ref="B608:E608"/>
    <mergeCell ref="F608:K608"/>
    <mergeCell ref="L608:Q608"/>
    <mergeCell ref="R608:W608"/>
    <mergeCell ref="X608:AC608"/>
    <mergeCell ref="AD608:AI608"/>
    <mergeCell ref="B607:E607"/>
    <mergeCell ref="F607:K607"/>
    <mergeCell ref="L607:Q607"/>
    <mergeCell ref="R607:W607"/>
    <mergeCell ref="X607:AC607"/>
    <mergeCell ref="AD607:AI607"/>
    <mergeCell ref="B606:E606"/>
    <mergeCell ref="F606:K606"/>
    <mergeCell ref="L606:Q606"/>
    <mergeCell ref="R606:W606"/>
    <mergeCell ref="X606:AC606"/>
    <mergeCell ref="AD606:AI606"/>
    <mergeCell ref="B605:E605"/>
    <mergeCell ref="F605:K605"/>
    <mergeCell ref="L605:Q605"/>
    <mergeCell ref="R605:W605"/>
    <mergeCell ref="X605:AC605"/>
    <mergeCell ref="AD605:AI605"/>
    <mergeCell ref="B604:E604"/>
    <mergeCell ref="F604:K604"/>
    <mergeCell ref="L604:Q604"/>
    <mergeCell ref="R604:W604"/>
    <mergeCell ref="X604:AC604"/>
    <mergeCell ref="AD604:AI604"/>
    <mergeCell ref="B603:E603"/>
    <mergeCell ref="F603:K603"/>
    <mergeCell ref="L603:Q603"/>
    <mergeCell ref="R603:W603"/>
    <mergeCell ref="X603:AC603"/>
    <mergeCell ref="AD603:AI603"/>
    <mergeCell ref="B602:E602"/>
    <mergeCell ref="F602:K602"/>
    <mergeCell ref="L602:Q602"/>
    <mergeCell ref="R602:W602"/>
    <mergeCell ref="X602:AC602"/>
    <mergeCell ref="AD602:AI602"/>
    <mergeCell ref="B601:E601"/>
    <mergeCell ref="F601:K601"/>
    <mergeCell ref="L601:Q601"/>
    <mergeCell ref="R601:W601"/>
    <mergeCell ref="X601:AC601"/>
    <mergeCell ref="AD601:AI601"/>
    <mergeCell ref="B600:E600"/>
    <mergeCell ref="F600:K600"/>
    <mergeCell ref="L600:Q600"/>
    <mergeCell ref="R600:W600"/>
    <mergeCell ref="X600:AC600"/>
    <mergeCell ref="AD600:AI600"/>
    <mergeCell ref="B599:E599"/>
    <mergeCell ref="F599:K599"/>
    <mergeCell ref="L599:Q599"/>
    <mergeCell ref="R599:W599"/>
    <mergeCell ref="X599:AC599"/>
    <mergeCell ref="AD599:AI599"/>
    <mergeCell ref="B598:E598"/>
    <mergeCell ref="F598:K598"/>
    <mergeCell ref="L598:Q598"/>
    <mergeCell ref="R598:W598"/>
    <mergeCell ref="X598:AC598"/>
    <mergeCell ref="AD598:AI598"/>
    <mergeCell ref="B597:E597"/>
    <mergeCell ref="F597:K597"/>
    <mergeCell ref="L597:Q597"/>
    <mergeCell ref="R597:W597"/>
    <mergeCell ref="X597:AC597"/>
    <mergeCell ref="AD597:AI597"/>
    <mergeCell ref="B596:E596"/>
    <mergeCell ref="F596:K596"/>
    <mergeCell ref="L596:Q596"/>
    <mergeCell ref="R596:W596"/>
    <mergeCell ref="X596:AC596"/>
    <mergeCell ref="AD596:AI596"/>
    <mergeCell ref="B595:E595"/>
    <mergeCell ref="F595:K595"/>
    <mergeCell ref="L595:Q595"/>
    <mergeCell ref="R595:W595"/>
    <mergeCell ref="X595:AC595"/>
    <mergeCell ref="AD595:AI595"/>
    <mergeCell ref="B594:E594"/>
    <mergeCell ref="F594:K594"/>
    <mergeCell ref="L594:Q594"/>
    <mergeCell ref="R594:W594"/>
    <mergeCell ref="X594:AC594"/>
    <mergeCell ref="AD594:AI594"/>
    <mergeCell ref="AD587:AI592"/>
    <mergeCell ref="L589:W589"/>
    <mergeCell ref="N590:W591"/>
    <mergeCell ref="L592:Q592"/>
    <mergeCell ref="R592:W592"/>
    <mergeCell ref="F593:K593"/>
    <mergeCell ref="L593:Q593"/>
    <mergeCell ref="R593:W593"/>
    <mergeCell ref="X593:AC593"/>
    <mergeCell ref="AD593:AI593"/>
    <mergeCell ref="R579:V579"/>
    <mergeCell ref="H583:I583"/>
    <mergeCell ref="J583:M583"/>
    <mergeCell ref="Q583:T583"/>
    <mergeCell ref="B586:E593"/>
    <mergeCell ref="F586:K586"/>
    <mergeCell ref="L586:AI586"/>
    <mergeCell ref="F587:K592"/>
    <mergeCell ref="L587:W588"/>
    <mergeCell ref="X587:AC592"/>
    <mergeCell ref="AH574:AL574"/>
    <mergeCell ref="AM574:AQ574"/>
    <mergeCell ref="AR574:AS574"/>
    <mergeCell ref="L577:V577"/>
    <mergeCell ref="W577:W578"/>
    <mergeCell ref="X577:AC578"/>
    <mergeCell ref="L578:P578"/>
    <mergeCell ref="Q578:Q579"/>
    <mergeCell ref="R578:V578"/>
    <mergeCell ref="L579:P579"/>
    <mergeCell ref="AH573:AL573"/>
    <mergeCell ref="AM573:AQ573"/>
    <mergeCell ref="AR573:AS573"/>
    <mergeCell ref="B574:C574"/>
    <mergeCell ref="D574:H574"/>
    <mergeCell ref="I574:M574"/>
    <mergeCell ref="N574:R574"/>
    <mergeCell ref="S574:W574"/>
    <mergeCell ref="X574:AB574"/>
    <mergeCell ref="AC574:AG574"/>
    <mergeCell ref="AH572:AL572"/>
    <mergeCell ref="AM572:AQ572"/>
    <mergeCell ref="AR572:AS572"/>
    <mergeCell ref="B573:C573"/>
    <mergeCell ref="D573:H573"/>
    <mergeCell ref="I573:M573"/>
    <mergeCell ref="N573:R573"/>
    <mergeCell ref="S573:W573"/>
    <mergeCell ref="X573:AB573"/>
    <mergeCell ref="AC573:AG573"/>
    <mergeCell ref="AH571:AL571"/>
    <mergeCell ref="AM571:AQ571"/>
    <mergeCell ref="AR571:AS571"/>
    <mergeCell ref="B572:C572"/>
    <mergeCell ref="D572:H572"/>
    <mergeCell ref="I572:M572"/>
    <mergeCell ref="N572:R572"/>
    <mergeCell ref="S572:W572"/>
    <mergeCell ref="X572:AB572"/>
    <mergeCell ref="AC572:AG572"/>
    <mergeCell ref="AH570:AL570"/>
    <mergeCell ref="AM570:AQ570"/>
    <mergeCell ref="AR570:AS570"/>
    <mergeCell ref="B571:C571"/>
    <mergeCell ref="D571:H571"/>
    <mergeCell ref="I571:M571"/>
    <mergeCell ref="N571:R571"/>
    <mergeCell ref="S571:W571"/>
    <mergeCell ref="X571:AB571"/>
    <mergeCell ref="AC571:AG571"/>
    <mergeCell ref="AH569:AL569"/>
    <mergeCell ref="AM569:AQ569"/>
    <mergeCell ref="AR569:AS569"/>
    <mergeCell ref="B570:C570"/>
    <mergeCell ref="D570:H570"/>
    <mergeCell ref="I570:M570"/>
    <mergeCell ref="N570:R570"/>
    <mergeCell ref="S570:W570"/>
    <mergeCell ref="X570:AB570"/>
    <mergeCell ref="AC570:AG570"/>
    <mergeCell ref="AH568:AL568"/>
    <mergeCell ref="AM568:AQ568"/>
    <mergeCell ref="AR568:AS568"/>
    <mergeCell ref="B569:C569"/>
    <mergeCell ref="D569:H569"/>
    <mergeCell ref="I569:M569"/>
    <mergeCell ref="N569:R569"/>
    <mergeCell ref="S569:W569"/>
    <mergeCell ref="X569:AB569"/>
    <mergeCell ref="AC569:AG569"/>
    <mergeCell ref="AH567:AL567"/>
    <mergeCell ref="AM567:AQ567"/>
    <mergeCell ref="AR567:AS567"/>
    <mergeCell ref="B568:C568"/>
    <mergeCell ref="D568:H568"/>
    <mergeCell ref="I568:M568"/>
    <mergeCell ref="N568:R568"/>
    <mergeCell ref="S568:W568"/>
    <mergeCell ref="X568:AB568"/>
    <mergeCell ref="AC568:AG568"/>
    <mergeCell ref="AH566:AL566"/>
    <mergeCell ref="AM566:AQ566"/>
    <mergeCell ref="AR566:AS566"/>
    <mergeCell ref="B567:C567"/>
    <mergeCell ref="D567:H567"/>
    <mergeCell ref="I567:M567"/>
    <mergeCell ref="N567:R567"/>
    <mergeCell ref="S567:W567"/>
    <mergeCell ref="X567:AB567"/>
    <mergeCell ref="AC567:AG567"/>
    <mergeCell ref="AH565:AL565"/>
    <mergeCell ref="AM565:AQ565"/>
    <mergeCell ref="AR565:AS565"/>
    <mergeCell ref="B566:C566"/>
    <mergeCell ref="D566:H566"/>
    <mergeCell ref="I566:M566"/>
    <mergeCell ref="N566:R566"/>
    <mergeCell ref="S566:W566"/>
    <mergeCell ref="X566:AB566"/>
    <mergeCell ref="AC566:AG566"/>
    <mergeCell ref="AH564:AL564"/>
    <mergeCell ref="AM564:AQ564"/>
    <mergeCell ref="AR564:AS564"/>
    <mergeCell ref="B565:C565"/>
    <mergeCell ref="D565:H565"/>
    <mergeCell ref="I565:M565"/>
    <mergeCell ref="N565:R565"/>
    <mergeCell ref="S565:W565"/>
    <mergeCell ref="X565:AB565"/>
    <mergeCell ref="AC565:AG565"/>
    <mergeCell ref="AH563:AL563"/>
    <mergeCell ref="AM563:AQ563"/>
    <mergeCell ref="AR563:AS563"/>
    <mergeCell ref="B564:C564"/>
    <mergeCell ref="D564:H564"/>
    <mergeCell ref="I564:M564"/>
    <mergeCell ref="N564:R564"/>
    <mergeCell ref="S564:W564"/>
    <mergeCell ref="X564:AB564"/>
    <mergeCell ref="AC564:AG564"/>
    <mergeCell ref="AH562:AL562"/>
    <mergeCell ref="AM562:AQ562"/>
    <mergeCell ref="AR562:AS562"/>
    <mergeCell ref="B563:C563"/>
    <mergeCell ref="D563:H563"/>
    <mergeCell ref="I563:M563"/>
    <mergeCell ref="N563:R563"/>
    <mergeCell ref="S563:W563"/>
    <mergeCell ref="X563:AB563"/>
    <mergeCell ref="AC563:AG563"/>
    <mergeCell ref="AH561:AL561"/>
    <mergeCell ref="AM561:AQ561"/>
    <mergeCell ref="AR561:AS561"/>
    <mergeCell ref="B562:C562"/>
    <mergeCell ref="D562:H562"/>
    <mergeCell ref="I562:M562"/>
    <mergeCell ref="N562:R562"/>
    <mergeCell ref="S562:W562"/>
    <mergeCell ref="X562:AB562"/>
    <mergeCell ref="AC562:AG562"/>
    <mergeCell ref="AH560:AL560"/>
    <mergeCell ref="AM560:AQ560"/>
    <mergeCell ref="AR560:AS560"/>
    <mergeCell ref="B561:C561"/>
    <mergeCell ref="D561:H561"/>
    <mergeCell ref="I561:M561"/>
    <mergeCell ref="N561:R561"/>
    <mergeCell ref="S561:W561"/>
    <mergeCell ref="X561:AB561"/>
    <mergeCell ref="AC561:AG561"/>
    <mergeCell ref="AH559:AL559"/>
    <mergeCell ref="AM559:AQ559"/>
    <mergeCell ref="AR559:AS559"/>
    <mergeCell ref="B560:C560"/>
    <mergeCell ref="D560:H560"/>
    <mergeCell ref="I560:M560"/>
    <mergeCell ref="N560:R560"/>
    <mergeCell ref="S560:W560"/>
    <mergeCell ref="X560:AB560"/>
    <mergeCell ref="AC560:AG560"/>
    <mergeCell ref="N557:R558"/>
    <mergeCell ref="S557:W558"/>
    <mergeCell ref="X557:AB558"/>
    <mergeCell ref="AC557:AG558"/>
    <mergeCell ref="D559:H559"/>
    <mergeCell ref="I559:M559"/>
    <mergeCell ref="N559:R559"/>
    <mergeCell ref="S559:W559"/>
    <mergeCell ref="X559:AB559"/>
    <mergeCell ref="AC559:AG559"/>
    <mergeCell ref="B555:C559"/>
    <mergeCell ref="D555:M555"/>
    <mergeCell ref="N555:AL555"/>
    <mergeCell ref="AM555:AS555"/>
    <mergeCell ref="D556:H558"/>
    <mergeCell ref="I556:M558"/>
    <mergeCell ref="N556:AG556"/>
    <mergeCell ref="AH556:AL558"/>
    <mergeCell ref="AM556:AQ558"/>
    <mergeCell ref="AR556:AS558"/>
    <mergeCell ref="P544:T545"/>
    <mergeCell ref="E549:I549"/>
    <mergeCell ref="K549:L549"/>
    <mergeCell ref="M549:Q549"/>
    <mergeCell ref="E550:I550"/>
    <mergeCell ref="D552:G552"/>
    <mergeCell ref="H552:I552"/>
    <mergeCell ref="AH538:AK539"/>
    <mergeCell ref="AL538:AN539"/>
    <mergeCell ref="H540:L540"/>
    <mergeCell ref="B541:G542"/>
    <mergeCell ref="L543:O543"/>
    <mergeCell ref="P543:Q543"/>
    <mergeCell ref="S543:V543"/>
    <mergeCell ref="W543:X543"/>
    <mergeCell ref="P530:T531"/>
    <mergeCell ref="G534:K534"/>
    <mergeCell ref="L534:Q534"/>
    <mergeCell ref="AD536:AG537"/>
    <mergeCell ref="AH536:AJ537"/>
    <mergeCell ref="Q538:AA539"/>
    <mergeCell ref="AB538:AB539"/>
    <mergeCell ref="AC538:AF538"/>
    <mergeCell ref="AG538:AG539"/>
    <mergeCell ref="AH524:AK525"/>
    <mergeCell ref="AL524:AN525"/>
    <mergeCell ref="H526:L526"/>
    <mergeCell ref="B527:G528"/>
    <mergeCell ref="L529:O529"/>
    <mergeCell ref="P529:Q529"/>
    <mergeCell ref="S529:V529"/>
    <mergeCell ref="W529:X529"/>
    <mergeCell ref="R523:U523"/>
    <mergeCell ref="V523:Y523"/>
    <mergeCell ref="Q524:AA525"/>
    <mergeCell ref="AB524:AB525"/>
    <mergeCell ref="AC524:AF524"/>
    <mergeCell ref="AG524:AG525"/>
    <mergeCell ref="P509:T510"/>
    <mergeCell ref="G513:K513"/>
    <mergeCell ref="L513:Q513"/>
    <mergeCell ref="M518:P518"/>
    <mergeCell ref="Q518:T518"/>
    <mergeCell ref="M521:P521"/>
    <mergeCell ref="Q521:T521"/>
    <mergeCell ref="AI503:AL504"/>
    <mergeCell ref="AM503:AO504"/>
    <mergeCell ref="H505:L505"/>
    <mergeCell ref="B506:G507"/>
    <mergeCell ref="L508:O508"/>
    <mergeCell ref="P508:Q508"/>
    <mergeCell ref="S508:V508"/>
    <mergeCell ref="W508:X508"/>
    <mergeCell ref="L497:P497"/>
    <mergeCell ref="G500:K500"/>
    <mergeCell ref="L500:Q500"/>
    <mergeCell ref="AD502:AG502"/>
    <mergeCell ref="AH502:AJ502"/>
    <mergeCell ref="R503:AB504"/>
    <mergeCell ref="AC503:AC504"/>
    <mergeCell ref="AD503:AG503"/>
    <mergeCell ref="AH503:AH504"/>
    <mergeCell ref="AB492:AE492"/>
    <mergeCell ref="H493:L493"/>
    <mergeCell ref="B494:G495"/>
    <mergeCell ref="L496:O496"/>
    <mergeCell ref="P496:Q496"/>
    <mergeCell ref="S496:V496"/>
    <mergeCell ref="W496:X496"/>
    <mergeCell ref="AC485:AG485"/>
    <mergeCell ref="AI485:AM485"/>
    <mergeCell ref="G488:K488"/>
    <mergeCell ref="L488:Q488"/>
    <mergeCell ref="P491:Z492"/>
    <mergeCell ref="AA491:AA492"/>
    <mergeCell ref="AB491:AE491"/>
    <mergeCell ref="AF491:AF492"/>
    <mergeCell ref="AG491:AJ492"/>
    <mergeCell ref="AK491:AM492"/>
    <mergeCell ref="AO483:AS484"/>
    <mergeCell ref="Q484:U484"/>
    <mergeCell ref="V484:V485"/>
    <mergeCell ref="W484:AA484"/>
    <mergeCell ref="AB484:AB485"/>
    <mergeCell ref="AC484:AG484"/>
    <mergeCell ref="AH484:AH485"/>
    <mergeCell ref="AI484:AM484"/>
    <mergeCell ref="Q485:U485"/>
    <mergeCell ref="W485:AA485"/>
    <mergeCell ref="L482:O482"/>
    <mergeCell ref="P482:Q482"/>
    <mergeCell ref="S482:V482"/>
    <mergeCell ref="W482:X482"/>
    <mergeCell ref="Q483:AM483"/>
    <mergeCell ref="AN483:AN484"/>
    <mergeCell ref="V478:X478"/>
    <mergeCell ref="AA478:AC478"/>
    <mergeCell ref="AF478:AI478"/>
    <mergeCell ref="AJ478:AK478"/>
    <mergeCell ref="H479:L479"/>
    <mergeCell ref="B480:G481"/>
    <mergeCell ref="L471:P471"/>
    <mergeCell ref="G474:K474"/>
    <mergeCell ref="L474:Q474"/>
    <mergeCell ref="P476:Q476"/>
    <mergeCell ref="L478:N478"/>
    <mergeCell ref="Q478:S478"/>
    <mergeCell ref="H467:L467"/>
    <mergeCell ref="B468:G469"/>
    <mergeCell ref="L470:O470"/>
    <mergeCell ref="P470:Q470"/>
    <mergeCell ref="S470:V470"/>
    <mergeCell ref="W470:X470"/>
    <mergeCell ref="O460:S461"/>
    <mergeCell ref="T460:T461"/>
    <mergeCell ref="U460:Y460"/>
    <mergeCell ref="Z460:Z461"/>
    <mergeCell ref="M465:Q465"/>
    <mergeCell ref="R465:R466"/>
    <mergeCell ref="S465:V466"/>
    <mergeCell ref="W465:AA466"/>
    <mergeCell ref="M466:Q466"/>
    <mergeCell ref="AA460:AD461"/>
    <mergeCell ref="U461:Y461"/>
    <mergeCell ref="AE448:AH449"/>
    <mergeCell ref="AI448:AK449"/>
    <mergeCell ref="N452:Q452"/>
    <mergeCell ref="R452:T452"/>
    <mergeCell ref="K454:Q454"/>
    <mergeCell ref="K455:Q455"/>
    <mergeCell ref="AC440:AG440"/>
    <mergeCell ref="AH440:AL440"/>
    <mergeCell ref="AM440:AO440"/>
    <mergeCell ref="AP440:AS440"/>
    <mergeCell ref="G444:K444"/>
    <mergeCell ref="L444:Q444"/>
    <mergeCell ref="AC439:AG439"/>
    <mergeCell ref="AH439:AM439"/>
    <mergeCell ref="AN439:AO439"/>
    <mergeCell ref="AP439:AS439"/>
    <mergeCell ref="AE460:AI461"/>
    <mergeCell ref="B440:C440"/>
    <mergeCell ref="D440:H440"/>
    <mergeCell ref="I440:L440"/>
    <mergeCell ref="M440:O440"/>
    <mergeCell ref="P440:W440"/>
    <mergeCell ref="X440:AB440"/>
    <mergeCell ref="AC438:AG438"/>
    <mergeCell ref="AH438:AM438"/>
    <mergeCell ref="AN438:AO438"/>
    <mergeCell ref="AP438:AS438"/>
    <mergeCell ref="B439:C439"/>
    <mergeCell ref="D439:H439"/>
    <mergeCell ref="I439:O439"/>
    <mergeCell ref="P439:U439"/>
    <mergeCell ref="V439:W439"/>
    <mergeCell ref="X439:AB439"/>
    <mergeCell ref="AC437:AG437"/>
    <mergeCell ref="AH437:AM437"/>
    <mergeCell ref="AN437:AO437"/>
    <mergeCell ref="AP437:AS437"/>
    <mergeCell ref="B438:C438"/>
    <mergeCell ref="D438:H438"/>
    <mergeCell ref="I438:O438"/>
    <mergeCell ref="P438:U438"/>
    <mergeCell ref="V438:W438"/>
    <mergeCell ref="X438:AB438"/>
    <mergeCell ref="AC436:AG436"/>
    <mergeCell ref="AH436:AM436"/>
    <mergeCell ref="AN436:AO436"/>
    <mergeCell ref="AP436:AS436"/>
    <mergeCell ref="B437:C437"/>
    <mergeCell ref="D437:H437"/>
    <mergeCell ref="I437:O437"/>
    <mergeCell ref="P437:U437"/>
    <mergeCell ref="V437:W437"/>
    <mergeCell ref="X437:AB437"/>
    <mergeCell ref="B436:C436"/>
    <mergeCell ref="D436:H436"/>
    <mergeCell ref="I436:O436"/>
    <mergeCell ref="P436:U436"/>
    <mergeCell ref="V436:W436"/>
    <mergeCell ref="X436:AB436"/>
    <mergeCell ref="U435:W435"/>
    <mergeCell ref="X435:AB435"/>
    <mergeCell ref="AC435:AG435"/>
    <mergeCell ref="AH435:AL435"/>
    <mergeCell ref="AM435:AO435"/>
    <mergeCell ref="AP435:AS435"/>
    <mergeCell ref="X434:AB434"/>
    <mergeCell ref="AC434:AG434"/>
    <mergeCell ref="AH434:AL434"/>
    <mergeCell ref="AM434:AO434"/>
    <mergeCell ref="AP434:AS434"/>
    <mergeCell ref="B435:C435"/>
    <mergeCell ref="D435:H435"/>
    <mergeCell ref="I435:L435"/>
    <mergeCell ref="M435:O435"/>
    <mergeCell ref="P435:T435"/>
    <mergeCell ref="B434:C434"/>
    <mergeCell ref="D434:H434"/>
    <mergeCell ref="I434:L434"/>
    <mergeCell ref="M434:O434"/>
    <mergeCell ref="P434:T434"/>
    <mergeCell ref="U434:W434"/>
    <mergeCell ref="I433:O433"/>
    <mergeCell ref="P433:W433"/>
    <mergeCell ref="X433:AB433"/>
    <mergeCell ref="AC433:AG433"/>
    <mergeCell ref="AH433:AO433"/>
    <mergeCell ref="AP433:AS433"/>
    <mergeCell ref="I432:O432"/>
    <mergeCell ref="P432:W432"/>
    <mergeCell ref="X432:AB432"/>
    <mergeCell ref="AC432:AG432"/>
    <mergeCell ref="AH432:AO432"/>
    <mergeCell ref="AP432:AS432"/>
    <mergeCell ref="AM428:AS428"/>
    <mergeCell ref="B431:C433"/>
    <mergeCell ref="D431:H431"/>
    <mergeCell ref="I431:O431"/>
    <mergeCell ref="P431:W431"/>
    <mergeCell ref="X431:AB431"/>
    <mergeCell ref="AC431:AG431"/>
    <mergeCell ref="AH431:AO431"/>
    <mergeCell ref="AP431:AS431"/>
    <mergeCell ref="D432:H433"/>
    <mergeCell ref="B428:G428"/>
    <mergeCell ref="H428:M428"/>
    <mergeCell ref="N428:S428"/>
    <mergeCell ref="T428:Y428"/>
    <mergeCell ref="Z428:AE428"/>
    <mergeCell ref="AF428:AL428"/>
    <mergeCell ref="Z426:AE426"/>
    <mergeCell ref="AF426:AL426"/>
    <mergeCell ref="AM426:AS426"/>
    <mergeCell ref="B427:G427"/>
    <mergeCell ref="H427:M427"/>
    <mergeCell ref="N427:S427"/>
    <mergeCell ref="T427:Y427"/>
    <mergeCell ref="Z427:AE427"/>
    <mergeCell ref="AF427:AL427"/>
    <mergeCell ref="AM427:AS427"/>
    <mergeCell ref="B424:G426"/>
    <mergeCell ref="H424:M425"/>
    <mergeCell ref="N424:AS424"/>
    <mergeCell ref="N425:S425"/>
    <mergeCell ref="T425:Y425"/>
    <mergeCell ref="Z425:AE425"/>
    <mergeCell ref="AF425:AS425"/>
    <mergeCell ref="H426:M426"/>
    <mergeCell ref="N426:S426"/>
    <mergeCell ref="T426:Y426"/>
    <mergeCell ref="AH420:AM421"/>
    <mergeCell ref="AN420:AS421"/>
    <mergeCell ref="B421:F421"/>
    <mergeCell ref="G421:L421"/>
    <mergeCell ref="M421:Q421"/>
    <mergeCell ref="R421:V421"/>
    <mergeCell ref="W421:AA421"/>
    <mergeCell ref="B420:F420"/>
    <mergeCell ref="G420:L420"/>
    <mergeCell ref="M420:Q420"/>
    <mergeCell ref="R420:V420"/>
    <mergeCell ref="W420:AA420"/>
    <mergeCell ref="AB420:AG421"/>
    <mergeCell ref="M419:Q419"/>
    <mergeCell ref="R419:V419"/>
    <mergeCell ref="W419:AA419"/>
    <mergeCell ref="AB419:AG419"/>
    <mergeCell ref="AH419:AM419"/>
    <mergeCell ref="AN419:AS419"/>
    <mergeCell ref="AK392:AQ392"/>
    <mergeCell ref="B417:F419"/>
    <mergeCell ref="G417:L418"/>
    <mergeCell ref="M417:AS417"/>
    <mergeCell ref="M418:Q418"/>
    <mergeCell ref="R418:V418"/>
    <mergeCell ref="W418:AA418"/>
    <mergeCell ref="AB418:AM418"/>
    <mergeCell ref="AN418:AS418"/>
    <mergeCell ref="G419:L419"/>
    <mergeCell ref="B392:D392"/>
    <mergeCell ref="E392:K392"/>
    <mergeCell ref="L392:Q392"/>
    <mergeCell ref="R392:W392"/>
    <mergeCell ref="X392:AC392"/>
    <mergeCell ref="AD392:AJ392"/>
    <mergeCell ref="AK390:AQ390"/>
    <mergeCell ref="B391:D391"/>
    <mergeCell ref="E391:K391"/>
    <mergeCell ref="L391:Q391"/>
    <mergeCell ref="R391:W391"/>
    <mergeCell ref="X391:AC391"/>
    <mergeCell ref="AD391:AJ391"/>
    <mergeCell ref="AK391:AQ391"/>
    <mergeCell ref="B390:D390"/>
    <mergeCell ref="E390:K390"/>
    <mergeCell ref="L390:Q390"/>
    <mergeCell ref="R390:W390"/>
    <mergeCell ref="X390:AC390"/>
    <mergeCell ref="AD390:AJ390"/>
    <mergeCell ref="AK388:AQ388"/>
    <mergeCell ref="B389:D389"/>
    <mergeCell ref="E389:K389"/>
    <mergeCell ref="L389:Q389"/>
    <mergeCell ref="R389:W389"/>
    <mergeCell ref="X389:AC389"/>
    <mergeCell ref="AD389:AJ389"/>
    <mergeCell ref="AK389:AQ389"/>
    <mergeCell ref="B388:D388"/>
    <mergeCell ref="E388:K388"/>
    <mergeCell ref="L388:Q388"/>
    <mergeCell ref="R388:W388"/>
    <mergeCell ref="X388:AC388"/>
    <mergeCell ref="AD388:AJ388"/>
    <mergeCell ref="AK386:AQ386"/>
    <mergeCell ref="B387:D387"/>
    <mergeCell ref="E387:K387"/>
    <mergeCell ref="L387:Q387"/>
    <mergeCell ref="R387:W387"/>
    <mergeCell ref="X387:AC387"/>
    <mergeCell ref="AD387:AJ387"/>
    <mergeCell ref="AK387:AQ387"/>
    <mergeCell ref="B386:D386"/>
    <mergeCell ref="E386:K386"/>
    <mergeCell ref="L386:Q386"/>
    <mergeCell ref="R386:W386"/>
    <mergeCell ref="X386:AC386"/>
    <mergeCell ref="AD386:AJ386"/>
    <mergeCell ref="AK384:AQ384"/>
    <mergeCell ref="B385:D385"/>
    <mergeCell ref="E385:K385"/>
    <mergeCell ref="L385:Q385"/>
    <mergeCell ref="R385:W385"/>
    <mergeCell ref="X385:AC385"/>
    <mergeCell ref="AD385:AJ385"/>
    <mergeCell ref="AK385:AQ385"/>
    <mergeCell ref="B384:D384"/>
    <mergeCell ref="E384:K384"/>
    <mergeCell ref="L384:Q384"/>
    <mergeCell ref="R384:W384"/>
    <mergeCell ref="X384:AC384"/>
    <mergeCell ref="AD384:AJ384"/>
    <mergeCell ref="AK382:AQ382"/>
    <mergeCell ref="B383:D383"/>
    <mergeCell ref="E383:K383"/>
    <mergeCell ref="L383:Q383"/>
    <mergeCell ref="R383:W383"/>
    <mergeCell ref="X383:AC383"/>
    <mergeCell ref="AD383:AJ383"/>
    <mergeCell ref="AK383:AQ383"/>
    <mergeCell ref="B382:D382"/>
    <mergeCell ref="E382:K382"/>
    <mergeCell ref="L382:Q382"/>
    <mergeCell ref="R382:W382"/>
    <mergeCell ref="X382:AC382"/>
    <mergeCell ref="AD382:AJ382"/>
    <mergeCell ref="AK380:AQ380"/>
    <mergeCell ref="B381:D381"/>
    <mergeCell ref="E381:K381"/>
    <mergeCell ref="L381:Q381"/>
    <mergeCell ref="R381:W381"/>
    <mergeCell ref="X381:AC381"/>
    <mergeCell ref="AD381:AJ381"/>
    <mergeCell ref="AK381:AQ381"/>
    <mergeCell ref="B380:D380"/>
    <mergeCell ref="E380:K380"/>
    <mergeCell ref="L380:Q380"/>
    <mergeCell ref="R380:W380"/>
    <mergeCell ref="X380:AC380"/>
    <mergeCell ref="AD380:AJ380"/>
    <mergeCell ref="AK378:AQ378"/>
    <mergeCell ref="B379:D379"/>
    <mergeCell ref="E379:K379"/>
    <mergeCell ref="L379:Q379"/>
    <mergeCell ref="R379:W379"/>
    <mergeCell ref="X379:AC379"/>
    <mergeCell ref="AD379:AJ379"/>
    <mergeCell ref="AK379:AQ379"/>
    <mergeCell ref="B378:D378"/>
    <mergeCell ref="E378:K378"/>
    <mergeCell ref="L378:Q378"/>
    <mergeCell ref="R378:W378"/>
    <mergeCell ref="X378:AC378"/>
    <mergeCell ref="AD378:AJ378"/>
    <mergeCell ref="AK376:AQ376"/>
    <mergeCell ref="B377:D377"/>
    <mergeCell ref="E377:K377"/>
    <mergeCell ref="L377:Q377"/>
    <mergeCell ref="R377:W377"/>
    <mergeCell ref="X377:AC377"/>
    <mergeCell ref="AD377:AJ377"/>
    <mergeCell ref="AK377:AQ377"/>
    <mergeCell ref="B376:D376"/>
    <mergeCell ref="E376:K376"/>
    <mergeCell ref="L376:Q376"/>
    <mergeCell ref="R376:W376"/>
    <mergeCell ref="X376:AC376"/>
    <mergeCell ref="AD376:AJ376"/>
    <mergeCell ref="AK374:AQ374"/>
    <mergeCell ref="B375:D375"/>
    <mergeCell ref="E375:K375"/>
    <mergeCell ref="L375:Q375"/>
    <mergeCell ref="R375:W375"/>
    <mergeCell ref="X375:AC375"/>
    <mergeCell ref="AD375:AJ375"/>
    <mergeCell ref="AK375:AQ375"/>
    <mergeCell ref="B374:D374"/>
    <mergeCell ref="E374:K374"/>
    <mergeCell ref="L374:Q374"/>
    <mergeCell ref="R374:W374"/>
    <mergeCell ref="X374:AC374"/>
    <mergeCell ref="AD374:AJ374"/>
    <mergeCell ref="AK372:AQ372"/>
    <mergeCell ref="B373:D373"/>
    <mergeCell ref="E373:K373"/>
    <mergeCell ref="L373:Q373"/>
    <mergeCell ref="R373:W373"/>
    <mergeCell ref="X373:AC373"/>
    <mergeCell ref="AD373:AJ373"/>
    <mergeCell ref="AK373:AQ373"/>
    <mergeCell ref="B372:D372"/>
    <mergeCell ref="E372:K372"/>
    <mergeCell ref="L372:Q372"/>
    <mergeCell ref="R372:W372"/>
    <mergeCell ref="X372:AC372"/>
    <mergeCell ref="AD372:AJ372"/>
    <mergeCell ref="AK370:AQ370"/>
    <mergeCell ref="B371:D371"/>
    <mergeCell ref="E371:K371"/>
    <mergeCell ref="L371:Q371"/>
    <mergeCell ref="R371:W371"/>
    <mergeCell ref="X371:AC371"/>
    <mergeCell ref="AD371:AJ371"/>
    <mergeCell ref="AK371:AQ371"/>
    <mergeCell ref="B370:D370"/>
    <mergeCell ref="E370:K370"/>
    <mergeCell ref="L370:Q370"/>
    <mergeCell ref="R370:W370"/>
    <mergeCell ref="X370:AC370"/>
    <mergeCell ref="AD370:AJ370"/>
    <mergeCell ref="AK368:AQ368"/>
    <mergeCell ref="B369:D369"/>
    <mergeCell ref="E369:K369"/>
    <mergeCell ref="L369:Q369"/>
    <mergeCell ref="R369:W369"/>
    <mergeCell ref="X369:AC369"/>
    <mergeCell ref="AD369:AJ369"/>
    <mergeCell ref="AK369:AQ369"/>
    <mergeCell ref="B368:D368"/>
    <mergeCell ref="E368:K368"/>
    <mergeCell ref="L368:Q368"/>
    <mergeCell ref="R368:W368"/>
    <mergeCell ref="X368:AC368"/>
    <mergeCell ref="AD368:AJ368"/>
    <mergeCell ref="AK366:AQ366"/>
    <mergeCell ref="B367:D367"/>
    <mergeCell ref="E367:K367"/>
    <mergeCell ref="L367:Q367"/>
    <mergeCell ref="R367:W367"/>
    <mergeCell ref="X367:AC367"/>
    <mergeCell ref="AD367:AJ367"/>
    <mergeCell ref="AK367:AQ367"/>
    <mergeCell ref="B366:D366"/>
    <mergeCell ref="E366:K366"/>
    <mergeCell ref="L366:Q366"/>
    <mergeCell ref="R366:W366"/>
    <mergeCell ref="X366:AC366"/>
    <mergeCell ref="AD366:AJ366"/>
    <mergeCell ref="AK364:AQ364"/>
    <mergeCell ref="B365:D365"/>
    <mergeCell ref="E365:K365"/>
    <mergeCell ref="L365:Q365"/>
    <mergeCell ref="R365:W365"/>
    <mergeCell ref="X365:AC365"/>
    <mergeCell ref="AD365:AJ365"/>
    <mergeCell ref="AK365:AQ365"/>
    <mergeCell ref="B364:D364"/>
    <mergeCell ref="E364:K364"/>
    <mergeCell ref="L364:Q364"/>
    <mergeCell ref="R364:W364"/>
    <mergeCell ref="X364:AC364"/>
    <mergeCell ref="AD364:AJ364"/>
    <mergeCell ref="X362:AC362"/>
    <mergeCell ref="AD362:AJ362"/>
    <mergeCell ref="AK362:AQ362"/>
    <mergeCell ref="B363:D363"/>
    <mergeCell ref="E363:K363"/>
    <mergeCell ref="L363:Q363"/>
    <mergeCell ref="R363:W363"/>
    <mergeCell ref="X363:AC363"/>
    <mergeCell ref="AD363:AJ363"/>
    <mergeCell ref="AK363:AQ363"/>
    <mergeCell ref="B360:D362"/>
    <mergeCell ref="E360:K361"/>
    <mergeCell ref="L360:AQ360"/>
    <mergeCell ref="L361:Q361"/>
    <mergeCell ref="R361:W361"/>
    <mergeCell ref="X361:AC361"/>
    <mergeCell ref="AD361:AQ361"/>
    <mergeCell ref="E362:K362"/>
    <mergeCell ref="L362:Q362"/>
    <mergeCell ref="R362:W362"/>
    <mergeCell ref="B356:H356"/>
    <mergeCell ref="I356:O356"/>
    <mergeCell ref="P356:V356"/>
    <mergeCell ref="W356:AC356"/>
    <mergeCell ref="AD356:AJ356"/>
    <mergeCell ref="B357:H357"/>
    <mergeCell ref="I357:O357"/>
    <mergeCell ref="P357:V357"/>
    <mergeCell ref="W357:AC357"/>
    <mergeCell ref="AD357:AJ357"/>
    <mergeCell ref="B354:H354"/>
    <mergeCell ref="I354:O354"/>
    <mergeCell ref="P354:V354"/>
    <mergeCell ref="W354:AC354"/>
    <mergeCell ref="AD354:AJ354"/>
    <mergeCell ref="B355:H355"/>
    <mergeCell ref="I355:O355"/>
    <mergeCell ref="P355:V355"/>
    <mergeCell ref="W355:AC355"/>
    <mergeCell ref="AD355:AJ355"/>
    <mergeCell ref="B352:H352"/>
    <mergeCell ref="I352:O352"/>
    <mergeCell ref="P352:V352"/>
    <mergeCell ref="W352:AC352"/>
    <mergeCell ref="AD352:AJ352"/>
    <mergeCell ref="B353:H353"/>
    <mergeCell ref="I353:O353"/>
    <mergeCell ref="P353:V353"/>
    <mergeCell ref="W353:AC353"/>
    <mergeCell ref="AD353:AJ353"/>
    <mergeCell ref="B350:H350"/>
    <mergeCell ref="I350:O350"/>
    <mergeCell ref="P350:V350"/>
    <mergeCell ref="W350:AC350"/>
    <mergeCell ref="AD350:AJ350"/>
    <mergeCell ref="B351:H351"/>
    <mergeCell ref="I351:O351"/>
    <mergeCell ref="P351:V351"/>
    <mergeCell ref="W351:AC351"/>
    <mergeCell ref="AD351:AJ351"/>
    <mergeCell ref="B348:H348"/>
    <mergeCell ref="I348:O348"/>
    <mergeCell ref="P348:V348"/>
    <mergeCell ref="W348:AC348"/>
    <mergeCell ref="AD348:AJ348"/>
    <mergeCell ref="B349:H349"/>
    <mergeCell ref="I349:O349"/>
    <mergeCell ref="P349:V349"/>
    <mergeCell ref="W349:AC349"/>
    <mergeCell ref="AD349:AJ349"/>
    <mergeCell ref="B346:H346"/>
    <mergeCell ref="I346:O346"/>
    <mergeCell ref="P346:V346"/>
    <mergeCell ref="W346:AC346"/>
    <mergeCell ref="AD346:AJ346"/>
    <mergeCell ref="B347:H347"/>
    <mergeCell ref="I347:O347"/>
    <mergeCell ref="P347:V347"/>
    <mergeCell ref="W347:AC347"/>
    <mergeCell ref="AD347:AJ347"/>
    <mergeCell ref="B344:H344"/>
    <mergeCell ref="I344:O344"/>
    <mergeCell ref="P344:V344"/>
    <mergeCell ref="W344:AC344"/>
    <mergeCell ref="AD344:AJ344"/>
    <mergeCell ref="B345:H345"/>
    <mergeCell ref="I345:O345"/>
    <mergeCell ref="P345:V345"/>
    <mergeCell ref="W345:AC345"/>
    <mergeCell ref="AD345:AJ345"/>
    <mergeCell ref="B342:H342"/>
    <mergeCell ref="I342:O342"/>
    <mergeCell ref="P342:V342"/>
    <mergeCell ref="W342:AC342"/>
    <mergeCell ref="AD342:AJ342"/>
    <mergeCell ref="B343:H343"/>
    <mergeCell ref="I343:O343"/>
    <mergeCell ref="P343:V343"/>
    <mergeCell ref="W343:AC343"/>
    <mergeCell ref="AD343:AJ343"/>
    <mergeCell ref="B340:H340"/>
    <mergeCell ref="I340:O340"/>
    <mergeCell ref="P340:V340"/>
    <mergeCell ref="W340:AC340"/>
    <mergeCell ref="AD340:AJ340"/>
    <mergeCell ref="B341:H341"/>
    <mergeCell ref="I341:O341"/>
    <mergeCell ref="P341:V341"/>
    <mergeCell ref="W341:AC341"/>
    <mergeCell ref="AD341:AJ341"/>
    <mergeCell ref="B338:H338"/>
    <mergeCell ref="I338:O338"/>
    <mergeCell ref="P338:V338"/>
    <mergeCell ref="W338:AC338"/>
    <mergeCell ref="AD338:AJ338"/>
    <mergeCell ref="B339:H339"/>
    <mergeCell ref="I339:O339"/>
    <mergeCell ref="P339:V339"/>
    <mergeCell ref="W339:AC339"/>
    <mergeCell ref="AD339:AJ339"/>
    <mergeCell ref="B336:H336"/>
    <mergeCell ref="I336:O336"/>
    <mergeCell ref="P336:V336"/>
    <mergeCell ref="W336:AC336"/>
    <mergeCell ref="AD336:AJ336"/>
    <mergeCell ref="B337:H337"/>
    <mergeCell ref="I337:O337"/>
    <mergeCell ref="P337:V337"/>
    <mergeCell ref="W337:AC337"/>
    <mergeCell ref="AD337:AJ337"/>
    <mergeCell ref="B334:H334"/>
    <mergeCell ref="I334:O334"/>
    <mergeCell ref="P334:V334"/>
    <mergeCell ref="W334:AC334"/>
    <mergeCell ref="AD334:AJ334"/>
    <mergeCell ref="B335:H335"/>
    <mergeCell ref="I335:O335"/>
    <mergeCell ref="P335:V335"/>
    <mergeCell ref="W335:AC335"/>
    <mergeCell ref="AD335:AJ335"/>
    <mergeCell ref="B332:H332"/>
    <mergeCell ref="I332:O332"/>
    <mergeCell ref="P332:V332"/>
    <mergeCell ref="W332:AC332"/>
    <mergeCell ref="AD332:AJ332"/>
    <mergeCell ref="B333:H333"/>
    <mergeCell ref="I333:O333"/>
    <mergeCell ref="P333:V333"/>
    <mergeCell ref="W333:AC333"/>
    <mergeCell ref="AD333:AJ333"/>
    <mergeCell ref="B330:H330"/>
    <mergeCell ref="I330:O330"/>
    <mergeCell ref="P330:V330"/>
    <mergeCell ref="W330:AC330"/>
    <mergeCell ref="AD330:AJ330"/>
    <mergeCell ref="B331:H331"/>
    <mergeCell ref="I331:O331"/>
    <mergeCell ref="P331:V331"/>
    <mergeCell ref="W331:AC331"/>
    <mergeCell ref="AD331:AJ331"/>
    <mergeCell ref="B328:H328"/>
    <mergeCell ref="I328:O328"/>
    <mergeCell ref="P328:V328"/>
    <mergeCell ref="W328:AC328"/>
    <mergeCell ref="AD328:AJ328"/>
    <mergeCell ref="B329:H329"/>
    <mergeCell ref="I329:O329"/>
    <mergeCell ref="P329:V329"/>
    <mergeCell ref="W329:AC329"/>
    <mergeCell ref="AD329:AJ329"/>
    <mergeCell ref="B324:H327"/>
    <mergeCell ref="I324:O326"/>
    <mergeCell ref="P324:AJ324"/>
    <mergeCell ref="P325:V326"/>
    <mergeCell ref="W325:AC326"/>
    <mergeCell ref="AD325:AJ326"/>
    <mergeCell ref="I327:O327"/>
    <mergeCell ref="P327:V327"/>
    <mergeCell ref="W327:AC327"/>
    <mergeCell ref="AD327:AJ327"/>
    <mergeCell ref="B321:D321"/>
    <mergeCell ref="E321:K321"/>
    <mergeCell ref="L321:R321"/>
    <mergeCell ref="S321:Y321"/>
    <mergeCell ref="Z321:AF321"/>
    <mergeCell ref="AG321:AQ321"/>
    <mergeCell ref="B320:D320"/>
    <mergeCell ref="E320:K320"/>
    <mergeCell ref="L320:R320"/>
    <mergeCell ref="S320:Y320"/>
    <mergeCell ref="Z320:AF320"/>
    <mergeCell ref="AG320:AQ320"/>
    <mergeCell ref="B319:D319"/>
    <mergeCell ref="E319:K319"/>
    <mergeCell ref="L319:R319"/>
    <mergeCell ref="S319:Y319"/>
    <mergeCell ref="Z319:AF319"/>
    <mergeCell ref="AG319:AQ319"/>
    <mergeCell ref="B318:D318"/>
    <mergeCell ref="E318:K318"/>
    <mergeCell ref="L318:R318"/>
    <mergeCell ref="S318:Y318"/>
    <mergeCell ref="Z318:AF318"/>
    <mergeCell ref="AG318:AQ318"/>
    <mergeCell ref="B317:D317"/>
    <mergeCell ref="E317:K317"/>
    <mergeCell ref="L317:R317"/>
    <mergeCell ref="S317:Y317"/>
    <mergeCell ref="Z317:AF317"/>
    <mergeCell ref="AG317:AQ317"/>
    <mergeCell ref="B316:D316"/>
    <mergeCell ref="E316:K316"/>
    <mergeCell ref="L316:R316"/>
    <mergeCell ref="S316:Y316"/>
    <mergeCell ref="Z316:AF316"/>
    <mergeCell ref="AG316:AQ316"/>
    <mergeCell ref="B315:D315"/>
    <mergeCell ref="E315:K315"/>
    <mergeCell ref="L315:R315"/>
    <mergeCell ref="S315:Y315"/>
    <mergeCell ref="Z315:AF315"/>
    <mergeCell ref="AG315:AQ315"/>
    <mergeCell ref="B314:D314"/>
    <mergeCell ref="E314:K314"/>
    <mergeCell ref="L314:R314"/>
    <mergeCell ref="S314:Y314"/>
    <mergeCell ref="Z314:AF314"/>
    <mergeCell ref="AG314:AQ314"/>
    <mergeCell ref="B313:D313"/>
    <mergeCell ref="E313:K313"/>
    <mergeCell ref="L313:R313"/>
    <mergeCell ref="S313:Y313"/>
    <mergeCell ref="Z313:AF313"/>
    <mergeCell ref="AG313:AQ313"/>
    <mergeCell ref="B312:D312"/>
    <mergeCell ref="E312:K312"/>
    <mergeCell ref="L312:R312"/>
    <mergeCell ref="S312:Y312"/>
    <mergeCell ref="Z312:AF312"/>
    <mergeCell ref="AG312:AQ312"/>
    <mergeCell ref="B311:D311"/>
    <mergeCell ref="E311:K311"/>
    <mergeCell ref="L311:R311"/>
    <mergeCell ref="S311:Y311"/>
    <mergeCell ref="Z311:AF311"/>
    <mergeCell ref="AG311:AQ311"/>
    <mergeCell ref="B310:D310"/>
    <mergeCell ref="E310:K310"/>
    <mergeCell ref="L310:R310"/>
    <mergeCell ref="S310:Y310"/>
    <mergeCell ref="Z310:AF310"/>
    <mergeCell ref="AG310:AQ310"/>
    <mergeCell ref="B309:D309"/>
    <mergeCell ref="E309:K309"/>
    <mergeCell ref="L309:R309"/>
    <mergeCell ref="S309:Y309"/>
    <mergeCell ref="Z309:AF309"/>
    <mergeCell ref="AG309:AQ309"/>
    <mergeCell ref="B308:D308"/>
    <mergeCell ref="E308:K308"/>
    <mergeCell ref="L308:R308"/>
    <mergeCell ref="S308:Y308"/>
    <mergeCell ref="Z308:AF308"/>
    <mergeCell ref="AG308:AQ308"/>
    <mergeCell ref="B307:D307"/>
    <mergeCell ref="E307:K307"/>
    <mergeCell ref="L307:R307"/>
    <mergeCell ref="S307:Y307"/>
    <mergeCell ref="Z307:AF307"/>
    <mergeCell ref="AG307:AQ307"/>
    <mergeCell ref="B306:D306"/>
    <mergeCell ref="E306:K306"/>
    <mergeCell ref="L306:R306"/>
    <mergeCell ref="S306:Y306"/>
    <mergeCell ref="Z306:AF306"/>
    <mergeCell ref="AG306:AQ306"/>
    <mergeCell ref="B305:D305"/>
    <mergeCell ref="E305:K305"/>
    <mergeCell ref="L305:R305"/>
    <mergeCell ref="S305:Y305"/>
    <mergeCell ref="Z305:AF305"/>
    <mergeCell ref="AG305:AQ305"/>
    <mergeCell ref="B304:D304"/>
    <mergeCell ref="E304:K304"/>
    <mergeCell ref="L304:R304"/>
    <mergeCell ref="S304:Y304"/>
    <mergeCell ref="Z304:AF304"/>
    <mergeCell ref="AG304:AQ304"/>
    <mergeCell ref="AJ302:AQ302"/>
    <mergeCell ref="B303:D303"/>
    <mergeCell ref="E303:K303"/>
    <mergeCell ref="L303:R303"/>
    <mergeCell ref="S303:Y303"/>
    <mergeCell ref="Z303:AF303"/>
    <mergeCell ref="AJ303:AQ303"/>
    <mergeCell ref="B302:D302"/>
    <mergeCell ref="E302:K302"/>
    <mergeCell ref="L302:R302"/>
    <mergeCell ref="S302:Y302"/>
    <mergeCell ref="Z302:AF302"/>
    <mergeCell ref="AG302:AI302"/>
    <mergeCell ref="B301:D301"/>
    <mergeCell ref="E301:K301"/>
    <mergeCell ref="L301:R301"/>
    <mergeCell ref="S301:Y301"/>
    <mergeCell ref="Z301:AF301"/>
    <mergeCell ref="AG301:AQ301"/>
    <mergeCell ref="B300:D300"/>
    <mergeCell ref="E300:K300"/>
    <mergeCell ref="L300:R300"/>
    <mergeCell ref="S300:Y300"/>
    <mergeCell ref="Z300:AF300"/>
    <mergeCell ref="AG300:AQ300"/>
    <mergeCell ref="AJ298:AQ298"/>
    <mergeCell ref="B299:D299"/>
    <mergeCell ref="E299:K299"/>
    <mergeCell ref="L299:R299"/>
    <mergeCell ref="S299:Y299"/>
    <mergeCell ref="Z299:AF299"/>
    <mergeCell ref="AJ299:AQ299"/>
    <mergeCell ref="B298:D298"/>
    <mergeCell ref="E298:K298"/>
    <mergeCell ref="L298:R298"/>
    <mergeCell ref="S298:Y298"/>
    <mergeCell ref="Z298:AF298"/>
    <mergeCell ref="AG298:AI298"/>
    <mergeCell ref="B297:D297"/>
    <mergeCell ref="E297:K297"/>
    <mergeCell ref="L297:R297"/>
    <mergeCell ref="S297:Y297"/>
    <mergeCell ref="Z297:AF297"/>
    <mergeCell ref="AG297:AQ297"/>
    <mergeCell ref="B296:D296"/>
    <mergeCell ref="E296:K296"/>
    <mergeCell ref="L296:R296"/>
    <mergeCell ref="S296:Y296"/>
    <mergeCell ref="Z296:AF296"/>
    <mergeCell ref="AG296:AQ296"/>
    <mergeCell ref="AL294:AQ294"/>
    <mergeCell ref="B295:D295"/>
    <mergeCell ref="E295:K295"/>
    <mergeCell ref="L295:R295"/>
    <mergeCell ref="S295:Y295"/>
    <mergeCell ref="Z295:AF295"/>
    <mergeCell ref="AG295:AQ295"/>
    <mergeCell ref="B294:D294"/>
    <mergeCell ref="E294:K294"/>
    <mergeCell ref="L294:R294"/>
    <mergeCell ref="S294:Y294"/>
    <mergeCell ref="Z294:AF294"/>
    <mergeCell ref="AG294:AK294"/>
    <mergeCell ref="AG292:AQ292"/>
    <mergeCell ref="B293:D293"/>
    <mergeCell ref="E293:K293"/>
    <mergeCell ref="L293:R293"/>
    <mergeCell ref="S293:Y293"/>
    <mergeCell ref="Z293:AF293"/>
    <mergeCell ref="AG293:AK293"/>
    <mergeCell ref="AL293:AQ293"/>
    <mergeCell ref="Z291:AF291"/>
    <mergeCell ref="B292:D292"/>
    <mergeCell ref="E292:K292"/>
    <mergeCell ref="L292:R292"/>
    <mergeCell ref="S292:Y292"/>
    <mergeCell ref="Z292:AF292"/>
    <mergeCell ref="B289:D291"/>
    <mergeCell ref="E289:K290"/>
    <mergeCell ref="L289:AQ289"/>
    <mergeCell ref="L290:R290"/>
    <mergeCell ref="S290:Y290"/>
    <mergeCell ref="Z290:AF290"/>
    <mergeCell ref="AG290:AQ291"/>
    <mergeCell ref="E291:K291"/>
    <mergeCell ref="L291:R291"/>
    <mergeCell ref="S291:Y291"/>
    <mergeCell ref="B286:H286"/>
    <mergeCell ref="I286:O286"/>
    <mergeCell ref="P286:V286"/>
    <mergeCell ref="W286:AC286"/>
    <mergeCell ref="AD286:AJ286"/>
    <mergeCell ref="AK286:AQ286"/>
    <mergeCell ref="B285:H285"/>
    <mergeCell ref="I285:O285"/>
    <mergeCell ref="P285:V285"/>
    <mergeCell ref="W285:AC285"/>
    <mergeCell ref="AD285:AJ285"/>
    <mergeCell ref="AK285:AQ285"/>
    <mergeCell ref="B284:H284"/>
    <mergeCell ref="I284:O284"/>
    <mergeCell ref="P284:V284"/>
    <mergeCell ref="W284:AC284"/>
    <mergeCell ref="AD284:AJ284"/>
    <mergeCell ref="AK284:AQ284"/>
    <mergeCell ref="B283:H283"/>
    <mergeCell ref="I283:O283"/>
    <mergeCell ref="P283:V283"/>
    <mergeCell ref="W283:AC283"/>
    <mergeCell ref="AD283:AJ283"/>
    <mergeCell ref="AK283:AQ283"/>
    <mergeCell ref="B282:H282"/>
    <mergeCell ref="I282:O282"/>
    <mergeCell ref="P282:V282"/>
    <mergeCell ref="W282:AC282"/>
    <mergeCell ref="AD282:AJ282"/>
    <mergeCell ref="AK282:AQ282"/>
    <mergeCell ref="B281:H281"/>
    <mergeCell ref="I281:O281"/>
    <mergeCell ref="P281:V281"/>
    <mergeCell ref="W281:AC281"/>
    <mergeCell ref="AD281:AJ281"/>
    <mergeCell ref="AK281:AQ281"/>
    <mergeCell ref="B280:H280"/>
    <mergeCell ref="I280:O280"/>
    <mergeCell ref="P280:V280"/>
    <mergeCell ref="W280:AC280"/>
    <mergeCell ref="AD280:AJ280"/>
    <mergeCell ref="AK280:AQ280"/>
    <mergeCell ref="B279:H279"/>
    <mergeCell ref="I279:O279"/>
    <mergeCell ref="P279:V279"/>
    <mergeCell ref="W279:AC279"/>
    <mergeCell ref="AD279:AJ279"/>
    <mergeCell ref="AK279:AQ279"/>
    <mergeCell ref="B278:H278"/>
    <mergeCell ref="I278:O278"/>
    <mergeCell ref="P278:V278"/>
    <mergeCell ref="W278:AC278"/>
    <mergeCell ref="AD278:AJ278"/>
    <mergeCell ref="AK278:AQ278"/>
    <mergeCell ref="B277:H277"/>
    <mergeCell ref="I277:O277"/>
    <mergeCell ref="P277:V277"/>
    <mergeCell ref="W277:AC277"/>
    <mergeCell ref="AD277:AJ277"/>
    <mergeCell ref="AK277:AQ277"/>
    <mergeCell ref="B276:H276"/>
    <mergeCell ref="I276:O276"/>
    <mergeCell ref="P276:V276"/>
    <mergeCell ref="W276:AC276"/>
    <mergeCell ref="AD276:AJ276"/>
    <mergeCell ref="AK276:AQ276"/>
    <mergeCell ref="B275:H275"/>
    <mergeCell ref="I275:O275"/>
    <mergeCell ref="P275:V275"/>
    <mergeCell ref="W275:AC275"/>
    <mergeCell ref="AD275:AJ275"/>
    <mergeCell ref="AK275:AQ275"/>
    <mergeCell ref="B274:H274"/>
    <mergeCell ref="I274:O274"/>
    <mergeCell ref="P274:V274"/>
    <mergeCell ref="W274:AC274"/>
    <mergeCell ref="AD274:AJ274"/>
    <mergeCell ref="AK274:AQ274"/>
    <mergeCell ref="B273:H273"/>
    <mergeCell ref="I273:O273"/>
    <mergeCell ref="P273:V273"/>
    <mergeCell ref="W273:AC273"/>
    <mergeCell ref="AD273:AJ273"/>
    <mergeCell ref="AK273:AQ273"/>
    <mergeCell ref="B272:H272"/>
    <mergeCell ref="I272:O272"/>
    <mergeCell ref="P272:V272"/>
    <mergeCell ref="W272:AC272"/>
    <mergeCell ref="AD272:AJ272"/>
    <mergeCell ref="AK272:AQ272"/>
    <mergeCell ref="B271:H271"/>
    <mergeCell ref="I271:O271"/>
    <mergeCell ref="P271:V271"/>
    <mergeCell ref="W271:AC271"/>
    <mergeCell ref="AD271:AJ271"/>
    <mergeCell ref="AK271:AQ271"/>
    <mergeCell ref="B270:H270"/>
    <mergeCell ref="I270:O270"/>
    <mergeCell ref="P270:V270"/>
    <mergeCell ref="W270:AC270"/>
    <mergeCell ref="AD270:AJ270"/>
    <mergeCell ref="AK270:AQ270"/>
    <mergeCell ref="B269:H269"/>
    <mergeCell ref="I269:O269"/>
    <mergeCell ref="P269:V269"/>
    <mergeCell ref="W269:AC269"/>
    <mergeCell ref="AD269:AJ269"/>
    <mergeCell ref="AK269:AQ269"/>
    <mergeCell ref="AD263:AJ263"/>
    <mergeCell ref="AK263:AQ263"/>
    <mergeCell ref="B268:H268"/>
    <mergeCell ref="I268:O268"/>
    <mergeCell ref="P268:V268"/>
    <mergeCell ref="W268:AC268"/>
    <mergeCell ref="AD268:AJ268"/>
    <mergeCell ref="AK268:AQ268"/>
    <mergeCell ref="B267:H267"/>
    <mergeCell ref="I267:O267"/>
    <mergeCell ref="P267:V267"/>
    <mergeCell ref="W267:AC267"/>
    <mergeCell ref="AD267:AJ267"/>
    <mergeCell ref="AK267:AQ267"/>
    <mergeCell ref="B266:H266"/>
    <mergeCell ref="I266:O266"/>
    <mergeCell ref="P266:V266"/>
    <mergeCell ref="W266:AC266"/>
    <mergeCell ref="AD266:AJ266"/>
    <mergeCell ref="AK266:AQ266"/>
    <mergeCell ref="N250:AK250"/>
    <mergeCell ref="AL250:AW250"/>
    <mergeCell ref="N251:S251"/>
    <mergeCell ref="T251:Y251"/>
    <mergeCell ref="Z251:AE251"/>
    <mergeCell ref="AF251:AK251"/>
    <mergeCell ref="AL251:AQ251"/>
    <mergeCell ref="AR251:AW251"/>
    <mergeCell ref="AD261:AJ261"/>
    <mergeCell ref="AK261:AQ261"/>
    <mergeCell ref="B260:H260"/>
    <mergeCell ref="I260:O260"/>
    <mergeCell ref="P260:V260"/>
    <mergeCell ref="W260:AC260"/>
    <mergeCell ref="AD260:AJ260"/>
    <mergeCell ref="AK260:AQ260"/>
    <mergeCell ref="B265:H265"/>
    <mergeCell ref="I265:O265"/>
    <mergeCell ref="P265:V265"/>
    <mergeCell ref="W265:AC265"/>
    <mergeCell ref="AD265:AJ265"/>
    <mergeCell ref="AK265:AQ265"/>
    <mergeCell ref="B264:H264"/>
    <mergeCell ref="I264:O264"/>
    <mergeCell ref="P264:V264"/>
    <mergeCell ref="W264:AC264"/>
    <mergeCell ref="AD264:AJ264"/>
    <mergeCell ref="AK264:AQ264"/>
    <mergeCell ref="B263:H263"/>
    <mergeCell ref="I263:O263"/>
    <mergeCell ref="P263:V263"/>
    <mergeCell ref="W263:AC263"/>
    <mergeCell ref="AK258:AQ258"/>
    <mergeCell ref="B257:H257"/>
    <mergeCell ref="I257:O257"/>
    <mergeCell ref="P257:V257"/>
    <mergeCell ref="W257:AC257"/>
    <mergeCell ref="AD257:AJ257"/>
    <mergeCell ref="AK257:AQ257"/>
    <mergeCell ref="AR249:AW249"/>
    <mergeCell ref="B254:H256"/>
    <mergeCell ref="I254:O255"/>
    <mergeCell ref="P254:AQ254"/>
    <mergeCell ref="P255:V255"/>
    <mergeCell ref="W255:AC255"/>
    <mergeCell ref="AD255:AJ255"/>
    <mergeCell ref="AF248:AK248"/>
    <mergeCell ref="AL248:AQ248"/>
    <mergeCell ref="AR248:AW248"/>
    <mergeCell ref="B249:G249"/>
    <mergeCell ref="H249:M249"/>
    <mergeCell ref="N249:Q249"/>
    <mergeCell ref="R249:S249"/>
    <mergeCell ref="B251:G251"/>
    <mergeCell ref="H251:M251"/>
    <mergeCell ref="T249:Y249"/>
    <mergeCell ref="B248:G248"/>
    <mergeCell ref="H248:M248"/>
    <mergeCell ref="N248:S248"/>
    <mergeCell ref="B250:G250"/>
    <mergeCell ref="H250:M250"/>
    <mergeCell ref="T248:AE248"/>
    <mergeCell ref="AF249:AK249"/>
    <mergeCell ref="AL249:AQ249"/>
    <mergeCell ref="AR8:AW8"/>
    <mergeCell ref="C400:D400"/>
    <mergeCell ref="C399:D399"/>
    <mergeCell ref="C398:D398"/>
    <mergeCell ref="AK255:AQ255"/>
    <mergeCell ref="I256:O256"/>
    <mergeCell ref="P256:V256"/>
    <mergeCell ref="W256:AC256"/>
    <mergeCell ref="AD256:AJ256"/>
    <mergeCell ref="AK256:AQ256"/>
    <mergeCell ref="Z249:AE249"/>
    <mergeCell ref="B262:H262"/>
    <mergeCell ref="I262:O262"/>
    <mergeCell ref="P262:V262"/>
    <mergeCell ref="W262:AC262"/>
    <mergeCell ref="AD262:AJ262"/>
    <mergeCell ref="AK262:AQ262"/>
    <mergeCell ref="B261:H261"/>
    <mergeCell ref="I261:O261"/>
    <mergeCell ref="P261:V261"/>
    <mergeCell ref="W261:AC261"/>
    <mergeCell ref="B259:H259"/>
    <mergeCell ref="I259:O259"/>
    <mergeCell ref="P259:V259"/>
    <mergeCell ref="W259:AC259"/>
    <mergeCell ref="AD259:AJ259"/>
    <mergeCell ref="AK259:AQ259"/>
    <mergeCell ref="B258:H258"/>
    <mergeCell ref="I258:O258"/>
    <mergeCell ref="P258:V258"/>
    <mergeCell ref="W258:AC258"/>
    <mergeCell ref="AD258:AJ258"/>
  </mergeCells>
  <phoneticPr fontId="5" type="noConversion"/>
  <printOptions horizontalCentered="1"/>
  <pageMargins left="0.39370078740157483" right="0.39370078740157483" top="0.39370078740157483" bottom="0.39370078740157483" header="0.19685039370078741" footer="0.19685039370078741"/>
  <pageSetup paperSize="9" orientation="portrait" r:id="rId1"/>
  <headerFooter alignWithMargins="0">
    <oddFooter>&amp;L&amp;10F-02P-04-001 (Rev.00)&amp;C&amp;10&amp;P of &amp;N&amp;R&amp;"돋움,굵게"&amp;9(주)에이치시티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3"/>
  <sheetViews>
    <sheetView showGridLines="0" zoomScale="85" zoomScaleNormal="85" workbookViewId="0"/>
  </sheetViews>
  <sheetFormatPr defaultColWidth="9.77734375" defaultRowHeight="16.5" customHeight="1"/>
  <cols>
    <col min="1" max="1" width="2.77734375" style="62" customWidth="1"/>
    <col min="2" max="8" width="9.77734375" style="62"/>
    <col min="9" max="9" width="9.77734375" style="62" customWidth="1"/>
    <col min="10" max="16384" width="9.77734375" style="62"/>
  </cols>
  <sheetData>
    <row r="1" spans="1:37" ht="16.5" customHeight="1">
      <c r="A1" s="222" t="s">
        <v>136</v>
      </c>
    </row>
    <row r="2" spans="1:37" ht="15" customHeight="1">
      <c r="B2" s="225" t="s">
        <v>717</v>
      </c>
      <c r="D2" s="63"/>
      <c r="E2" s="63"/>
      <c r="F2" s="225"/>
      <c r="G2" s="63"/>
      <c r="H2" s="63"/>
      <c r="I2" s="63"/>
      <c r="J2" s="63"/>
      <c r="K2" s="63"/>
      <c r="L2" s="63"/>
      <c r="M2" s="225" t="s">
        <v>718</v>
      </c>
      <c r="N2" s="225"/>
      <c r="Y2" s="63"/>
      <c r="Z2" s="225" t="s">
        <v>719</v>
      </c>
      <c r="AA2" s="63"/>
      <c r="AB2" s="63"/>
      <c r="AC2" s="225" t="s">
        <v>720</v>
      </c>
    </row>
    <row r="3" spans="1:37" ht="15" customHeight="1">
      <c r="B3" s="412" t="s">
        <v>310</v>
      </c>
      <c r="C3" s="897" t="s">
        <v>721</v>
      </c>
      <c r="D3" s="898"/>
      <c r="E3" s="413" t="s">
        <v>307</v>
      </c>
      <c r="F3" s="897" t="s">
        <v>722</v>
      </c>
      <c r="G3" s="898"/>
      <c r="H3" s="414" t="s">
        <v>723</v>
      </c>
      <c r="I3" s="414" t="s">
        <v>724</v>
      </c>
      <c r="J3" s="414" t="s">
        <v>725</v>
      </c>
      <c r="K3" s="412" t="s">
        <v>726</v>
      </c>
      <c r="L3" s="63"/>
      <c r="M3" s="897" t="s">
        <v>295</v>
      </c>
      <c r="N3" s="898"/>
      <c r="O3" s="897" t="s">
        <v>727</v>
      </c>
      <c r="P3" s="898"/>
      <c r="Q3" s="897" t="s">
        <v>728</v>
      </c>
      <c r="R3" s="898"/>
      <c r="S3" s="897" t="s">
        <v>727</v>
      </c>
      <c r="T3" s="898"/>
      <c r="U3" s="897" t="s">
        <v>729</v>
      </c>
      <c r="V3" s="898"/>
      <c r="W3" s="897" t="s">
        <v>730</v>
      </c>
      <c r="X3" s="898"/>
      <c r="Z3" s="897" t="s">
        <v>731</v>
      </c>
      <c r="AA3" s="898"/>
      <c r="AC3" s="338" t="s">
        <v>71</v>
      </c>
      <c r="AD3" s="337" t="s">
        <v>306</v>
      </c>
      <c r="AE3" s="337" t="s">
        <v>308</v>
      </c>
      <c r="AF3" s="337" t="s">
        <v>133</v>
      </c>
      <c r="AG3" s="337" t="s">
        <v>134</v>
      </c>
      <c r="AH3" s="337" t="s">
        <v>311</v>
      </c>
      <c r="AI3" s="337" t="s">
        <v>312</v>
      </c>
      <c r="AJ3" s="337" t="s">
        <v>313</v>
      </c>
      <c r="AK3" s="337" t="s">
        <v>314</v>
      </c>
    </row>
    <row r="4" spans="1:37" ht="15" customHeight="1">
      <c r="B4" s="415">
        <f>Calcu!I103</f>
        <v>0</v>
      </c>
      <c r="C4" s="416">
        <f>Pressure_2_R1!D4</f>
        <v>0</v>
      </c>
      <c r="D4" s="417">
        <f>Pressure_2_R1!F4</f>
        <v>0</v>
      </c>
      <c r="E4" s="418" t="e">
        <f t="shared" ref="E4:E33" si="0">INDEX($AD$4:$AK$11,MATCH(D4,$AD$3:$AK$3,0),MATCH(G4,$AC$4:$AC$11,0))</f>
        <v>#N/A</v>
      </c>
      <c r="F4" s="419" t="e">
        <f>C4*E4</f>
        <v>#N/A</v>
      </c>
      <c r="G4" s="420">
        <f>Pressure_2_R1!F4</f>
        <v>0</v>
      </c>
      <c r="H4" s="421" t="e">
        <f ca="1">IF(TYPE(K4)=16,J4,K4)</f>
        <v>#N/A</v>
      </c>
      <c r="I4" s="422" t="str">
        <f ca="1">IF(TYPE(K4)=16,"압력교정기","분동식압력계")</f>
        <v>압력교정기</v>
      </c>
      <c r="J4" s="423" t="e">
        <f>압력교정기!N20</f>
        <v>#N/A</v>
      </c>
      <c r="K4" s="424" t="e">
        <f ca="1">분동식압력계!AJ19</f>
        <v>#DIV/0!</v>
      </c>
      <c r="L4" s="63"/>
      <c r="M4" s="425" t="str">
        <f ca="1">압력교정기!U20</f>
        <v/>
      </c>
      <c r="N4" s="426" t="str">
        <f ca="1">압력교정기!V20</f>
        <v/>
      </c>
      <c r="O4" s="427" t="e">
        <f ca="1">압력교정기!X20</f>
        <v>#VALUE!</v>
      </c>
      <c r="P4" s="428">
        <f>압력교정기!Y20</f>
        <v>0</v>
      </c>
      <c r="Q4" s="425" t="e">
        <f ca="1">분동식압력계!H19</f>
        <v>#N/A</v>
      </c>
      <c r="R4" s="426" t="str">
        <f>분동식압력계!I19</f>
        <v>% of Reading</v>
      </c>
      <c r="S4" s="427" t="e">
        <f ca="1">분동식압력계!K19</f>
        <v>#N/A</v>
      </c>
      <c r="T4" s="428">
        <f>분동식압력계!L19</f>
        <v>0</v>
      </c>
      <c r="U4" s="429" t="str">
        <f ca="1">IF(TYPE(K4)=16,M4,Q4)</f>
        <v/>
      </c>
      <c r="V4" s="430" t="str">
        <f ca="1">IF(TYPE(K4)=16,N4,R4)</f>
        <v/>
      </c>
      <c r="W4" s="431" t="e">
        <f ca="1">IF(TYPE(K4)=16,O4,S4)</f>
        <v>#VALUE!</v>
      </c>
      <c r="X4" s="432">
        <f t="shared" ref="X4:X33" si="1">G4</f>
        <v>0</v>
      </c>
      <c r="Z4" s="431" t="e">
        <f ca="1">IF(TYPE(K4)=16,압력교정기!AT20,0)</f>
        <v>#VALUE!</v>
      </c>
      <c r="AA4" s="432">
        <f>압력교정기!AU20</f>
        <v>0</v>
      </c>
      <c r="AC4" s="337" t="s">
        <v>306</v>
      </c>
      <c r="AD4" s="339">
        <f t="shared" ref="AD4:AD11" si="2">AF4*1000</f>
        <v>1</v>
      </c>
      <c r="AE4" s="339">
        <f>AF4*10</f>
        <v>0.01</v>
      </c>
      <c r="AF4" s="339">
        <f t="shared" ref="AF4:AF6" si="3">AG4*1000</f>
        <v>1E-3</v>
      </c>
      <c r="AG4" s="339">
        <v>9.9999999999999995E-7</v>
      </c>
      <c r="AH4" s="339">
        <f t="shared" ref="AH4:AH11" si="4">AJ4*1000</f>
        <v>1</v>
      </c>
      <c r="AI4" s="339">
        <f>AJ4*10</f>
        <v>0.01</v>
      </c>
      <c r="AJ4" s="339">
        <f t="shared" ref="AJ4:AJ6" si="5">AK4*1000</f>
        <v>1E-3</v>
      </c>
      <c r="AK4" s="339">
        <v>9.9999999999999995E-7</v>
      </c>
    </row>
    <row r="5" spans="1:37" ht="15" customHeight="1">
      <c r="B5" s="433">
        <f>B4</f>
        <v>0</v>
      </c>
      <c r="C5" s="416">
        <f>Pressure_2_R1!D5</f>
        <v>0</v>
      </c>
      <c r="D5" s="417">
        <f>Pressure_2_R1!F5</f>
        <v>0</v>
      </c>
      <c r="E5" s="418" t="e">
        <f t="shared" si="0"/>
        <v>#N/A</v>
      </c>
      <c r="F5" s="419" t="e">
        <f t="shared" ref="F5:F33" si="6">C5*E5</f>
        <v>#N/A</v>
      </c>
      <c r="G5" s="434">
        <f>G4</f>
        <v>0</v>
      </c>
      <c r="H5" s="421" t="e">
        <f t="shared" ref="H5:H33" ca="1" si="7">IF(TYPE(K5)=16,J5,K5)</f>
        <v>#N/A</v>
      </c>
      <c r="I5" s="422" t="str">
        <f t="shared" ref="I5:I33" ca="1" si="8">IF(TYPE(K5)=16,"압력교정기","분동식압력계")</f>
        <v>압력교정기</v>
      </c>
      <c r="J5" s="423" t="e">
        <f>압력교정기!N21</f>
        <v>#N/A</v>
      </c>
      <c r="K5" s="424" t="e">
        <f ca="1">분동식압력계!AJ20</f>
        <v>#DIV/0!</v>
      </c>
      <c r="L5" s="435"/>
      <c r="M5" s="425" t="str">
        <f ca="1">압력교정기!U21</f>
        <v/>
      </c>
      <c r="N5" s="426" t="str">
        <f ca="1">압력교정기!V21</f>
        <v/>
      </c>
      <c r="O5" s="427" t="e">
        <f ca="1">압력교정기!X21</f>
        <v>#VALUE!</v>
      </c>
      <c r="P5" s="428">
        <f>압력교정기!Y21</f>
        <v>0</v>
      </c>
      <c r="Q5" s="425" t="e">
        <f ca="1">분동식압력계!H20</f>
        <v>#N/A</v>
      </c>
      <c r="R5" s="426" t="str">
        <f>분동식압력계!I20</f>
        <v>% of Reading</v>
      </c>
      <c r="S5" s="427" t="e">
        <f ca="1">분동식압력계!K20</f>
        <v>#N/A</v>
      </c>
      <c r="T5" s="428">
        <f>분동식압력계!L20</f>
        <v>0</v>
      </c>
      <c r="U5" s="429" t="str">
        <f t="shared" ref="U5:U33" ca="1" si="9">IF(TYPE(K5)=16,M5,Q5)</f>
        <v/>
      </c>
      <c r="V5" s="430" t="str">
        <f t="shared" ref="V5:V33" ca="1" si="10">IF(TYPE(K5)=16,N5,R5)</f>
        <v/>
      </c>
      <c r="W5" s="431" t="e">
        <f t="shared" ref="W5:W33" ca="1" si="11">IF(TYPE(K5)=16,O5,S5)</f>
        <v>#VALUE!</v>
      </c>
      <c r="X5" s="432">
        <f t="shared" si="1"/>
        <v>0</v>
      </c>
      <c r="Z5" s="431" t="e">
        <f ca="1">IF(TYPE(K5)=16,압력교정기!AT21,0)</f>
        <v>#VALUE!</v>
      </c>
      <c r="AA5" s="432">
        <f>압력교정기!AU21</f>
        <v>0</v>
      </c>
      <c r="AC5" s="337" t="s">
        <v>308</v>
      </c>
      <c r="AD5" s="339">
        <f t="shared" si="2"/>
        <v>100</v>
      </c>
      <c r="AE5" s="339">
        <f t="shared" ref="AE5:AE11" si="12">AF5*10</f>
        <v>1</v>
      </c>
      <c r="AF5" s="339">
        <f t="shared" si="3"/>
        <v>0.1</v>
      </c>
      <c r="AG5" s="339">
        <v>1E-4</v>
      </c>
      <c r="AH5" s="339">
        <f t="shared" si="4"/>
        <v>100</v>
      </c>
      <c r="AI5" s="339">
        <f t="shared" ref="AI5:AI11" si="13">AJ5*10</f>
        <v>1</v>
      </c>
      <c r="AJ5" s="339">
        <f t="shared" si="5"/>
        <v>0.1</v>
      </c>
      <c r="AK5" s="339">
        <v>1E-4</v>
      </c>
    </row>
    <row r="6" spans="1:37" ht="15" customHeight="1">
      <c r="B6" s="433">
        <f t="shared" ref="B6:B33" si="14">B5</f>
        <v>0</v>
      </c>
      <c r="C6" s="416">
        <f>Pressure_2_R1!D6</f>
        <v>0</v>
      </c>
      <c r="D6" s="417">
        <f>Pressure_2_R1!F6</f>
        <v>0</v>
      </c>
      <c r="E6" s="418" t="e">
        <f t="shared" si="0"/>
        <v>#N/A</v>
      </c>
      <c r="F6" s="419" t="e">
        <f t="shared" si="6"/>
        <v>#N/A</v>
      </c>
      <c r="G6" s="434">
        <f t="shared" ref="G6:G33" si="15">G5</f>
        <v>0</v>
      </c>
      <c r="H6" s="421" t="e">
        <f t="shared" ca="1" si="7"/>
        <v>#N/A</v>
      </c>
      <c r="I6" s="422" t="str">
        <f t="shared" ca="1" si="8"/>
        <v>압력교정기</v>
      </c>
      <c r="J6" s="423" t="e">
        <f>압력교정기!N22</f>
        <v>#N/A</v>
      </c>
      <c r="K6" s="424" t="e">
        <f ca="1">분동식압력계!AJ21</f>
        <v>#DIV/0!</v>
      </c>
      <c r="L6" s="435"/>
      <c r="M6" s="425" t="str">
        <f ca="1">압력교정기!U22</f>
        <v/>
      </c>
      <c r="N6" s="426" t="str">
        <f ca="1">압력교정기!V22</f>
        <v/>
      </c>
      <c r="O6" s="427" t="e">
        <f ca="1">압력교정기!X22</f>
        <v>#VALUE!</v>
      </c>
      <c r="P6" s="428">
        <f>압력교정기!Y22</f>
        <v>0</v>
      </c>
      <c r="Q6" s="425" t="e">
        <f ca="1">분동식압력계!H21</f>
        <v>#N/A</v>
      </c>
      <c r="R6" s="426" t="str">
        <f>분동식압력계!I21</f>
        <v>% of Reading</v>
      </c>
      <c r="S6" s="427" t="e">
        <f ca="1">분동식압력계!K21</f>
        <v>#N/A</v>
      </c>
      <c r="T6" s="428">
        <f>분동식압력계!L21</f>
        <v>0</v>
      </c>
      <c r="U6" s="429" t="str">
        <f t="shared" ca="1" si="9"/>
        <v/>
      </c>
      <c r="V6" s="430" t="str">
        <f t="shared" ca="1" si="10"/>
        <v/>
      </c>
      <c r="W6" s="431" t="e">
        <f t="shared" ca="1" si="11"/>
        <v>#VALUE!</v>
      </c>
      <c r="X6" s="432">
        <f t="shared" si="1"/>
        <v>0</v>
      </c>
      <c r="Z6" s="431" t="e">
        <f ca="1">IF(TYPE(K6)=16,압력교정기!AT22,0)</f>
        <v>#VALUE!</v>
      </c>
      <c r="AA6" s="432">
        <f>압력교정기!AU22</f>
        <v>0</v>
      </c>
      <c r="AC6" s="337" t="s">
        <v>133</v>
      </c>
      <c r="AD6" s="339">
        <f t="shared" si="2"/>
        <v>1000</v>
      </c>
      <c r="AE6" s="339">
        <f t="shared" si="12"/>
        <v>10</v>
      </c>
      <c r="AF6" s="339">
        <f t="shared" si="3"/>
        <v>1</v>
      </c>
      <c r="AG6" s="339">
        <v>1E-3</v>
      </c>
      <c r="AH6" s="339">
        <f t="shared" si="4"/>
        <v>1000</v>
      </c>
      <c r="AI6" s="339">
        <f t="shared" si="13"/>
        <v>10</v>
      </c>
      <c r="AJ6" s="339">
        <f t="shared" si="5"/>
        <v>1</v>
      </c>
      <c r="AK6" s="339">
        <v>1E-3</v>
      </c>
    </row>
    <row r="7" spans="1:37" ht="15" customHeight="1">
      <c r="B7" s="433">
        <f t="shared" si="14"/>
        <v>0</v>
      </c>
      <c r="C7" s="416">
        <f>Pressure_2_R1!D7</f>
        <v>0</v>
      </c>
      <c r="D7" s="417">
        <f>Pressure_2_R1!F7</f>
        <v>0</v>
      </c>
      <c r="E7" s="418" t="e">
        <f t="shared" si="0"/>
        <v>#N/A</v>
      </c>
      <c r="F7" s="419" t="e">
        <f t="shared" si="6"/>
        <v>#N/A</v>
      </c>
      <c r="G7" s="434">
        <f t="shared" si="15"/>
        <v>0</v>
      </c>
      <c r="H7" s="421" t="e">
        <f t="shared" ca="1" si="7"/>
        <v>#N/A</v>
      </c>
      <c r="I7" s="422" t="str">
        <f t="shared" ca="1" si="8"/>
        <v>압력교정기</v>
      </c>
      <c r="J7" s="423" t="e">
        <f>압력교정기!N23</f>
        <v>#N/A</v>
      </c>
      <c r="K7" s="424" t="e">
        <f ca="1">분동식압력계!AJ22</f>
        <v>#DIV/0!</v>
      </c>
      <c r="L7" s="435"/>
      <c r="M7" s="425" t="str">
        <f ca="1">압력교정기!U23</f>
        <v/>
      </c>
      <c r="N7" s="426" t="str">
        <f ca="1">압력교정기!V23</f>
        <v/>
      </c>
      <c r="O7" s="427" t="e">
        <f ca="1">압력교정기!X23</f>
        <v>#VALUE!</v>
      </c>
      <c r="P7" s="428">
        <f>압력교정기!Y23</f>
        <v>0</v>
      </c>
      <c r="Q7" s="425" t="e">
        <f ca="1">분동식압력계!H22</f>
        <v>#N/A</v>
      </c>
      <c r="R7" s="426" t="str">
        <f>분동식압력계!I22</f>
        <v>% of Reading</v>
      </c>
      <c r="S7" s="427" t="e">
        <f ca="1">분동식압력계!K22</f>
        <v>#N/A</v>
      </c>
      <c r="T7" s="428">
        <f>분동식압력계!L22</f>
        <v>0</v>
      </c>
      <c r="U7" s="429" t="str">
        <f t="shared" ca="1" si="9"/>
        <v/>
      </c>
      <c r="V7" s="430" t="str">
        <f t="shared" ca="1" si="10"/>
        <v/>
      </c>
      <c r="W7" s="431" t="e">
        <f t="shared" ca="1" si="11"/>
        <v>#VALUE!</v>
      </c>
      <c r="X7" s="432">
        <f t="shared" si="1"/>
        <v>0</v>
      </c>
      <c r="Z7" s="431" t="e">
        <f ca="1">IF(TYPE(K7)=16,압력교정기!AT23,0)</f>
        <v>#VALUE!</v>
      </c>
      <c r="AA7" s="432">
        <f>압력교정기!AU23</f>
        <v>0</v>
      </c>
      <c r="AC7" s="337" t="s">
        <v>134</v>
      </c>
      <c r="AD7" s="339">
        <f t="shared" si="2"/>
        <v>1000000</v>
      </c>
      <c r="AE7" s="339">
        <f t="shared" si="12"/>
        <v>10000</v>
      </c>
      <c r="AF7" s="339">
        <f>AG7*1000</f>
        <v>1000</v>
      </c>
      <c r="AG7" s="339">
        <v>1</v>
      </c>
      <c r="AH7" s="339">
        <f t="shared" si="4"/>
        <v>1000000</v>
      </c>
      <c r="AI7" s="339">
        <f t="shared" si="13"/>
        <v>10000</v>
      </c>
      <c r="AJ7" s="339">
        <f>AK7*1000</f>
        <v>1000</v>
      </c>
      <c r="AK7" s="339">
        <v>1</v>
      </c>
    </row>
    <row r="8" spans="1:37" ht="15" customHeight="1">
      <c r="B8" s="433">
        <f t="shared" si="14"/>
        <v>0</v>
      </c>
      <c r="C8" s="416">
        <f>Pressure_2_R1!D8</f>
        <v>0</v>
      </c>
      <c r="D8" s="417">
        <f>Pressure_2_R1!F8</f>
        <v>0</v>
      </c>
      <c r="E8" s="418" t="e">
        <f t="shared" si="0"/>
        <v>#N/A</v>
      </c>
      <c r="F8" s="419" t="e">
        <f t="shared" si="6"/>
        <v>#N/A</v>
      </c>
      <c r="G8" s="434">
        <f t="shared" si="15"/>
        <v>0</v>
      </c>
      <c r="H8" s="421" t="e">
        <f t="shared" ca="1" si="7"/>
        <v>#N/A</v>
      </c>
      <c r="I8" s="422" t="str">
        <f t="shared" ca="1" si="8"/>
        <v>압력교정기</v>
      </c>
      <c r="J8" s="423" t="e">
        <f>압력교정기!N24</f>
        <v>#N/A</v>
      </c>
      <c r="K8" s="424" t="e">
        <f ca="1">분동식압력계!AJ23</f>
        <v>#DIV/0!</v>
      </c>
      <c r="L8" s="435"/>
      <c r="M8" s="425" t="str">
        <f ca="1">압력교정기!U24</f>
        <v/>
      </c>
      <c r="N8" s="426" t="str">
        <f ca="1">압력교정기!V24</f>
        <v/>
      </c>
      <c r="O8" s="427" t="e">
        <f ca="1">압력교정기!X24</f>
        <v>#VALUE!</v>
      </c>
      <c r="P8" s="428">
        <f>압력교정기!Y24</f>
        <v>0</v>
      </c>
      <c r="Q8" s="425" t="e">
        <f ca="1">분동식압력계!H23</f>
        <v>#N/A</v>
      </c>
      <c r="R8" s="426" t="str">
        <f>분동식압력계!I23</f>
        <v>% of Reading</v>
      </c>
      <c r="S8" s="427" t="e">
        <f ca="1">분동식압력계!K23</f>
        <v>#N/A</v>
      </c>
      <c r="T8" s="428">
        <f>분동식압력계!L23</f>
        <v>0</v>
      </c>
      <c r="U8" s="429" t="str">
        <f t="shared" ca="1" si="9"/>
        <v/>
      </c>
      <c r="V8" s="430" t="str">
        <f t="shared" ca="1" si="10"/>
        <v/>
      </c>
      <c r="W8" s="431" t="e">
        <f t="shared" ca="1" si="11"/>
        <v>#VALUE!</v>
      </c>
      <c r="X8" s="432">
        <f t="shared" si="1"/>
        <v>0</v>
      </c>
      <c r="Z8" s="431" t="e">
        <f ca="1">IF(TYPE(K8)=16,압력교정기!AT24,0)</f>
        <v>#VALUE!</v>
      </c>
      <c r="AA8" s="432">
        <f>압력교정기!AU24</f>
        <v>0</v>
      </c>
      <c r="AC8" s="337" t="s">
        <v>311</v>
      </c>
      <c r="AD8" s="339">
        <f t="shared" si="2"/>
        <v>1</v>
      </c>
      <c r="AE8" s="339">
        <f t="shared" si="12"/>
        <v>0.01</v>
      </c>
      <c r="AF8" s="339">
        <f t="shared" ref="AF8:AF10" si="16">AG8*1000</f>
        <v>1E-3</v>
      </c>
      <c r="AG8" s="339">
        <v>9.9999999999999995E-7</v>
      </c>
      <c r="AH8" s="339">
        <f t="shared" si="4"/>
        <v>1</v>
      </c>
      <c r="AI8" s="339">
        <f t="shared" si="13"/>
        <v>0.01</v>
      </c>
      <c r="AJ8" s="339">
        <f t="shared" ref="AJ8:AJ10" si="17">AK8*1000</f>
        <v>1E-3</v>
      </c>
      <c r="AK8" s="339">
        <v>9.9999999999999995E-7</v>
      </c>
    </row>
    <row r="9" spans="1:37" ht="15" customHeight="1">
      <c r="B9" s="433">
        <f t="shared" si="14"/>
        <v>0</v>
      </c>
      <c r="C9" s="416">
        <f>Pressure_2_R1!D9</f>
        <v>0</v>
      </c>
      <c r="D9" s="417">
        <f>Pressure_2_R1!F9</f>
        <v>0</v>
      </c>
      <c r="E9" s="418" t="e">
        <f t="shared" si="0"/>
        <v>#N/A</v>
      </c>
      <c r="F9" s="419" t="e">
        <f t="shared" si="6"/>
        <v>#N/A</v>
      </c>
      <c r="G9" s="434">
        <f t="shared" si="15"/>
        <v>0</v>
      </c>
      <c r="H9" s="421" t="e">
        <f t="shared" ca="1" si="7"/>
        <v>#N/A</v>
      </c>
      <c r="I9" s="422" t="str">
        <f t="shared" ca="1" si="8"/>
        <v>압력교정기</v>
      </c>
      <c r="J9" s="423" t="e">
        <f>압력교정기!N25</f>
        <v>#N/A</v>
      </c>
      <c r="K9" s="424" t="e">
        <f ca="1">분동식압력계!AJ24</f>
        <v>#DIV/0!</v>
      </c>
      <c r="L9" s="435"/>
      <c r="M9" s="425" t="str">
        <f ca="1">압력교정기!U25</f>
        <v/>
      </c>
      <c r="N9" s="426" t="str">
        <f ca="1">압력교정기!V25</f>
        <v/>
      </c>
      <c r="O9" s="427" t="e">
        <f ca="1">압력교정기!X25</f>
        <v>#VALUE!</v>
      </c>
      <c r="P9" s="428">
        <f>압력교정기!Y25</f>
        <v>0</v>
      </c>
      <c r="Q9" s="425" t="e">
        <f ca="1">분동식압력계!H24</f>
        <v>#N/A</v>
      </c>
      <c r="R9" s="426" t="str">
        <f>분동식압력계!I24</f>
        <v>% of Reading</v>
      </c>
      <c r="S9" s="427" t="e">
        <f ca="1">분동식압력계!K24</f>
        <v>#N/A</v>
      </c>
      <c r="T9" s="428">
        <f>분동식압력계!L24</f>
        <v>0</v>
      </c>
      <c r="U9" s="429" t="str">
        <f t="shared" ca="1" si="9"/>
        <v/>
      </c>
      <c r="V9" s="430" t="str">
        <f t="shared" ca="1" si="10"/>
        <v/>
      </c>
      <c r="W9" s="431" t="e">
        <f t="shared" ca="1" si="11"/>
        <v>#VALUE!</v>
      </c>
      <c r="X9" s="432">
        <f t="shared" si="1"/>
        <v>0</v>
      </c>
      <c r="Z9" s="431" t="e">
        <f ca="1">IF(TYPE(K9)=16,압력교정기!AT25,0)</f>
        <v>#VALUE!</v>
      </c>
      <c r="AA9" s="432">
        <f>압력교정기!AU25</f>
        <v>0</v>
      </c>
      <c r="AC9" s="337" t="s">
        <v>312</v>
      </c>
      <c r="AD9" s="339">
        <f t="shared" si="2"/>
        <v>100</v>
      </c>
      <c r="AE9" s="339">
        <f t="shared" si="12"/>
        <v>1</v>
      </c>
      <c r="AF9" s="339">
        <f t="shared" si="16"/>
        <v>0.1</v>
      </c>
      <c r="AG9" s="339">
        <v>1E-4</v>
      </c>
      <c r="AH9" s="339">
        <f t="shared" si="4"/>
        <v>100</v>
      </c>
      <c r="AI9" s="339">
        <f t="shared" si="13"/>
        <v>1</v>
      </c>
      <c r="AJ9" s="339">
        <f t="shared" si="17"/>
        <v>0.1</v>
      </c>
      <c r="AK9" s="339">
        <v>1E-4</v>
      </c>
    </row>
    <row r="10" spans="1:37" ht="15" customHeight="1">
      <c r="B10" s="433">
        <f t="shared" si="14"/>
        <v>0</v>
      </c>
      <c r="C10" s="416">
        <f>Pressure_2_R1!D10</f>
        <v>0</v>
      </c>
      <c r="D10" s="417">
        <f>Pressure_2_R1!F10</f>
        <v>0</v>
      </c>
      <c r="E10" s="418" t="e">
        <f t="shared" si="0"/>
        <v>#N/A</v>
      </c>
      <c r="F10" s="419" t="e">
        <f t="shared" si="6"/>
        <v>#N/A</v>
      </c>
      <c r="G10" s="434">
        <f t="shared" si="15"/>
        <v>0</v>
      </c>
      <c r="H10" s="421" t="e">
        <f t="shared" ca="1" si="7"/>
        <v>#N/A</v>
      </c>
      <c r="I10" s="422" t="str">
        <f t="shared" ca="1" si="8"/>
        <v>압력교정기</v>
      </c>
      <c r="J10" s="423" t="e">
        <f>압력교정기!N26</f>
        <v>#N/A</v>
      </c>
      <c r="K10" s="424" t="e">
        <f ca="1">분동식압력계!AJ25</f>
        <v>#DIV/0!</v>
      </c>
      <c r="L10" s="435"/>
      <c r="M10" s="425" t="str">
        <f ca="1">압력교정기!U26</f>
        <v/>
      </c>
      <c r="N10" s="426" t="str">
        <f ca="1">압력교정기!V26</f>
        <v/>
      </c>
      <c r="O10" s="427" t="e">
        <f ca="1">압력교정기!X26</f>
        <v>#VALUE!</v>
      </c>
      <c r="P10" s="428">
        <f>압력교정기!Y26</f>
        <v>0</v>
      </c>
      <c r="Q10" s="425" t="e">
        <f ca="1">분동식압력계!H25</f>
        <v>#N/A</v>
      </c>
      <c r="R10" s="426" t="str">
        <f>분동식압력계!I25</f>
        <v>% of Reading</v>
      </c>
      <c r="S10" s="427" t="e">
        <f ca="1">분동식압력계!K25</f>
        <v>#N/A</v>
      </c>
      <c r="T10" s="428">
        <f>분동식압력계!L25</f>
        <v>0</v>
      </c>
      <c r="U10" s="429" t="str">
        <f t="shared" ca="1" si="9"/>
        <v/>
      </c>
      <c r="V10" s="430" t="str">
        <f t="shared" ca="1" si="10"/>
        <v/>
      </c>
      <c r="W10" s="431" t="e">
        <f t="shared" ca="1" si="11"/>
        <v>#VALUE!</v>
      </c>
      <c r="X10" s="432">
        <f t="shared" si="1"/>
        <v>0</v>
      </c>
      <c r="Z10" s="431" t="e">
        <f ca="1">IF(TYPE(K10)=16,압력교정기!AT26,0)</f>
        <v>#VALUE!</v>
      </c>
      <c r="AA10" s="432">
        <f>압력교정기!AU26</f>
        <v>0</v>
      </c>
      <c r="AC10" s="337" t="s">
        <v>313</v>
      </c>
      <c r="AD10" s="339">
        <f t="shared" si="2"/>
        <v>1000</v>
      </c>
      <c r="AE10" s="339">
        <f t="shared" si="12"/>
        <v>10</v>
      </c>
      <c r="AF10" s="339">
        <f t="shared" si="16"/>
        <v>1</v>
      </c>
      <c r="AG10" s="339">
        <v>1E-3</v>
      </c>
      <c r="AH10" s="339">
        <f t="shared" si="4"/>
        <v>1000</v>
      </c>
      <c r="AI10" s="339">
        <f t="shared" si="13"/>
        <v>10</v>
      </c>
      <c r="AJ10" s="339">
        <f t="shared" si="17"/>
        <v>1</v>
      </c>
      <c r="AK10" s="339">
        <v>1E-3</v>
      </c>
    </row>
    <row r="11" spans="1:37" ht="15" customHeight="1">
      <c r="B11" s="433">
        <f t="shared" si="14"/>
        <v>0</v>
      </c>
      <c r="C11" s="416">
        <f>Pressure_2_R1!D11</f>
        <v>0</v>
      </c>
      <c r="D11" s="417">
        <f>Pressure_2_R1!F11</f>
        <v>0</v>
      </c>
      <c r="E11" s="418" t="e">
        <f t="shared" si="0"/>
        <v>#N/A</v>
      </c>
      <c r="F11" s="419" t="e">
        <f t="shared" si="6"/>
        <v>#N/A</v>
      </c>
      <c r="G11" s="434">
        <f t="shared" si="15"/>
        <v>0</v>
      </c>
      <c r="H11" s="421" t="e">
        <f t="shared" ca="1" si="7"/>
        <v>#N/A</v>
      </c>
      <c r="I11" s="422" t="str">
        <f t="shared" ca="1" si="8"/>
        <v>압력교정기</v>
      </c>
      <c r="J11" s="423" t="e">
        <f>압력교정기!N27</f>
        <v>#N/A</v>
      </c>
      <c r="K11" s="424" t="e">
        <f ca="1">분동식압력계!AJ26</f>
        <v>#DIV/0!</v>
      </c>
      <c r="L11" s="435"/>
      <c r="M11" s="425" t="str">
        <f ca="1">압력교정기!U27</f>
        <v/>
      </c>
      <c r="N11" s="426" t="str">
        <f ca="1">압력교정기!V27</f>
        <v/>
      </c>
      <c r="O11" s="427" t="e">
        <f ca="1">압력교정기!X27</f>
        <v>#VALUE!</v>
      </c>
      <c r="P11" s="428">
        <f>압력교정기!Y27</f>
        <v>0</v>
      </c>
      <c r="Q11" s="425" t="e">
        <f ca="1">분동식압력계!H26</f>
        <v>#N/A</v>
      </c>
      <c r="R11" s="426" t="str">
        <f>분동식압력계!I26</f>
        <v>% of Reading</v>
      </c>
      <c r="S11" s="427" t="e">
        <f ca="1">분동식압력계!K26</f>
        <v>#N/A</v>
      </c>
      <c r="T11" s="428">
        <f>분동식압력계!L26</f>
        <v>0</v>
      </c>
      <c r="U11" s="429" t="str">
        <f t="shared" ca="1" si="9"/>
        <v/>
      </c>
      <c r="V11" s="430" t="str">
        <f t="shared" ca="1" si="10"/>
        <v/>
      </c>
      <c r="W11" s="431" t="e">
        <f t="shared" ca="1" si="11"/>
        <v>#VALUE!</v>
      </c>
      <c r="X11" s="432">
        <f t="shared" si="1"/>
        <v>0</v>
      </c>
      <c r="Z11" s="431" t="e">
        <f ca="1">IF(TYPE(K11)=16,압력교정기!AT27,0)</f>
        <v>#VALUE!</v>
      </c>
      <c r="AA11" s="432">
        <f>압력교정기!AU27</f>
        <v>0</v>
      </c>
      <c r="AC11" s="337" t="s">
        <v>314</v>
      </c>
      <c r="AD11" s="339">
        <f t="shared" si="2"/>
        <v>1000000</v>
      </c>
      <c r="AE11" s="339">
        <f t="shared" si="12"/>
        <v>10000</v>
      </c>
      <c r="AF11" s="339">
        <f>AG11*1000</f>
        <v>1000</v>
      </c>
      <c r="AG11" s="339">
        <v>1</v>
      </c>
      <c r="AH11" s="339">
        <f t="shared" si="4"/>
        <v>1000000</v>
      </c>
      <c r="AI11" s="339">
        <f t="shared" si="13"/>
        <v>10000</v>
      </c>
      <c r="AJ11" s="339">
        <f>AK11*1000</f>
        <v>1000</v>
      </c>
      <c r="AK11" s="339">
        <v>1</v>
      </c>
    </row>
    <row r="12" spans="1:37" ht="15" customHeight="1">
      <c r="B12" s="433">
        <f t="shared" si="14"/>
        <v>0</v>
      </c>
      <c r="C12" s="416">
        <f>Pressure_2_R1!D12</f>
        <v>0</v>
      </c>
      <c r="D12" s="417">
        <f>Pressure_2_R1!F12</f>
        <v>0</v>
      </c>
      <c r="E12" s="418" t="e">
        <f t="shared" si="0"/>
        <v>#N/A</v>
      </c>
      <c r="F12" s="419" t="e">
        <f t="shared" si="6"/>
        <v>#N/A</v>
      </c>
      <c r="G12" s="434">
        <f t="shared" si="15"/>
        <v>0</v>
      </c>
      <c r="H12" s="421" t="e">
        <f t="shared" ca="1" si="7"/>
        <v>#N/A</v>
      </c>
      <c r="I12" s="422" t="str">
        <f t="shared" ca="1" si="8"/>
        <v>압력교정기</v>
      </c>
      <c r="J12" s="423" t="e">
        <f>압력교정기!N28</f>
        <v>#N/A</v>
      </c>
      <c r="K12" s="424" t="e">
        <f ca="1">분동식압력계!AJ27</f>
        <v>#DIV/0!</v>
      </c>
      <c r="L12" s="435"/>
      <c r="M12" s="425" t="str">
        <f ca="1">압력교정기!U28</f>
        <v/>
      </c>
      <c r="N12" s="426" t="str">
        <f ca="1">압력교정기!V28</f>
        <v/>
      </c>
      <c r="O12" s="427" t="e">
        <f ca="1">압력교정기!X28</f>
        <v>#VALUE!</v>
      </c>
      <c r="P12" s="428">
        <f>압력교정기!Y28</f>
        <v>0</v>
      </c>
      <c r="Q12" s="425" t="e">
        <f ca="1">분동식압력계!H27</f>
        <v>#N/A</v>
      </c>
      <c r="R12" s="426" t="str">
        <f>분동식압력계!I27</f>
        <v>% of Reading</v>
      </c>
      <c r="S12" s="427" t="e">
        <f ca="1">분동식압력계!K27</f>
        <v>#N/A</v>
      </c>
      <c r="T12" s="428">
        <f>분동식압력계!L27</f>
        <v>0</v>
      </c>
      <c r="U12" s="429" t="str">
        <f t="shared" ca="1" si="9"/>
        <v/>
      </c>
      <c r="V12" s="430" t="str">
        <f t="shared" ca="1" si="10"/>
        <v/>
      </c>
      <c r="W12" s="431" t="e">
        <f t="shared" ca="1" si="11"/>
        <v>#VALUE!</v>
      </c>
      <c r="X12" s="432">
        <f t="shared" si="1"/>
        <v>0</v>
      </c>
      <c r="Z12" s="431" t="e">
        <f ca="1">IF(TYPE(K12)=16,압력교정기!AT28,0)</f>
        <v>#VALUE!</v>
      </c>
      <c r="AA12" s="432">
        <f>압력교정기!AU28</f>
        <v>0</v>
      </c>
    </row>
    <row r="13" spans="1:37" ht="15" customHeight="1">
      <c r="B13" s="433">
        <f t="shared" si="14"/>
        <v>0</v>
      </c>
      <c r="C13" s="416">
        <f>Pressure_2_R1!D13</f>
        <v>0</v>
      </c>
      <c r="D13" s="417">
        <f>Pressure_2_R1!F13</f>
        <v>0</v>
      </c>
      <c r="E13" s="418" t="e">
        <f t="shared" si="0"/>
        <v>#N/A</v>
      </c>
      <c r="F13" s="419" t="e">
        <f t="shared" si="6"/>
        <v>#N/A</v>
      </c>
      <c r="G13" s="434">
        <f t="shared" si="15"/>
        <v>0</v>
      </c>
      <c r="H13" s="421" t="e">
        <f t="shared" ca="1" si="7"/>
        <v>#N/A</v>
      </c>
      <c r="I13" s="422" t="str">
        <f t="shared" ca="1" si="8"/>
        <v>압력교정기</v>
      </c>
      <c r="J13" s="423" t="e">
        <f>압력교정기!N29</f>
        <v>#N/A</v>
      </c>
      <c r="K13" s="424" t="e">
        <f ca="1">분동식압력계!AJ28</f>
        <v>#DIV/0!</v>
      </c>
      <c r="L13" s="435"/>
      <c r="M13" s="425" t="str">
        <f ca="1">압력교정기!U29</f>
        <v/>
      </c>
      <c r="N13" s="426" t="str">
        <f ca="1">압력교정기!V29</f>
        <v/>
      </c>
      <c r="O13" s="427" t="e">
        <f ca="1">압력교정기!X29</f>
        <v>#VALUE!</v>
      </c>
      <c r="P13" s="428">
        <f>압력교정기!Y29</f>
        <v>0</v>
      </c>
      <c r="Q13" s="425" t="e">
        <f ca="1">분동식압력계!H28</f>
        <v>#N/A</v>
      </c>
      <c r="R13" s="426" t="str">
        <f>분동식압력계!I28</f>
        <v>% of Reading</v>
      </c>
      <c r="S13" s="427" t="e">
        <f ca="1">분동식압력계!K28</f>
        <v>#N/A</v>
      </c>
      <c r="T13" s="428">
        <f>분동식압력계!L28</f>
        <v>0</v>
      </c>
      <c r="U13" s="429" t="str">
        <f t="shared" ca="1" si="9"/>
        <v/>
      </c>
      <c r="V13" s="430" t="str">
        <f t="shared" ca="1" si="10"/>
        <v/>
      </c>
      <c r="W13" s="431" t="e">
        <f t="shared" ca="1" si="11"/>
        <v>#VALUE!</v>
      </c>
      <c r="X13" s="432">
        <f t="shared" si="1"/>
        <v>0</v>
      </c>
      <c r="Z13" s="431" t="e">
        <f ca="1">IF(TYPE(K13)=16,압력교정기!AT29,0)</f>
        <v>#VALUE!</v>
      </c>
      <c r="AA13" s="432">
        <f>압력교정기!AU29</f>
        <v>0</v>
      </c>
    </row>
    <row r="14" spans="1:37" ht="15" customHeight="1">
      <c r="B14" s="433">
        <f t="shared" si="14"/>
        <v>0</v>
      </c>
      <c r="C14" s="416">
        <f>Pressure_2_R1!D14</f>
        <v>0</v>
      </c>
      <c r="D14" s="417">
        <f>Pressure_2_R1!F14</f>
        <v>0</v>
      </c>
      <c r="E14" s="418" t="e">
        <f t="shared" si="0"/>
        <v>#N/A</v>
      </c>
      <c r="F14" s="419" t="e">
        <f t="shared" si="6"/>
        <v>#N/A</v>
      </c>
      <c r="G14" s="434">
        <f t="shared" si="15"/>
        <v>0</v>
      </c>
      <c r="H14" s="421" t="e">
        <f t="shared" ca="1" si="7"/>
        <v>#N/A</v>
      </c>
      <c r="I14" s="422" t="str">
        <f t="shared" ca="1" si="8"/>
        <v>압력교정기</v>
      </c>
      <c r="J14" s="423" t="e">
        <f>압력교정기!N30</f>
        <v>#N/A</v>
      </c>
      <c r="K14" s="424" t="e">
        <f ca="1">분동식압력계!AJ29</f>
        <v>#DIV/0!</v>
      </c>
      <c r="L14" s="435"/>
      <c r="M14" s="425" t="str">
        <f ca="1">압력교정기!U30</f>
        <v/>
      </c>
      <c r="N14" s="426" t="str">
        <f ca="1">압력교정기!V30</f>
        <v/>
      </c>
      <c r="O14" s="427" t="e">
        <f ca="1">압력교정기!X30</f>
        <v>#VALUE!</v>
      </c>
      <c r="P14" s="428">
        <f>압력교정기!Y30</f>
        <v>0</v>
      </c>
      <c r="Q14" s="425" t="e">
        <f ca="1">분동식압력계!H29</f>
        <v>#N/A</v>
      </c>
      <c r="R14" s="426" t="str">
        <f>분동식압력계!I29</f>
        <v>% of Reading</v>
      </c>
      <c r="S14" s="427" t="e">
        <f ca="1">분동식압력계!K29</f>
        <v>#N/A</v>
      </c>
      <c r="T14" s="428">
        <f>분동식압력계!L29</f>
        <v>0</v>
      </c>
      <c r="U14" s="429" t="str">
        <f t="shared" ca="1" si="9"/>
        <v/>
      </c>
      <c r="V14" s="430" t="str">
        <f t="shared" ca="1" si="10"/>
        <v/>
      </c>
      <c r="W14" s="431" t="e">
        <f t="shared" ca="1" si="11"/>
        <v>#VALUE!</v>
      </c>
      <c r="X14" s="432">
        <f t="shared" si="1"/>
        <v>0</v>
      </c>
      <c r="Z14" s="431" t="e">
        <f ca="1">IF(TYPE(K14)=16,압력교정기!AT30,0)</f>
        <v>#VALUE!</v>
      </c>
      <c r="AA14" s="432">
        <f>압력교정기!AU30</f>
        <v>0</v>
      </c>
    </row>
    <row r="15" spans="1:37" ht="15" customHeight="1">
      <c r="B15" s="433">
        <f t="shared" si="14"/>
        <v>0</v>
      </c>
      <c r="C15" s="416">
        <f>Pressure_2_R1!D15</f>
        <v>0</v>
      </c>
      <c r="D15" s="417">
        <f>Pressure_2_R1!F15</f>
        <v>0</v>
      </c>
      <c r="E15" s="418" t="e">
        <f t="shared" si="0"/>
        <v>#N/A</v>
      </c>
      <c r="F15" s="419" t="e">
        <f t="shared" si="6"/>
        <v>#N/A</v>
      </c>
      <c r="G15" s="434">
        <f t="shared" si="15"/>
        <v>0</v>
      </c>
      <c r="H15" s="421" t="e">
        <f t="shared" ca="1" si="7"/>
        <v>#N/A</v>
      </c>
      <c r="I15" s="422" t="str">
        <f t="shared" ca="1" si="8"/>
        <v>압력교정기</v>
      </c>
      <c r="J15" s="423" t="e">
        <f>압력교정기!N31</f>
        <v>#N/A</v>
      </c>
      <c r="K15" s="424" t="e">
        <f ca="1">분동식압력계!AJ30</f>
        <v>#DIV/0!</v>
      </c>
      <c r="L15" s="435"/>
      <c r="M15" s="425" t="str">
        <f ca="1">압력교정기!U31</f>
        <v/>
      </c>
      <c r="N15" s="426" t="str">
        <f ca="1">압력교정기!V31</f>
        <v/>
      </c>
      <c r="O15" s="427" t="e">
        <f ca="1">압력교정기!X31</f>
        <v>#VALUE!</v>
      </c>
      <c r="P15" s="428">
        <f>압력교정기!Y31</f>
        <v>0</v>
      </c>
      <c r="Q15" s="425" t="e">
        <f ca="1">분동식압력계!H30</f>
        <v>#N/A</v>
      </c>
      <c r="R15" s="426" t="str">
        <f>분동식압력계!I30</f>
        <v>% of Reading</v>
      </c>
      <c r="S15" s="427" t="e">
        <f ca="1">분동식압력계!K30</f>
        <v>#N/A</v>
      </c>
      <c r="T15" s="428">
        <f>분동식압력계!L30</f>
        <v>0</v>
      </c>
      <c r="U15" s="429" t="str">
        <f t="shared" ca="1" si="9"/>
        <v/>
      </c>
      <c r="V15" s="430" t="str">
        <f t="shared" ca="1" si="10"/>
        <v/>
      </c>
      <c r="W15" s="431" t="e">
        <f t="shared" ca="1" si="11"/>
        <v>#VALUE!</v>
      </c>
      <c r="X15" s="432">
        <f t="shared" si="1"/>
        <v>0</v>
      </c>
      <c r="Z15" s="431" t="e">
        <f ca="1">IF(TYPE(K15)=16,압력교정기!AT31,0)</f>
        <v>#VALUE!</v>
      </c>
      <c r="AA15" s="432">
        <f>압력교정기!AU31</f>
        <v>0</v>
      </c>
    </row>
    <row r="16" spans="1:37" ht="15" customHeight="1">
      <c r="B16" s="433">
        <f t="shared" si="14"/>
        <v>0</v>
      </c>
      <c r="C16" s="416">
        <f>Pressure_2_R1!D16</f>
        <v>0</v>
      </c>
      <c r="D16" s="417">
        <f>Pressure_2_R1!F16</f>
        <v>0</v>
      </c>
      <c r="E16" s="418" t="e">
        <f t="shared" si="0"/>
        <v>#N/A</v>
      </c>
      <c r="F16" s="419" t="e">
        <f t="shared" si="6"/>
        <v>#N/A</v>
      </c>
      <c r="G16" s="434">
        <f t="shared" si="15"/>
        <v>0</v>
      </c>
      <c r="H16" s="421" t="e">
        <f t="shared" ca="1" si="7"/>
        <v>#N/A</v>
      </c>
      <c r="I16" s="422" t="str">
        <f t="shared" ca="1" si="8"/>
        <v>압력교정기</v>
      </c>
      <c r="J16" s="423" t="e">
        <f>압력교정기!N32</f>
        <v>#N/A</v>
      </c>
      <c r="K16" s="424" t="e">
        <f ca="1">분동식압력계!AJ31</f>
        <v>#DIV/0!</v>
      </c>
      <c r="L16" s="435"/>
      <c r="M16" s="425" t="str">
        <f ca="1">압력교정기!U32</f>
        <v/>
      </c>
      <c r="N16" s="426" t="str">
        <f ca="1">압력교정기!V32</f>
        <v/>
      </c>
      <c r="O16" s="427" t="e">
        <f ca="1">압력교정기!X32</f>
        <v>#VALUE!</v>
      </c>
      <c r="P16" s="428">
        <f>압력교정기!Y32</f>
        <v>0</v>
      </c>
      <c r="Q16" s="425" t="e">
        <f ca="1">분동식압력계!H31</f>
        <v>#N/A</v>
      </c>
      <c r="R16" s="426" t="str">
        <f>분동식압력계!I31</f>
        <v>% of Reading</v>
      </c>
      <c r="S16" s="427" t="e">
        <f ca="1">분동식압력계!K31</f>
        <v>#N/A</v>
      </c>
      <c r="T16" s="428">
        <f>분동식압력계!L31</f>
        <v>0</v>
      </c>
      <c r="U16" s="429" t="str">
        <f t="shared" ca="1" si="9"/>
        <v/>
      </c>
      <c r="V16" s="430" t="str">
        <f t="shared" ca="1" si="10"/>
        <v/>
      </c>
      <c r="W16" s="431" t="e">
        <f t="shared" ca="1" si="11"/>
        <v>#VALUE!</v>
      </c>
      <c r="X16" s="432">
        <f t="shared" si="1"/>
        <v>0</v>
      </c>
      <c r="Z16" s="431" t="e">
        <f ca="1">IF(TYPE(K16)=16,압력교정기!AT32,0)</f>
        <v>#VALUE!</v>
      </c>
      <c r="AA16" s="432">
        <f>압력교정기!AU32</f>
        <v>0</v>
      </c>
    </row>
    <row r="17" spans="2:27" ht="15" customHeight="1">
      <c r="B17" s="433">
        <f t="shared" si="14"/>
        <v>0</v>
      </c>
      <c r="C17" s="416">
        <f>Pressure_2_R1!D17</f>
        <v>0</v>
      </c>
      <c r="D17" s="417">
        <f>Pressure_2_R1!F17</f>
        <v>0</v>
      </c>
      <c r="E17" s="418" t="e">
        <f t="shared" si="0"/>
        <v>#N/A</v>
      </c>
      <c r="F17" s="419" t="e">
        <f t="shared" si="6"/>
        <v>#N/A</v>
      </c>
      <c r="G17" s="434">
        <f t="shared" si="15"/>
        <v>0</v>
      </c>
      <c r="H17" s="421" t="e">
        <f t="shared" ca="1" si="7"/>
        <v>#N/A</v>
      </c>
      <c r="I17" s="422" t="str">
        <f t="shared" ca="1" si="8"/>
        <v>압력교정기</v>
      </c>
      <c r="J17" s="423" t="e">
        <f>압력교정기!N33</f>
        <v>#N/A</v>
      </c>
      <c r="K17" s="424" t="e">
        <f ca="1">분동식압력계!AJ32</f>
        <v>#DIV/0!</v>
      </c>
      <c r="L17" s="435"/>
      <c r="M17" s="425" t="str">
        <f ca="1">압력교정기!U33</f>
        <v/>
      </c>
      <c r="N17" s="426" t="str">
        <f ca="1">압력교정기!V33</f>
        <v/>
      </c>
      <c r="O17" s="427" t="e">
        <f ca="1">압력교정기!X33</f>
        <v>#VALUE!</v>
      </c>
      <c r="P17" s="428">
        <f>압력교정기!Y33</f>
        <v>0</v>
      </c>
      <c r="Q17" s="425" t="e">
        <f ca="1">분동식압력계!H32</f>
        <v>#N/A</v>
      </c>
      <c r="R17" s="426" t="str">
        <f>분동식압력계!I32</f>
        <v>% of Reading</v>
      </c>
      <c r="S17" s="427" t="e">
        <f ca="1">분동식압력계!K32</f>
        <v>#N/A</v>
      </c>
      <c r="T17" s="428">
        <f>분동식압력계!L32</f>
        <v>0</v>
      </c>
      <c r="U17" s="429" t="str">
        <f t="shared" ca="1" si="9"/>
        <v/>
      </c>
      <c r="V17" s="430" t="str">
        <f t="shared" ca="1" si="10"/>
        <v/>
      </c>
      <c r="W17" s="431" t="e">
        <f t="shared" ca="1" si="11"/>
        <v>#VALUE!</v>
      </c>
      <c r="X17" s="432">
        <f t="shared" si="1"/>
        <v>0</v>
      </c>
      <c r="Z17" s="431" t="e">
        <f ca="1">IF(TYPE(K17)=16,압력교정기!AT33,0)</f>
        <v>#VALUE!</v>
      </c>
      <c r="AA17" s="432">
        <f>압력교정기!AU33</f>
        <v>0</v>
      </c>
    </row>
    <row r="18" spans="2:27" ht="15" customHeight="1">
      <c r="B18" s="433">
        <f t="shared" si="14"/>
        <v>0</v>
      </c>
      <c r="C18" s="416">
        <f>Pressure_2_R1!D18</f>
        <v>0</v>
      </c>
      <c r="D18" s="417">
        <f>Pressure_2_R1!F18</f>
        <v>0</v>
      </c>
      <c r="E18" s="418" t="e">
        <f t="shared" si="0"/>
        <v>#N/A</v>
      </c>
      <c r="F18" s="419" t="e">
        <f t="shared" si="6"/>
        <v>#N/A</v>
      </c>
      <c r="G18" s="434">
        <f t="shared" si="15"/>
        <v>0</v>
      </c>
      <c r="H18" s="421" t="e">
        <f t="shared" ca="1" si="7"/>
        <v>#N/A</v>
      </c>
      <c r="I18" s="422" t="str">
        <f t="shared" ca="1" si="8"/>
        <v>압력교정기</v>
      </c>
      <c r="J18" s="423" t="e">
        <f>압력교정기!N34</f>
        <v>#N/A</v>
      </c>
      <c r="K18" s="424" t="e">
        <f ca="1">분동식압력계!AJ33</f>
        <v>#DIV/0!</v>
      </c>
      <c r="L18" s="435"/>
      <c r="M18" s="425" t="str">
        <f ca="1">압력교정기!U34</f>
        <v/>
      </c>
      <c r="N18" s="426" t="str">
        <f ca="1">압력교정기!V34</f>
        <v/>
      </c>
      <c r="O18" s="427" t="e">
        <f ca="1">압력교정기!X34</f>
        <v>#VALUE!</v>
      </c>
      <c r="P18" s="428">
        <f>압력교정기!Y34</f>
        <v>0</v>
      </c>
      <c r="Q18" s="425" t="e">
        <f ca="1">분동식압력계!H33</f>
        <v>#N/A</v>
      </c>
      <c r="R18" s="426" t="str">
        <f>분동식압력계!I33</f>
        <v>% of Reading</v>
      </c>
      <c r="S18" s="427" t="e">
        <f ca="1">분동식압력계!K33</f>
        <v>#N/A</v>
      </c>
      <c r="T18" s="428">
        <f>분동식압력계!L33</f>
        <v>0</v>
      </c>
      <c r="U18" s="429" t="str">
        <f t="shared" ca="1" si="9"/>
        <v/>
      </c>
      <c r="V18" s="430" t="str">
        <f t="shared" ca="1" si="10"/>
        <v/>
      </c>
      <c r="W18" s="431" t="e">
        <f t="shared" ca="1" si="11"/>
        <v>#VALUE!</v>
      </c>
      <c r="X18" s="432">
        <f t="shared" si="1"/>
        <v>0</v>
      </c>
      <c r="Z18" s="431" t="e">
        <f ca="1">IF(TYPE(K18)=16,압력교정기!AT34,0)</f>
        <v>#VALUE!</v>
      </c>
      <c r="AA18" s="432">
        <f>압력교정기!AU34</f>
        <v>0</v>
      </c>
    </row>
    <row r="19" spans="2:27" ht="15" customHeight="1">
      <c r="B19" s="433">
        <f t="shared" si="14"/>
        <v>0</v>
      </c>
      <c r="C19" s="416">
        <f>Pressure_2_R1!D19</f>
        <v>0</v>
      </c>
      <c r="D19" s="417">
        <f>Pressure_2_R1!F19</f>
        <v>0</v>
      </c>
      <c r="E19" s="418" t="e">
        <f t="shared" si="0"/>
        <v>#N/A</v>
      </c>
      <c r="F19" s="419" t="e">
        <f t="shared" si="6"/>
        <v>#N/A</v>
      </c>
      <c r="G19" s="434">
        <f t="shared" si="15"/>
        <v>0</v>
      </c>
      <c r="H19" s="421" t="e">
        <f t="shared" ca="1" si="7"/>
        <v>#N/A</v>
      </c>
      <c r="I19" s="422" t="str">
        <f t="shared" ca="1" si="8"/>
        <v>압력교정기</v>
      </c>
      <c r="J19" s="423" t="e">
        <f>압력교정기!N35</f>
        <v>#N/A</v>
      </c>
      <c r="K19" s="424" t="e">
        <f ca="1">분동식압력계!AJ34</f>
        <v>#DIV/0!</v>
      </c>
      <c r="L19" s="435"/>
      <c r="M19" s="425" t="str">
        <f ca="1">압력교정기!U35</f>
        <v/>
      </c>
      <c r="N19" s="426" t="str">
        <f ca="1">압력교정기!V35</f>
        <v/>
      </c>
      <c r="O19" s="427" t="e">
        <f ca="1">압력교정기!X35</f>
        <v>#VALUE!</v>
      </c>
      <c r="P19" s="428">
        <f>압력교정기!Y35</f>
        <v>0</v>
      </c>
      <c r="Q19" s="425" t="e">
        <f ca="1">분동식압력계!H34</f>
        <v>#N/A</v>
      </c>
      <c r="R19" s="426" t="str">
        <f>분동식압력계!I34</f>
        <v>% of Reading</v>
      </c>
      <c r="S19" s="427" t="e">
        <f ca="1">분동식압력계!K34</f>
        <v>#N/A</v>
      </c>
      <c r="T19" s="428">
        <f>분동식압력계!L34</f>
        <v>0</v>
      </c>
      <c r="U19" s="429" t="str">
        <f t="shared" ca="1" si="9"/>
        <v/>
      </c>
      <c r="V19" s="430" t="str">
        <f t="shared" ca="1" si="10"/>
        <v/>
      </c>
      <c r="W19" s="431" t="e">
        <f t="shared" ca="1" si="11"/>
        <v>#VALUE!</v>
      </c>
      <c r="X19" s="432">
        <f t="shared" si="1"/>
        <v>0</v>
      </c>
      <c r="Z19" s="431" t="e">
        <f ca="1">IF(TYPE(K19)=16,압력교정기!AT35,0)</f>
        <v>#VALUE!</v>
      </c>
      <c r="AA19" s="432">
        <f>압력교정기!AU35</f>
        <v>0</v>
      </c>
    </row>
    <row r="20" spans="2:27" ht="15" customHeight="1">
      <c r="B20" s="433">
        <f t="shared" si="14"/>
        <v>0</v>
      </c>
      <c r="C20" s="416">
        <f>Pressure_2_R1!D20</f>
        <v>0</v>
      </c>
      <c r="D20" s="417">
        <f>Pressure_2_R1!F20</f>
        <v>0</v>
      </c>
      <c r="E20" s="418" t="e">
        <f t="shared" si="0"/>
        <v>#N/A</v>
      </c>
      <c r="F20" s="419" t="e">
        <f t="shared" si="6"/>
        <v>#N/A</v>
      </c>
      <c r="G20" s="434">
        <f t="shared" si="15"/>
        <v>0</v>
      </c>
      <c r="H20" s="421" t="e">
        <f t="shared" ca="1" si="7"/>
        <v>#N/A</v>
      </c>
      <c r="I20" s="422" t="str">
        <f t="shared" ca="1" si="8"/>
        <v>압력교정기</v>
      </c>
      <c r="J20" s="423" t="e">
        <f>압력교정기!N36</f>
        <v>#N/A</v>
      </c>
      <c r="K20" s="424" t="e">
        <f ca="1">분동식압력계!AJ35</f>
        <v>#DIV/0!</v>
      </c>
      <c r="L20" s="435"/>
      <c r="M20" s="425" t="str">
        <f ca="1">압력교정기!U36</f>
        <v/>
      </c>
      <c r="N20" s="426" t="str">
        <f ca="1">압력교정기!V36</f>
        <v/>
      </c>
      <c r="O20" s="427" t="e">
        <f ca="1">압력교정기!X36</f>
        <v>#VALUE!</v>
      </c>
      <c r="P20" s="428">
        <f>압력교정기!Y36</f>
        <v>0</v>
      </c>
      <c r="Q20" s="425" t="e">
        <f ca="1">분동식압력계!H35</f>
        <v>#N/A</v>
      </c>
      <c r="R20" s="426" t="str">
        <f>분동식압력계!I35</f>
        <v>% of Reading</v>
      </c>
      <c r="S20" s="427" t="e">
        <f ca="1">분동식압력계!K35</f>
        <v>#N/A</v>
      </c>
      <c r="T20" s="428">
        <f>분동식압력계!L35</f>
        <v>0</v>
      </c>
      <c r="U20" s="429" t="str">
        <f t="shared" ca="1" si="9"/>
        <v/>
      </c>
      <c r="V20" s="430" t="str">
        <f t="shared" ca="1" si="10"/>
        <v/>
      </c>
      <c r="W20" s="431" t="e">
        <f t="shared" ca="1" si="11"/>
        <v>#VALUE!</v>
      </c>
      <c r="X20" s="432">
        <f t="shared" si="1"/>
        <v>0</v>
      </c>
      <c r="Z20" s="431" t="e">
        <f ca="1">IF(TYPE(K20)=16,압력교정기!AT36,0)</f>
        <v>#VALUE!</v>
      </c>
      <c r="AA20" s="432">
        <f>압력교정기!AU36</f>
        <v>0</v>
      </c>
    </row>
    <row r="21" spans="2:27" ht="15" customHeight="1">
      <c r="B21" s="433">
        <f t="shared" si="14"/>
        <v>0</v>
      </c>
      <c r="C21" s="416">
        <f>Pressure_2_R1!D21</f>
        <v>0</v>
      </c>
      <c r="D21" s="417">
        <f>Pressure_2_R1!F21</f>
        <v>0</v>
      </c>
      <c r="E21" s="418" t="e">
        <f t="shared" si="0"/>
        <v>#N/A</v>
      </c>
      <c r="F21" s="419" t="e">
        <f t="shared" si="6"/>
        <v>#N/A</v>
      </c>
      <c r="G21" s="434">
        <f t="shared" si="15"/>
        <v>0</v>
      </c>
      <c r="H21" s="421" t="e">
        <f t="shared" ca="1" si="7"/>
        <v>#N/A</v>
      </c>
      <c r="I21" s="422" t="str">
        <f t="shared" ca="1" si="8"/>
        <v>압력교정기</v>
      </c>
      <c r="J21" s="423" t="e">
        <f>압력교정기!N37</f>
        <v>#N/A</v>
      </c>
      <c r="K21" s="424" t="e">
        <f ca="1">분동식압력계!AJ36</f>
        <v>#DIV/0!</v>
      </c>
      <c r="L21" s="435"/>
      <c r="M21" s="425" t="str">
        <f ca="1">압력교정기!U37</f>
        <v/>
      </c>
      <c r="N21" s="426" t="str">
        <f ca="1">압력교정기!V37</f>
        <v/>
      </c>
      <c r="O21" s="427" t="e">
        <f ca="1">압력교정기!X37</f>
        <v>#VALUE!</v>
      </c>
      <c r="P21" s="428">
        <f>압력교정기!Y37</f>
        <v>0</v>
      </c>
      <c r="Q21" s="425" t="e">
        <f ca="1">분동식압력계!H36</f>
        <v>#N/A</v>
      </c>
      <c r="R21" s="426" t="str">
        <f>분동식압력계!I36</f>
        <v>% of Reading</v>
      </c>
      <c r="S21" s="427" t="e">
        <f ca="1">분동식압력계!K36</f>
        <v>#N/A</v>
      </c>
      <c r="T21" s="428">
        <f>분동식압력계!L36</f>
        <v>0</v>
      </c>
      <c r="U21" s="429" t="str">
        <f t="shared" ca="1" si="9"/>
        <v/>
      </c>
      <c r="V21" s="430" t="str">
        <f t="shared" ca="1" si="10"/>
        <v/>
      </c>
      <c r="W21" s="431" t="e">
        <f t="shared" ca="1" si="11"/>
        <v>#VALUE!</v>
      </c>
      <c r="X21" s="432">
        <f t="shared" si="1"/>
        <v>0</v>
      </c>
      <c r="Z21" s="431" t="e">
        <f ca="1">IF(TYPE(K21)=16,압력교정기!AT37,0)</f>
        <v>#VALUE!</v>
      </c>
      <c r="AA21" s="432">
        <f>압력교정기!AU37</f>
        <v>0</v>
      </c>
    </row>
    <row r="22" spans="2:27" ht="15" customHeight="1">
      <c r="B22" s="433">
        <f t="shared" si="14"/>
        <v>0</v>
      </c>
      <c r="C22" s="416">
        <f>Pressure_2_R1!D22</f>
        <v>0</v>
      </c>
      <c r="D22" s="417">
        <f>Pressure_2_R1!F22</f>
        <v>0</v>
      </c>
      <c r="E22" s="418" t="e">
        <f t="shared" si="0"/>
        <v>#N/A</v>
      </c>
      <c r="F22" s="419" t="e">
        <f t="shared" si="6"/>
        <v>#N/A</v>
      </c>
      <c r="G22" s="434">
        <f t="shared" si="15"/>
        <v>0</v>
      </c>
      <c r="H22" s="421" t="e">
        <f t="shared" ca="1" si="7"/>
        <v>#N/A</v>
      </c>
      <c r="I22" s="422" t="str">
        <f t="shared" ca="1" si="8"/>
        <v>압력교정기</v>
      </c>
      <c r="J22" s="423" t="e">
        <f>압력교정기!N38</f>
        <v>#N/A</v>
      </c>
      <c r="K22" s="424" t="e">
        <f ca="1">분동식압력계!AJ37</f>
        <v>#DIV/0!</v>
      </c>
      <c r="L22" s="435"/>
      <c r="M22" s="425" t="str">
        <f ca="1">압력교정기!U38</f>
        <v/>
      </c>
      <c r="N22" s="426" t="str">
        <f ca="1">압력교정기!V38</f>
        <v/>
      </c>
      <c r="O22" s="427" t="e">
        <f ca="1">압력교정기!X38</f>
        <v>#VALUE!</v>
      </c>
      <c r="P22" s="428">
        <f>압력교정기!Y38</f>
        <v>0</v>
      </c>
      <c r="Q22" s="425" t="e">
        <f ca="1">분동식압력계!H37</f>
        <v>#N/A</v>
      </c>
      <c r="R22" s="426" t="str">
        <f>분동식압력계!I37</f>
        <v>% of Reading</v>
      </c>
      <c r="S22" s="427" t="e">
        <f ca="1">분동식압력계!K37</f>
        <v>#N/A</v>
      </c>
      <c r="T22" s="428">
        <f>분동식압력계!L37</f>
        <v>0</v>
      </c>
      <c r="U22" s="429" t="str">
        <f t="shared" ca="1" si="9"/>
        <v/>
      </c>
      <c r="V22" s="430" t="str">
        <f t="shared" ca="1" si="10"/>
        <v/>
      </c>
      <c r="W22" s="431" t="e">
        <f t="shared" ca="1" si="11"/>
        <v>#VALUE!</v>
      </c>
      <c r="X22" s="432">
        <f t="shared" si="1"/>
        <v>0</v>
      </c>
      <c r="Z22" s="431" t="e">
        <f ca="1">IF(TYPE(K22)=16,압력교정기!AT38,0)</f>
        <v>#VALUE!</v>
      </c>
      <c r="AA22" s="432">
        <f>압력교정기!AU38</f>
        <v>0</v>
      </c>
    </row>
    <row r="23" spans="2:27" ht="15" customHeight="1">
      <c r="B23" s="433">
        <f t="shared" si="14"/>
        <v>0</v>
      </c>
      <c r="C23" s="416">
        <f>Pressure_2_R1!D23</f>
        <v>0</v>
      </c>
      <c r="D23" s="417">
        <f>Pressure_2_R1!F23</f>
        <v>0</v>
      </c>
      <c r="E23" s="418" t="e">
        <f t="shared" si="0"/>
        <v>#N/A</v>
      </c>
      <c r="F23" s="419" t="e">
        <f t="shared" si="6"/>
        <v>#N/A</v>
      </c>
      <c r="G23" s="434">
        <f t="shared" si="15"/>
        <v>0</v>
      </c>
      <c r="H23" s="421" t="e">
        <f t="shared" ca="1" si="7"/>
        <v>#N/A</v>
      </c>
      <c r="I23" s="422" t="str">
        <f t="shared" ca="1" si="8"/>
        <v>압력교정기</v>
      </c>
      <c r="J23" s="423" t="e">
        <f>압력교정기!N39</f>
        <v>#N/A</v>
      </c>
      <c r="K23" s="424" t="e">
        <f ca="1">분동식압력계!AJ38</f>
        <v>#DIV/0!</v>
      </c>
      <c r="L23" s="435"/>
      <c r="M23" s="425" t="str">
        <f ca="1">압력교정기!U39</f>
        <v/>
      </c>
      <c r="N23" s="426" t="str">
        <f ca="1">압력교정기!V39</f>
        <v/>
      </c>
      <c r="O23" s="427" t="e">
        <f ca="1">압력교정기!X39</f>
        <v>#VALUE!</v>
      </c>
      <c r="P23" s="428">
        <f>압력교정기!Y39</f>
        <v>0</v>
      </c>
      <c r="Q23" s="425" t="e">
        <f ca="1">분동식압력계!H38</f>
        <v>#N/A</v>
      </c>
      <c r="R23" s="426" t="str">
        <f>분동식압력계!I38</f>
        <v>% of Reading</v>
      </c>
      <c r="S23" s="427" t="e">
        <f ca="1">분동식압력계!K38</f>
        <v>#N/A</v>
      </c>
      <c r="T23" s="428">
        <f>분동식압력계!L38</f>
        <v>0</v>
      </c>
      <c r="U23" s="429" t="str">
        <f t="shared" ca="1" si="9"/>
        <v/>
      </c>
      <c r="V23" s="430" t="str">
        <f t="shared" ca="1" si="10"/>
        <v/>
      </c>
      <c r="W23" s="431" t="e">
        <f t="shared" ca="1" si="11"/>
        <v>#VALUE!</v>
      </c>
      <c r="X23" s="432">
        <f t="shared" si="1"/>
        <v>0</v>
      </c>
      <c r="Z23" s="431" t="e">
        <f ca="1">IF(TYPE(K23)=16,압력교정기!AT39,0)</f>
        <v>#VALUE!</v>
      </c>
      <c r="AA23" s="432">
        <f>압력교정기!AU39</f>
        <v>0</v>
      </c>
    </row>
    <row r="24" spans="2:27" ht="15" customHeight="1">
      <c r="B24" s="433">
        <f t="shared" si="14"/>
        <v>0</v>
      </c>
      <c r="C24" s="416">
        <f>Pressure_2_R1!D24</f>
        <v>0</v>
      </c>
      <c r="D24" s="417">
        <f>Pressure_2_R1!F24</f>
        <v>0</v>
      </c>
      <c r="E24" s="418" t="e">
        <f t="shared" si="0"/>
        <v>#N/A</v>
      </c>
      <c r="F24" s="419" t="e">
        <f t="shared" si="6"/>
        <v>#N/A</v>
      </c>
      <c r="G24" s="434">
        <f t="shared" si="15"/>
        <v>0</v>
      </c>
      <c r="H24" s="421" t="e">
        <f t="shared" ca="1" si="7"/>
        <v>#N/A</v>
      </c>
      <c r="I24" s="422" t="str">
        <f t="shared" ca="1" si="8"/>
        <v>압력교정기</v>
      </c>
      <c r="J24" s="423" t="e">
        <f>압력교정기!N40</f>
        <v>#N/A</v>
      </c>
      <c r="K24" s="424" t="e">
        <f ca="1">분동식압력계!AJ39</f>
        <v>#DIV/0!</v>
      </c>
      <c r="L24" s="435"/>
      <c r="M24" s="425" t="str">
        <f ca="1">압력교정기!U40</f>
        <v/>
      </c>
      <c r="N24" s="426" t="str">
        <f ca="1">압력교정기!V40</f>
        <v/>
      </c>
      <c r="O24" s="427" t="e">
        <f ca="1">압력교정기!X40</f>
        <v>#VALUE!</v>
      </c>
      <c r="P24" s="428">
        <f>압력교정기!Y40</f>
        <v>0</v>
      </c>
      <c r="Q24" s="425" t="e">
        <f ca="1">분동식압력계!H39</f>
        <v>#N/A</v>
      </c>
      <c r="R24" s="426" t="str">
        <f>분동식압력계!I39</f>
        <v>% of Reading</v>
      </c>
      <c r="S24" s="427" t="e">
        <f ca="1">분동식압력계!K39</f>
        <v>#N/A</v>
      </c>
      <c r="T24" s="428">
        <f>분동식압력계!L39</f>
        <v>0</v>
      </c>
      <c r="U24" s="429" t="str">
        <f t="shared" ca="1" si="9"/>
        <v/>
      </c>
      <c r="V24" s="430" t="str">
        <f t="shared" ca="1" si="10"/>
        <v/>
      </c>
      <c r="W24" s="431" t="e">
        <f t="shared" ca="1" si="11"/>
        <v>#VALUE!</v>
      </c>
      <c r="X24" s="432">
        <f t="shared" si="1"/>
        <v>0</v>
      </c>
      <c r="Z24" s="431" t="e">
        <f ca="1">IF(TYPE(K24)=16,압력교정기!AT40,0)</f>
        <v>#VALUE!</v>
      </c>
      <c r="AA24" s="432">
        <f>압력교정기!AU40</f>
        <v>0</v>
      </c>
    </row>
    <row r="25" spans="2:27" ht="15" customHeight="1">
      <c r="B25" s="433">
        <f t="shared" si="14"/>
        <v>0</v>
      </c>
      <c r="C25" s="416">
        <f>Pressure_2_R1!D25</f>
        <v>0</v>
      </c>
      <c r="D25" s="417">
        <f>Pressure_2_R1!F25</f>
        <v>0</v>
      </c>
      <c r="E25" s="418" t="e">
        <f t="shared" si="0"/>
        <v>#N/A</v>
      </c>
      <c r="F25" s="419" t="e">
        <f t="shared" si="6"/>
        <v>#N/A</v>
      </c>
      <c r="G25" s="434">
        <f t="shared" si="15"/>
        <v>0</v>
      </c>
      <c r="H25" s="421" t="e">
        <f t="shared" ca="1" si="7"/>
        <v>#N/A</v>
      </c>
      <c r="I25" s="422" t="str">
        <f t="shared" ca="1" si="8"/>
        <v>압력교정기</v>
      </c>
      <c r="J25" s="423" t="e">
        <f>압력교정기!N41</f>
        <v>#N/A</v>
      </c>
      <c r="K25" s="424" t="e">
        <f ca="1">분동식압력계!AJ40</f>
        <v>#DIV/0!</v>
      </c>
      <c r="L25" s="435"/>
      <c r="M25" s="425" t="str">
        <f ca="1">압력교정기!U41</f>
        <v/>
      </c>
      <c r="N25" s="426" t="str">
        <f ca="1">압력교정기!V41</f>
        <v/>
      </c>
      <c r="O25" s="427" t="e">
        <f ca="1">압력교정기!X41</f>
        <v>#VALUE!</v>
      </c>
      <c r="P25" s="428">
        <f>압력교정기!Y41</f>
        <v>0</v>
      </c>
      <c r="Q25" s="425" t="e">
        <f ca="1">분동식압력계!H40</f>
        <v>#N/A</v>
      </c>
      <c r="R25" s="426" t="str">
        <f>분동식압력계!I40</f>
        <v>% of Reading</v>
      </c>
      <c r="S25" s="427" t="e">
        <f ca="1">분동식압력계!K40</f>
        <v>#N/A</v>
      </c>
      <c r="T25" s="428">
        <f>분동식압력계!L40</f>
        <v>0</v>
      </c>
      <c r="U25" s="429" t="str">
        <f t="shared" ca="1" si="9"/>
        <v/>
      </c>
      <c r="V25" s="430" t="str">
        <f t="shared" ca="1" si="10"/>
        <v/>
      </c>
      <c r="W25" s="431" t="e">
        <f t="shared" ca="1" si="11"/>
        <v>#VALUE!</v>
      </c>
      <c r="X25" s="432">
        <f t="shared" si="1"/>
        <v>0</v>
      </c>
      <c r="Z25" s="431" t="e">
        <f ca="1">IF(TYPE(K25)=16,압력교정기!AT41,0)</f>
        <v>#VALUE!</v>
      </c>
      <c r="AA25" s="432">
        <f>압력교정기!AU41</f>
        <v>0</v>
      </c>
    </row>
    <row r="26" spans="2:27" ht="15" customHeight="1">
      <c r="B26" s="433">
        <f t="shared" si="14"/>
        <v>0</v>
      </c>
      <c r="C26" s="416">
        <f>Pressure_2_R1!D26</f>
        <v>0</v>
      </c>
      <c r="D26" s="417">
        <f>Pressure_2_R1!F26</f>
        <v>0</v>
      </c>
      <c r="E26" s="418" t="e">
        <f t="shared" si="0"/>
        <v>#N/A</v>
      </c>
      <c r="F26" s="419" t="e">
        <f t="shared" si="6"/>
        <v>#N/A</v>
      </c>
      <c r="G26" s="434">
        <f t="shared" si="15"/>
        <v>0</v>
      </c>
      <c r="H26" s="421" t="e">
        <f t="shared" ca="1" si="7"/>
        <v>#N/A</v>
      </c>
      <c r="I26" s="422" t="str">
        <f t="shared" ca="1" si="8"/>
        <v>압력교정기</v>
      </c>
      <c r="J26" s="423" t="e">
        <f>압력교정기!N42</f>
        <v>#N/A</v>
      </c>
      <c r="K26" s="424" t="e">
        <f ca="1">분동식압력계!AJ41</f>
        <v>#DIV/0!</v>
      </c>
      <c r="L26" s="435"/>
      <c r="M26" s="425" t="str">
        <f ca="1">압력교정기!U42</f>
        <v/>
      </c>
      <c r="N26" s="426" t="str">
        <f ca="1">압력교정기!V42</f>
        <v/>
      </c>
      <c r="O26" s="427" t="e">
        <f ca="1">압력교정기!X42</f>
        <v>#VALUE!</v>
      </c>
      <c r="P26" s="428">
        <f>압력교정기!Y42</f>
        <v>0</v>
      </c>
      <c r="Q26" s="425" t="e">
        <f ca="1">분동식압력계!H41</f>
        <v>#N/A</v>
      </c>
      <c r="R26" s="426" t="str">
        <f>분동식압력계!I41</f>
        <v>% of Reading</v>
      </c>
      <c r="S26" s="427" t="e">
        <f ca="1">분동식압력계!K41</f>
        <v>#N/A</v>
      </c>
      <c r="T26" s="428">
        <f>분동식압력계!L41</f>
        <v>0</v>
      </c>
      <c r="U26" s="429" t="str">
        <f t="shared" ca="1" si="9"/>
        <v/>
      </c>
      <c r="V26" s="430" t="str">
        <f t="shared" ca="1" si="10"/>
        <v/>
      </c>
      <c r="W26" s="431" t="e">
        <f t="shared" ca="1" si="11"/>
        <v>#VALUE!</v>
      </c>
      <c r="X26" s="432">
        <f t="shared" si="1"/>
        <v>0</v>
      </c>
      <c r="Z26" s="431" t="e">
        <f ca="1">IF(TYPE(K26)=16,압력교정기!AT42,0)</f>
        <v>#VALUE!</v>
      </c>
      <c r="AA26" s="432">
        <f>압력교정기!AU42</f>
        <v>0</v>
      </c>
    </row>
    <row r="27" spans="2:27" ht="15" customHeight="1">
      <c r="B27" s="433">
        <f t="shared" si="14"/>
        <v>0</v>
      </c>
      <c r="C27" s="416">
        <f>Pressure_2_R1!D27</f>
        <v>0</v>
      </c>
      <c r="D27" s="417">
        <f>Pressure_2_R1!F27</f>
        <v>0</v>
      </c>
      <c r="E27" s="418" t="e">
        <f t="shared" si="0"/>
        <v>#N/A</v>
      </c>
      <c r="F27" s="419" t="e">
        <f t="shared" si="6"/>
        <v>#N/A</v>
      </c>
      <c r="G27" s="434">
        <f t="shared" si="15"/>
        <v>0</v>
      </c>
      <c r="H27" s="421" t="e">
        <f t="shared" ca="1" si="7"/>
        <v>#N/A</v>
      </c>
      <c r="I27" s="422" t="str">
        <f t="shared" ca="1" si="8"/>
        <v>압력교정기</v>
      </c>
      <c r="J27" s="423" t="e">
        <f>압력교정기!N43</f>
        <v>#N/A</v>
      </c>
      <c r="K27" s="424" t="e">
        <f ca="1">분동식압력계!AJ42</f>
        <v>#DIV/0!</v>
      </c>
      <c r="L27" s="435"/>
      <c r="M27" s="425" t="str">
        <f ca="1">압력교정기!U43</f>
        <v/>
      </c>
      <c r="N27" s="426" t="str">
        <f ca="1">압력교정기!V43</f>
        <v/>
      </c>
      <c r="O27" s="427" t="e">
        <f ca="1">압력교정기!X43</f>
        <v>#VALUE!</v>
      </c>
      <c r="P27" s="428">
        <f>압력교정기!Y43</f>
        <v>0</v>
      </c>
      <c r="Q27" s="425" t="e">
        <f ca="1">분동식압력계!H42</f>
        <v>#N/A</v>
      </c>
      <c r="R27" s="426" t="str">
        <f>분동식압력계!I42</f>
        <v>% of Reading</v>
      </c>
      <c r="S27" s="427" t="e">
        <f ca="1">분동식압력계!K42</f>
        <v>#N/A</v>
      </c>
      <c r="T27" s="428">
        <f>분동식압력계!L42</f>
        <v>0</v>
      </c>
      <c r="U27" s="429" t="str">
        <f t="shared" ca="1" si="9"/>
        <v/>
      </c>
      <c r="V27" s="430" t="str">
        <f t="shared" ca="1" si="10"/>
        <v/>
      </c>
      <c r="W27" s="431" t="e">
        <f t="shared" ca="1" si="11"/>
        <v>#VALUE!</v>
      </c>
      <c r="X27" s="432">
        <f t="shared" si="1"/>
        <v>0</v>
      </c>
      <c r="Z27" s="431" t="e">
        <f ca="1">IF(TYPE(K27)=16,압력교정기!AT43,0)</f>
        <v>#VALUE!</v>
      </c>
      <c r="AA27" s="432">
        <f>압력교정기!AU43</f>
        <v>0</v>
      </c>
    </row>
    <row r="28" spans="2:27" ht="15" customHeight="1">
      <c r="B28" s="433">
        <f t="shared" si="14"/>
        <v>0</v>
      </c>
      <c r="C28" s="416">
        <f>Pressure_2_R1!D28</f>
        <v>0</v>
      </c>
      <c r="D28" s="417">
        <f>Pressure_2_R1!F28</f>
        <v>0</v>
      </c>
      <c r="E28" s="418" t="e">
        <f t="shared" si="0"/>
        <v>#N/A</v>
      </c>
      <c r="F28" s="419" t="e">
        <f t="shared" si="6"/>
        <v>#N/A</v>
      </c>
      <c r="G28" s="434">
        <f t="shared" si="15"/>
        <v>0</v>
      </c>
      <c r="H28" s="421" t="e">
        <f t="shared" ca="1" si="7"/>
        <v>#N/A</v>
      </c>
      <c r="I28" s="422" t="str">
        <f t="shared" ca="1" si="8"/>
        <v>압력교정기</v>
      </c>
      <c r="J28" s="423" t="e">
        <f>압력교정기!N44</f>
        <v>#N/A</v>
      </c>
      <c r="K28" s="424" t="e">
        <f ca="1">분동식압력계!AJ43</f>
        <v>#DIV/0!</v>
      </c>
      <c r="L28" s="435"/>
      <c r="M28" s="425" t="str">
        <f ca="1">압력교정기!U44</f>
        <v/>
      </c>
      <c r="N28" s="426" t="str">
        <f ca="1">압력교정기!V44</f>
        <v/>
      </c>
      <c r="O28" s="427" t="e">
        <f ca="1">압력교정기!X44</f>
        <v>#VALUE!</v>
      </c>
      <c r="P28" s="428">
        <f>압력교정기!Y44</f>
        <v>0</v>
      </c>
      <c r="Q28" s="425" t="e">
        <f ca="1">분동식압력계!H43</f>
        <v>#N/A</v>
      </c>
      <c r="R28" s="426" t="str">
        <f>분동식압력계!I43</f>
        <v>% of Reading</v>
      </c>
      <c r="S28" s="427" t="e">
        <f ca="1">분동식압력계!K43</f>
        <v>#N/A</v>
      </c>
      <c r="T28" s="428">
        <f>분동식압력계!L43</f>
        <v>0</v>
      </c>
      <c r="U28" s="429" t="str">
        <f t="shared" ca="1" si="9"/>
        <v/>
      </c>
      <c r="V28" s="430" t="str">
        <f t="shared" ca="1" si="10"/>
        <v/>
      </c>
      <c r="W28" s="431" t="e">
        <f t="shared" ca="1" si="11"/>
        <v>#VALUE!</v>
      </c>
      <c r="X28" s="432">
        <f t="shared" si="1"/>
        <v>0</v>
      </c>
      <c r="Z28" s="431" t="e">
        <f ca="1">IF(TYPE(K28)=16,압력교정기!AT44,0)</f>
        <v>#VALUE!</v>
      </c>
      <c r="AA28" s="432">
        <f>압력교정기!AU44</f>
        <v>0</v>
      </c>
    </row>
    <row r="29" spans="2:27" ht="15" customHeight="1">
      <c r="B29" s="433">
        <f t="shared" si="14"/>
        <v>0</v>
      </c>
      <c r="C29" s="416">
        <f>Pressure_2_R1!D29</f>
        <v>0</v>
      </c>
      <c r="D29" s="417">
        <f>Pressure_2_R1!F29</f>
        <v>0</v>
      </c>
      <c r="E29" s="418" t="e">
        <f t="shared" si="0"/>
        <v>#N/A</v>
      </c>
      <c r="F29" s="419" t="e">
        <f t="shared" si="6"/>
        <v>#N/A</v>
      </c>
      <c r="G29" s="434">
        <f t="shared" si="15"/>
        <v>0</v>
      </c>
      <c r="H29" s="421" t="e">
        <f t="shared" ca="1" si="7"/>
        <v>#N/A</v>
      </c>
      <c r="I29" s="422" t="str">
        <f t="shared" ca="1" si="8"/>
        <v>압력교정기</v>
      </c>
      <c r="J29" s="423" t="e">
        <f>압력교정기!N45</f>
        <v>#N/A</v>
      </c>
      <c r="K29" s="424" t="e">
        <f ca="1">분동식압력계!AJ44</f>
        <v>#DIV/0!</v>
      </c>
      <c r="L29" s="435"/>
      <c r="M29" s="425" t="str">
        <f ca="1">압력교정기!U45</f>
        <v/>
      </c>
      <c r="N29" s="426" t="str">
        <f ca="1">압력교정기!V45</f>
        <v/>
      </c>
      <c r="O29" s="427" t="e">
        <f ca="1">압력교정기!X45</f>
        <v>#VALUE!</v>
      </c>
      <c r="P29" s="428">
        <f>압력교정기!Y45</f>
        <v>0</v>
      </c>
      <c r="Q29" s="425" t="e">
        <f ca="1">분동식압력계!H44</f>
        <v>#N/A</v>
      </c>
      <c r="R29" s="426" t="str">
        <f>분동식압력계!I44</f>
        <v>% of Reading</v>
      </c>
      <c r="S29" s="427" t="e">
        <f ca="1">분동식압력계!K44</f>
        <v>#N/A</v>
      </c>
      <c r="T29" s="428">
        <f>분동식압력계!L44</f>
        <v>0</v>
      </c>
      <c r="U29" s="429" t="str">
        <f t="shared" ca="1" si="9"/>
        <v/>
      </c>
      <c r="V29" s="430" t="str">
        <f t="shared" ca="1" si="10"/>
        <v/>
      </c>
      <c r="W29" s="431" t="e">
        <f t="shared" ca="1" si="11"/>
        <v>#VALUE!</v>
      </c>
      <c r="X29" s="432">
        <f t="shared" si="1"/>
        <v>0</v>
      </c>
      <c r="Z29" s="431" t="e">
        <f ca="1">IF(TYPE(K29)=16,압력교정기!AT45,0)</f>
        <v>#VALUE!</v>
      </c>
      <c r="AA29" s="432">
        <f>압력교정기!AU45</f>
        <v>0</v>
      </c>
    </row>
    <row r="30" spans="2:27" ht="15" customHeight="1">
      <c r="B30" s="433">
        <f t="shared" si="14"/>
        <v>0</v>
      </c>
      <c r="C30" s="416">
        <f>Pressure_2_R1!D30</f>
        <v>0</v>
      </c>
      <c r="D30" s="417">
        <f>Pressure_2_R1!F30</f>
        <v>0</v>
      </c>
      <c r="E30" s="418" t="e">
        <f t="shared" si="0"/>
        <v>#N/A</v>
      </c>
      <c r="F30" s="419" t="e">
        <f t="shared" si="6"/>
        <v>#N/A</v>
      </c>
      <c r="G30" s="434">
        <f t="shared" si="15"/>
        <v>0</v>
      </c>
      <c r="H30" s="421" t="e">
        <f t="shared" ca="1" si="7"/>
        <v>#N/A</v>
      </c>
      <c r="I30" s="422" t="str">
        <f t="shared" ca="1" si="8"/>
        <v>압력교정기</v>
      </c>
      <c r="J30" s="423" t="e">
        <f>압력교정기!N46</f>
        <v>#N/A</v>
      </c>
      <c r="K30" s="424" t="e">
        <f ca="1">분동식압력계!AJ45</f>
        <v>#DIV/0!</v>
      </c>
      <c r="L30" s="435"/>
      <c r="M30" s="425" t="str">
        <f ca="1">압력교정기!U46</f>
        <v/>
      </c>
      <c r="N30" s="426" t="str">
        <f ca="1">압력교정기!V46</f>
        <v/>
      </c>
      <c r="O30" s="427" t="e">
        <f ca="1">압력교정기!X46</f>
        <v>#VALUE!</v>
      </c>
      <c r="P30" s="428">
        <f>압력교정기!Y46</f>
        <v>0</v>
      </c>
      <c r="Q30" s="425" t="e">
        <f ca="1">분동식압력계!H45</f>
        <v>#N/A</v>
      </c>
      <c r="R30" s="426" t="str">
        <f>분동식압력계!I45</f>
        <v>% of Reading</v>
      </c>
      <c r="S30" s="427" t="e">
        <f ca="1">분동식압력계!K45</f>
        <v>#N/A</v>
      </c>
      <c r="T30" s="428">
        <f>분동식압력계!L45</f>
        <v>0</v>
      </c>
      <c r="U30" s="429" t="str">
        <f t="shared" ca="1" si="9"/>
        <v/>
      </c>
      <c r="V30" s="430" t="str">
        <f t="shared" ca="1" si="10"/>
        <v/>
      </c>
      <c r="W30" s="431" t="e">
        <f t="shared" ca="1" si="11"/>
        <v>#VALUE!</v>
      </c>
      <c r="X30" s="432">
        <f t="shared" si="1"/>
        <v>0</v>
      </c>
      <c r="Z30" s="431" t="e">
        <f ca="1">IF(TYPE(K30)=16,압력교정기!AT46,0)</f>
        <v>#VALUE!</v>
      </c>
      <c r="AA30" s="432">
        <f>압력교정기!AU46</f>
        <v>0</v>
      </c>
    </row>
    <row r="31" spans="2:27" ht="15" customHeight="1">
      <c r="B31" s="433">
        <f t="shared" si="14"/>
        <v>0</v>
      </c>
      <c r="C31" s="416">
        <f>Pressure_2_R1!D31</f>
        <v>0</v>
      </c>
      <c r="D31" s="417">
        <f>Pressure_2_R1!F31</f>
        <v>0</v>
      </c>
      <c r="E31" s="418" t="e">
        <f t="shared" si="0"/>
        <v>#N/A</v>
      </c>
      <c r="F31" s="419" t="e">
        <f t="shared" si="6"/>
        <v>#N/A</v>
      </c>
      <c r="G31" s="434">
        <f t="shared" si="15"/>
        <v>0</v>
      </c>
      <c r="H31" s="421" t="e">
        <f t="shared" ca="1" si="7"/>
        <v>#N/A</v>
      </c>
      <c r="I31" s="422" t="str">
        <f t="shared" ca="1" si="8"/>
        <v>압력교정기</v>
      </c>
      <c r="J31" s="423" t="e">
        <f>압력교정기!N47</f>
        <v>#N/A</v>
      </c>
      <c r="K31" s="424" t="e">
        <f ca="1">분동식압력계!AJ46</f>
        <v>#DIV/0!</v>
      </c>
      <c r="L31" s="435"/>
      <c r="M31" s="425" t="str">
        <f ca="1">압력교정기!U47</f>
        <v/>
      </c>
      <c r="N31" s="426" t="str">
        <f ca="1">압력교정기!V47</f>
        <v/>
      </c>
      <c r="O31" s="427" t="e">
        <f ca="1">압력교정기!X47</f>
        <v>#VALUE!</v>
      </c>
      <c r="P31" s="428">
        <f>압력교정기!Y47</f>
        <v>0</v>
      </c>
      <c r="Q31" s="425" t="e">
        <f ca="1">분동식압력계!H46</f>
        <v>#N/A</v>
      </c>
      <c r="R31" s="426" t="str">
        <f>분동식압력계!I46</f>
        <v>% of Reading</v>
      </c>
      <c r="S31" s="427" t="e">
        <f ca="1">분동식압력계!K46</f>
        <v>#N/A</v>
      </c>
      <c r="T31" s="428">
        <f>분동식압력계!L46</f>
        <v>0</v>
      </c>
      <c r="U31" s="429" t="str">
        <f t="shared" ca="1" si="9"/>
        <v/>
      </c>
      <c r="V31" s="430" t="str">
        <f t="shared" ca="1" si="10"/>
        <v/>
      </c>
      <c r="W31" s="431" t="e">
        <f t="shared" ca="1" si="11"/>
        <v>#VALUE!</v>
      </c>
      <c r="X31" s="432">
        <f t="shared" si="1"/>
        <v>0</v>
      </c>
      <c r="Z31" s="431" t="e">
        <f ca="1">IF(TYPE(K31)=16,압력교정기!AT47,0)</f>
        <v>#VALUE!</v>
      </c>
      <c r="AA31" s="432">
        <f>압력교정기!AU47</f>
        <v>0</v>
      </c>
    </row>
    <row r="32" spans="2:27" ht="15" customHeight="1">
      <c r="B32" s="433">
        <f t="shared" si="14"/>
        <v>0</v>
      </c>
      <c r="C32" s="416">
        <f>Pressure_2_R1!D32</f>
        <v>0</v>
      </c>
      <c r="D32" s="417">
        <f>Pressure_2_R1!F32</f>
        <v>0</v>
      </c>
      <c r="E32" s="418" t="e">
        <f t="shared" si="0"/>
        <v>#N/A</v>
      </c>
      <c r="F32" s="419" t="e">
        <f t="shared" si="6"/>
        <v>#N/A</v>
      </c>
      <c r="G32" s="434">
        <f t="shared" si="15"/>
        <v>0</v>
      </c>
      <c r="H32" s="421" t="e">
        <f t="shared" ca="1" si="7"/>
        <v>#N/A</v>
      </c>
      <c r="I32" s="422" t="str">
        <f t="shared" ca="1" si="8"/>
        <v>압력교정기</v>
      </c>
      <c r="J32" s="423" t="e">
        <f>압력교정기!N48</f>
        <v>#N/A</v>
      </c>
      <c r="K32" s="424" t="e">
        <f ca="1">분동식압력계!AJ47</f>
        <v>#DIV/0!</v>
      </c>
      <c r="L32" s="435"/>
      <c r="M32" s="425" t="str">
        <f ca="1">압력교정기!U48</f>
        <v/>
      </c>
      <c r="N32" s="426" t="str">
        <f ca="1">압력교정기!V48</f>
        <v/>
      </c>
      <c r="O32" s="427" t="e">
        <f ca="1">압력교정기!X48</f>
        <v>#VALUE!</v>
      </c>
      <c r="P32" s="428">
        <f>압력교정기!Y48</f>
        <v>0</v>
      </c>
      <c r="Q32" s="425" t="e">
        <f ca="1">분동식압력계!H47</f>
        <v>#N/A</v>
      </c>
      <c r="R32" s="426" t="str">
        <f>분동식압력계!I47</f>
        <v>% of Reading</v>
      </c>
      <c r="S32" s="427" t="e">
        <f ca="1">분동식압력계!K47</f>
        <v>#N/A</v>
      </c>
      <c r="T32" s="428">
        <f>분동식압력계!L47</f>
        <v>0</v>
      </c>
      <c r="U32" s="429" t="str">
        <f t="shared" ca="1" si="9"/>
        <v/>
      </c>
      <c r="V32" s="430" t="str">
        <f t="shared" ca="1" si="10"/>
        <v/>
      </c>
      <c r="W32" s="431" t="e">
        <f t="shared" ca="1" si="11"/>
        <v>#VALUE!</v>
      </c>
      <c r="X32" s="432">
        <f t="shared" si="1"/>
        <v>0</v>
      </c>
      <c r="Z32" s="431" t="e">
        <f ca="1">IF(TYPE(K32)=16,압력교정기!AT48,0)</f>
        <v>#VALUE!</v>
      </c>
      <c r="AA32" s="432">
        <f>압력교정기!AU48</f>
        <v>0</v>
      </c>
    </row>
    <row r="33" spans="2:27" ht="15" customHeight="1">
      <c r="B33" s="433">
        <f t="shared" si="14"/>
        <v>0</v>
      </c>
      <c r="C33" s="416">
        <f>Pressure_2_R1!D33</f>
        <v>0</v>
      </c>
      <c r="D33" s="417">
        <f>Pressure_2_R1!F33</f>
        <v>0</v>
      </c>
      <c r="E33" s="418" t="e">
        <f t="shared" si="0"/>
        <v>#N/A</v>
      </c>
      <c r="F33" s="419" t="e">
        <f t="shared" si="6"/>
        <v>#N/A</v>
      </c>
      <c r="G33" s="434">
        <f t="shared" si="15"/>
        <v>0</v>
      </c>
      <c r="H33" s="421" t="e">
        <f t="shared" ca="1" si="7"/>
        <v>#N/A</v>
      </c>
      <c r="I33" s="422" t="str">
        <f t="shared" ca="1" si="8"/>
        <v>압력교정기</v>
      </c>
      <c r="J33" s="423" t="e">
        <f>압력교정기!N49</f>
        <v>#N/A</v>
      </c>
      <c r="K33" s="424" t="e">
        <f ca="1">분동식압력계!AJ48</f>
        <v>#DIV/0!</v>
      </c>
      <c r="L33" s="435"/>
      <c r="M33" s="425" t="str">
        <f ca="1">압력교정기!U49</f>
        <v/>
      </c>
      <c r="N33" s="426" t="str">
        <f ca="1">압력교정기!V49</f>
        <v/>
      </c>
      <c r="O33" s="427" t="e">
        <f ca="1">압력교정기!X49</f>
        <v>#VALUE!</v>
      </c>
      <c r="P33" s="428">
        <f>압력교정기!Y49</f>
        <v>0</v>
      </c>
      <c r="Q33" s="425" t="e">
        <f ca="1">분동식압력계!H48</f>
        <v>#N/A</v>
      </c>
      <c r="R33" s="426" t="str">
        <f>분동식압력계!I48</f>
        <v>% of Reading</v>
      </c>
      <c r="S33" s="427" t="e">
        <f ca="1">분동식압력계!K48</f>
        <v>#N/A</v>
      </c>
      <c r="T33" s="428">
        <f>분동식압력계!L48</f>
        <v>0</v>
      </c>
      <c r="U33" s="429" t="str">
        <f t="shared" ca="1" si="9"/>
        <v/>
      </c>
      <c r="V33" s="430" t="str">
        <f t="shared" ca="1" si="10"/>
        <v/>
      </c>
      <c r="W33" s="431" t="e">
        <f t="shared" ca="1" si="11"/>
        <v>#VALUE!</v>
      </c>
      <c r="X33" s="432">
        <f t="shared" si="1"/>
        <v>0</v>
      </c>
      <c r="Z33" s="431" t="e">
        <f ca="1">IF(TYPE(K33)=16,압력교정기!AT49,0)</f>
        <v>#VALUE!</v>
      </c>
      <c r="AA33" s="432">
        <f>압력교정기!AU49</f>
        <v>0</v>
      </c>
    </row>
  </sheetData>
  <mergeCells count="9">
    <mergeCell ref="U3:V3"/>
    <mergeCell ref="W3:X3"/>
    <mergeCell ref="Z3:AA3"/>
    <mergeCell ref="C3:D3"/>
    <mergeCell ref="F3:G3"/>
    <mergeCell ref="M3:N3"/>
    <mergeCell ref="O3:P3"/>
    <mergeCell ref="Q3:R3"/>
    <mergeCell ref="S3:T3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15</vt:i4>
      </vt:variant>
      <vt:variant>
        <vt:lpstr>이름이 지정된 범위</vt:lpstr>
      </vt:variant>
      <vt:variant>
        <vt:i4>21</vt:i4>
      </vt:variant>
    </vt:vector>
  </HeadingPairs>
  <TitlesOfParts>
    <vt:vector size="36" baseType="lpstr">
      <vt:lpstr>기본정보</vt:lpstr>
      <vt:lpstr>교정결과</vt:lpstr>
      <vt:lpstr>교정결과-E</vt:lpstr>
      <vt:lpstr>교정결과-HY</vt:lpstr>
      <vt:lpstr>판정결과</vt:lpstr>
      <vt:lpstr>부록</vt:lpstr>
      <vt:lpstr>RAWDATA</vt:lpstr>
      <vt:lpstr>측정불확도추정보고서</vt:lpstr>
      <vt:lpstr>표준압력</vt:lpstr>
      <vt:lpstr>압력교정기</vt:lpstr>
      <vt:lpstr>분동식압력계</vt:lpstr>
      <vt:lpstr>Calcu</vt:lpstr>
      <vt:lpstr>Calcu_ADJ</vt:lpstr>
      <vt:lpstr>STD_Data</vt:lpstr>
      <vt:lpstr>Pressure_2_R1</vt:lpstr>
      <vt:lpstr>'교정결과-E'!B_Tag</vt:lpstr>
      <vt:lpstr>'교정결과-HY'!B_Tag</vt:lpstr>
      <vt:lpstr>B_Tag</vt:lpstr>
      <vt:lpstr>판정결과!B_Tag_2</vt:lpstr>
      <vt:lpstr>B_Tag_3</vt:lpstr>
      <vt:lpstr>Pressure_2_R1_CMC</vt:lpstr>
      <vt:lpstr>Pressure_2_R1_Condition</vt:lpstr>
      <vt:lpstr>Pressure_2_R1_Resolution</vt:lpstr>
      <vt:lpstr>Pressure_2_R1_Result</vt:lpstr>
      <vt:lpstr>Pressure_2_R1_Result_ADJ</vt:lpstr>
      <vt:lpstr>Pressure_2_R1_Spec</vt:lpstr>
      <vt:lpstr>Pressure_2_R1_STD1</vt:lpstr>
      <vt:lpstr>Pressure_2_R1_STD2</vt:lpstr>
      <vt:lpstr>Pressure_2_R1_STD3</vt:lpstr>
      <vt:lpstr>Pressure_2_R1_STD4</vt:lpstr>
      <vt:lpstr>기본정보!Print_Area</vt:lpstr>
      <vt:lpstr>교정결과!Print_Titles</vt:lpstr>
      <vt:lpstr>'교정결과-E'!Print_Titles</vt:lpstr>
      <vt:lpstr>'교정결과-HY'!Print_Titles</vt:lpstr>
      <vt:lpstr>부록!Print_Titles</vt:lpstr>
      <vt:lpstr>판정결과!Print_Titles</vt:lpstr>
    </vt:vector>
  </TitlesOfParts>
  <Company>HCT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노트북-5</dc:creator>
  <cp:lastModifiedBy>Jey Jey</cp:lastModifiedBy>
  <cp:lastPrinted>2021-08-20T07:53:03Z</cp:lastPrinted>
  <dcterms:created xsi:type="dcterms:W3CDTF">2004-11-10T00:11:43Z</dcterms:created>
  <dcterms:modified xsi:type="dcterms:W3CDTF">2021-12-16T05:41:19Z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_SA">
    <vt:lpwstr>C:\Users\LG\Documents\MCT\Templates\20411-1.xlsx</vt:lpwstr>
  </property>
</Properties>
</file>