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6"/>
  </bookViews>
  <sheets>
    <sheet name="기본정보" sheetId="13" r:id="rId1"/>
    <sheet name="교정결과" sheetId="11" r:id="rId2"/>
    <sheet name="교정결과-E" sheetId="26" r:id="rId3"/>
    <sheet name="교정결과-HY" sheetId="29" r:id="rId4"/>
    <sheet name="판정결과" sheetId="27" r:id="rId5"/>
    <sheet name="부록" sheetId="23" r:id="rId6"/>
    <sheet name="RAWDATA" sheetId="3" r:id="rId7"/>
    <sheet name="측정불확도추정보고서" sheetId="22" r:id="rId8"/>
    <sheet name="표준압력" sheetId="21" r:id="rId9"/>
    <sheet name="Calcu" sheetId="20" r:id="rId10"/>
    <sheet name="Calcu_ADJ" sheetId="33" r:id="rId11"/>
    <sheet name="STD_Data" sheetId="28" r:id="rId12"/>
    <sheet name="Pressure_3_R1" sheetId="14" r:id="rId13"/>
  </sheets>
  <definedNames>
    <definedName name="_xlnm._FilterDatabase" localSheetId="0" hidden="1">기본정보!#REF!</definedName>
    <definedName name="B_Tag" localSheetId="2">'교정결과-E'!$D$36:$J$36</definedName>
    <definedName name="B_Tag" localSheetId="3">'교정결과-HY'!$B$33:$Q$33</definedName>
    <definedName name="B_Tag">교정결과!$D$36:$J$36</definedName>
    <definedName name="B_Tag_2" localSheetId="4">판정결과!$D$31:$I$31</definedName>
    <definedName name="B_Tag_3">부록!$B$10:$I$10</definedName>
    <definedName name="Pressure_3_R1_CMC">Pressure_3_R1!$G$4:$I$33</definedName>
    <definedName name="Pressure_3_R1_Condition">Pressure_3_R1!$A$4:$F$33</definedName>
    <definedName name="Pressure_3_R1_Resolution">Pressure_3_R1!$J$4:$M$33</definedName>
    <definedName name="Pressure_3_R1_Result">Pressure_3_R1!$Q$4:$S$33</definedName>
    <definedName name="Pressure_3_R1_Result_ADJ">Pressure_3_R1!$U$4:$W$33</definedName>
    <definedName name="Pressure_3_R1_Result2">Pressure_3_R1!$Y$4</definedName>
    <definedName name="Pressure_3_R1_Spec">Pressure_3_R1!$N$4:$P$33</definedName>
    <definedName name="Pressure_3_R1_STD1">Pressure_3_R1!$A$37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  <definedName name="ㅓ82">Calcu!$A$1:$Q$2</definedName>
  </definedNames>
  <calcPr calcId="162913"/>
</workbook>
</file>

<file path=xl/calcChain.xml><?xml version="1.0" encoding="utf-8"?>
<calcChain xmlns="http://schemas.openxmlformats.org/spreadsheetml/2006/main">
  <c r="B19" i="21" l="1"/>
  <c r="B20" i="21"/>
  <c r="B21" i="21"/>
  <c r="B22" i="21"/>
  <c r="B23" i="21"/>
  <c r="B24" i="21"/>
  <c r="B25" i="21"/>
  <c r="B26" i="21"/>
  <c r="B27" i="21"/>
  <c r="F27" i="21" s="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18" i="21"/>
  <c r="M41" i="21" l="1"/>
  <c r="Z41" i="21"/>
  <c r="M33" i="21"/>
  <c r="Z33" i="21"/>
  <c r="M25" i="21"/>
  <c r="Z25" i="21"/>
  <c r="H8" i="20"/>
  <c r="Z18" i="21"/>
  <c r="M40" i="21"/>
  <c r="Z40" i="21"/>
  <c r="M32" i="21"/>
  <c r="Z32" i="21"/>
  <c r="M20" i="21"/>
  <c r="Z20" i="21"/>
  <c r="M47" i="21"/>
  <c r="Z47" i="21"/>
  <c r="M43" i="21"/>
  <c r="Z43" i="21"/>
  <c r="M39" i="21"/>
  <c r="Z39" i="21"/>
  <c r="M35" i="21"/>
  <c r="Z35" i="21"/>
  <c r="M31" i="21"/>
  <c r="Z31" i="21"/>
  <c r="M27" i="21"/>
  <c r="Z27" i="21"/>
  <c r="M23" i="21"/>
  <c r="Z23" i="21"/>
  <c r="M19" i="21"/>
  <c r="Z19" i="21"/>
  <c r="M45" i="21"/>
  <c r="Z45" i="21"/>
  <c r="M37" i="21"/>
  <c r="Z37" i="21"/>
  <c r="M29" i="21"/>
  <c r="Z29" i="21"/>
  <c r="M21" i="21"/>
  <c r="Z21" i="21"/>
  <c r="M44" i="21"/>
  <c r="Z44" i="21"/>
  <c r="M36" i="21"/>
  <c r="Z36" i="21"/>
  <c r="M28" i="21"/>
  <c r="Z28" i="21"/>
  <c r="M24" i="21"/>
  <c r="Z24" i="21"/>
  <c r="M46" i="21"/>
  <c r="Z46" i="21"/>
  <c r="M42" i="21"/>
  <c r="Z42" i="21"/>
  <c r="M38" i="21"/>
  <c r="Z38" i="21"/>
  <c r="M34" i="21"/>
  <c r="Z34" i="21"/>
  <c r="M30" i="21"/>
  <c r="Z30" i="21"/>
  <c r="M26" i="21"/>
  <c r="Z26" i="21"/>
  <c r="M22" i="21"/>
  <c r="Z22" i="21"/>
  <c r="E24" i="21"/>
  <c r="F24" i="21"/>
  <c r="E20" i="21"/>
  <c r="F20" i="21"/>
  <c r="F26" i="21"/>
  <c r="E26" i="21"/>
  <c r="F22" i="21"/>
  <c r="E22" i="21"/>
  <c r="E25" i="21"/>
  <c r="F25" i="21"/>
  <c r="E21" i="21"/>
  <c r="F21" i="21"/>
  <c r="F23" i="21"/>
  <c r="E23" i="21"/>
  <c r="F19" i="21"/>
  <c r="E19" i="21"/>
  <c r="H8" i="33"/>
  <c r="AG18" i="21"/>
  <c r="M18" i="21"/>
  <c r="J11" i="3" l="1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10" i="3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61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25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47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11" i="22"/>
  <c r="X25" i="33"/>
  <c r="Y25" i="33"/>
  <c r="Z25" i="33"/>
  <c r="X26" i="33"/>
  <c r="Y26" i="33"/>
  <c r="Z26" i="33"/>
  <c r="X27" i="33"/>
  <c r="Y27" i="33"/>
  <c r="Z27" i="33"/>
  <c r="X28" i="33"/>
  <c r="Y28" i="33"/>
  <c r="Z28" i="33"/>
  <c r="X29" i="33"/>
  <c r="Y29" i="33"/>
  <c r="Z29" i="33"/>
  <c r="X30" i="33"/>
  <c r="Y30" i="33"/>
  <c r="Z30" i="33"/>
  <c r="X31" i="33"/>
  <c r="Y31" i="33"/>
  <c r="Z31" i="33"/>
  <c r="X32" i="33"/>
  <c r="Y32" i="33"/>
  <c r="Z32" i="33"/>
  <c r="X33" i="33"/>
  <c r="Y33" i="33"/>
  <c r="Z33" i="33"/>
  <c r="X34" i="33"/>
  <c r="Y34" i="33"/>
  <c r="Z34" i="33"/>
  <c r="X35" i="33"/>
  <c r="Y35" i="33"/>
  <c r="Z35" i="33"/>
  <c r="X36" i="33"/>
  <c r="Y36" i="33"/>
  <c r="Z36" i="33"/>
  <c r="X37" i="33"/>
  <c r="Y37" i="33"/>
  <c r="Z37" i="33"/>
  <c r="X38" i="33"/>
  <c r="Y38" i="33"/>
  <c r="Z38" i="33"/>
  <c r="X25" i="20"/>
  <c r="Y25" i="20"/>
  <c r="Z25" i="20"/>
  <c r="X26" i="20"/>
  <c r="Y26" i="20"/>
  <c r="Z26" i="20"/>
  <c r="X27" i="20"/>
  <c r="Y27" i="20"/>
  <c r="Z27" i="20"/>
  <c r="X28" i="20"/>
  <c r="Y28" i="20"/>
  <c r="Z28" i="20"/>
  <c r="X29" i="20"/>
  <c r="Y29" i="20"/>
  <c r="Z29" i="20"/>
  <c r="X30" i="20"/>
  <c r="Y30" i="20"/>
  <c r="Z30" i="20"/>
  <c r="X31" i="20"/>
  <c r="Y31" i="20"/>
  <c r="Z31" i="20"/>
  <c r="X32" i="20"/>
  <c r="Y32" i="20"/>
  <c r="Z32" i="20"/>
  <c r="X33" i="20"/>
  <c r="Y33" i="20"/>
  <c r="Z33" i="20"/>
  <c r="X34" i="20"/>
  <c r="Y34" i="20"/>
  <c r="Z34" i="20"/>
  <c r="X35" i="20"/>
  <c r="Y35" i="20"/>
  <c r="Z35" i="20"/>
  <c r="X36" i="20"/>
  <c r="Y36" i="20"/>
  <c r="Z36" i="20"/>
  <c r="X37" i="20"/>
  <c r="Y37" i="20"/>
  <c r="Z37" i="20"/>
  <c r="X38" i="20"/>
  <c r="Y38" i="20"/>
  <c r="Z38" i="20"/>
  <c r="Z24" i="33"/>
  <c r="Z24" i="20"/>
  <c r="Y24" i="33"/>
  <c r="Y24" i="20"/>
  <c r="X24" i="33"/>
  <c r="X24" i="20"/>
  <c r="V38" i="33"/>
  <c r="U38" i="33"/>
  <c r="T38" i="33"/>
  <c r="V37" i="33"/>
  <c r="U37" i="33"/>
  <c r="T37" i="33"/>
  <c r="V36" i="33"/>
  <c r="U36" i="33"/>
  <c r="T36" i="33"/>
  <c r="V35" i="33"/>
  <c r="U35" i="33"/>
  <c r="T35" i="33"/>
  <c r="V34" i="33"/>
  <c r="U34" i="33"/>
  <c r="T34" i="33"/>
  <c r="V33" i="33"/>
  <c r="U33" i="33"/>
  <c r="T33" i="33"/>
  <c r="V32" i="33"/>
  <c r="U32" i="33"/>
  <c r="T32" i="33"/>
  <c r="V31" i="33"/>
  <c r="U31" i="33"/>
  <c r="T31" i="33"/>
  <c r="V30" i="33"/>
  <c r="U30" i="33"/>
  <c r="T30" i="33"/>
  <c r="V29" i="33"/>
  <c r="U29" i="33"/>
  <c r="T29" i="33"/>
  <c r="V28" i="33"/>
  <c r="U28" i="33"/>
  <c r="T28" i="33"/>
  <c r="V27" i="33"/>
  <c r="U27" i="33"/>
  <c r="T27" i="33"/>
  <c r="V26" i="33"/>
  <c r="U26" i="33"/>
  <c r="T26" i="33"/>
  <c r="V25" i="33"/>
  <c r="U25" i="33"/>
  <c r="T25" i="33"/>
  <c r="V24" i="33"/>
  <c r="U24" i="33"/>
  <c r="V23" i="33"/>
  <c r="U23" i="33"/>
  <c r="T23" i="33"/>
  <c r="V22" i="33"/>
  <c r="U22" i="33"/>
  <c r="T22" i="33"/>
  <c r="V21" i="33"/>
  <c r="U21" i="33"/>
  <c r="T21" i="33"/>
  <c r="V20" i="33"/>
  <c r="U20" i="33"/>
  <c r="T20" i="33"/>
  <c r="V19" i="33"/>
  <c r="U19" i="33"/>
  <c r="T19" i="33"/>
  <c r="V18" i="33"/>
  <c r="U18" i="33"/>
  <c r="T18" i="33"/>
  <c r="V17" i="33"/>
  <c r="U17" i="33"/>
  <c r="T17" i="33"/>
  <c r="V16" i="33"/>
  <c r="U16" i="33"/>
  <c r="T16" i="33"/>
  <c r="V15" i="33"/>
  <c r="U15" i="33"/>
  <c r="T15" i="33"/>
  <c r="V14" i="33"/>
  <c r="U14" i="33"/>
  <c r="T14" i="33"/>
  <c r="V13" i="33"/>
  <c r="U13" i="33"/>
  <c r="T13" i="33"/>
  <c r="V12" i="33"/>
  <c r="U12" i="33"/>
  <c r="T12" i="33"/>
  <c r="V11" i="33"/>
  <c r="U11" i="33"/>
  <c r="T11" i="33"/>
  <c r="V10" i="33"/>
  <c r="U10" i="33"/>
  <c r="T10" i="33"/>
  <c r="V9" i="33"/>
  <c r="U9" i="33"/>
  <c r="T9" i="33"/>
  <c r="V38" i="20"/>
  <c r="U38" i="20"/>
  <c r="T38" i="20"/>
  <c r="V37" i="20"/>
  <c r="U37" i="20"/>
  <c r="T37" i="20"/>
  <c r="V36" i="20"/>
  <c r="U36" i="20"/>
  <c r="T36" i="20"/>
  <c r="V35" i="20"/>
  <c r="U35" i="20"/>
  <c r="T35" i="20"/>
  <c r="V34" i="20"/>
  <c r="U34" i="20"/>
  <c r="T34" i="20"/>
  <c r="V33" i="20"/>
  <c r="U33" i="20"/>
  <c r="T33" i="20"/>
  <c r="V32" i="20"/>
  <c r="U32" i="20"/>
  <c r="T32" i="20"/>
  <c r="V31" i="20"/>
  <c r="U31" i="20"/>
  <c r="T31" i="20"/>
  <c r="V30" i="20"/>
  <c r="U30" i="20"/>
  <c r="T30" i="20"/>
  <c r="V29" i="20"/>
  <c r="U29" i="20"/>
  <c r="T29" i="20"/>
  <c r="V28" i="20"/>
  <c r="U28" i="20"/>
  <c r="T28" i="20"/>
  <c r="V27" i="20"/>
  <c r="U27" i="20"/>
  <c r="T27" i="20"/>
  <c r="V26" i="20"/>
  <c r="U26" i="20"/>
  <c r="T26" i="20"/>
  <c r="V25" i="20"/>
  <c r="U25" i="20"/>
  <c r="T25" i="20"/>
  <c r="V24" i="20"/>
  <c r="U24" i="20"/>
  <c r="V23" i="20"/>
  <c r="U23" i="20"/>
  <c r="T23" i="20"/>
  <c r="V22" i="20"/>
  <c r="U22" i="20"/>
  <c r="T22" i="20"/>
  <c r="V21" i="20"/>
  <c r="U21" i="20"/>
  <c r="T21" i="20"/>
  <c r="V20" i="20"/>
  <c r="U20" i="20"/>
  <c r="T20" i="20"/>
  <c r="V19" i="20"/>
  <c r="U19" i="20"/>
  <c r="T19" i="20"/>
  <c r="V18" i="20"/>
  <c r="U18" i="20"/>
  <c r="T18" i="20"/>
  <c r="V17" i="20"/>
  <c r="U17" i="20"/>
  <c r="T17" i="20"/>
  <c r="V16" i="20"/>
  <c r="U16" i="20"/>
  <c r="T16" i="20"/>
  <c r="V15" i="20"/>
  <c r="U15" i="20"/>
  <c r="T15" i="20"/>
  <c r="V14" i="20"/>
  <c r="U14" i="20"/>
  <c r="T14" i="20"/>
  <c r="V13" i="20"/>
  <c r="U13" i="20"/>
  <c r="T13" i="20"/>
  <c r="V12" i="20"/>
  <c r="U12" i="20"/>
  <c r="T12" i="20"/>
  <c r="V11" i="20"/>
  <c r="U11" i="20"/>
  <c r="T11" i="20"/>
  <c r="V10" i="20"/>
  <c r="U10" i="20"/>
  <c r="T10" i="20"/>
  <c r="V9" i="20"/>
  <c r="U9" i="20"/>
  <c r="T9" i="20"/>
  <c r="T24" i="33"/>
  <c r="T24" i="20"/>
  <c r="D3" i="20" l="1"/>
  <c r="O555" i="22" l="1"/>
  <c r="B506" i="22"/>
  <c r="B504" i="22"/>
  <c r="L471" i="22"/>
  <c r="V470" i="22"/>
  <c r="V469" i="22"/>
  <c r="V468" i="22"/>
  <c r="V467" i="22"/>
  <c r="U466" i="22"/>
  <c r="L466" i="22"/>
  <c r="L538" i="22" s="1"/>
  <c r="I465" i="22"/>
  <c r="Z514" i="22" s="1"/>
  <c r="V464" i="22"/>
  <c r="N464" i="22"/>
  <c r="V463" i="22"/>
  <c r="U462" i="22"/>
  <c r="L462" i="22"/>
  <c r="AO417" i="22"/>
  <c r="AI417" i="22"/>
  <c r="AC417" i="22"/>
  <c r="W417" i="22"/>
  <c r="Q417" i="22"/>
  <c r="K417" i="22"/>
  <c r="E417" i="22"/>
  <c r="K415" i="22"/>
  <c r="AP396" i="22"/>
  <c r="AK396" i="22"/>
  <c r="AF396" i="22"/>
  <c r="AA396" i="22"/>
  <c r="R396" i="22"/>
  <c r="I396" i="22"/>
  <c r="R394" i="22"/>
  <c r="AG354" i="22"/>
  <c r="Z354" i="22"/>
  <c r="S354" i="22"/>
  <c r="AG353" i="22"/>
  <c r="Z353" i="22"/>
  <c r="S353" i="22"/>
  <c r="AG352" i="22"/>
  <c r="Z352" i="22"/>
  <c r="S352" i="22"/>
  <c r="AG351" i="22"/>
  <c r="Z351" i="22"/>
  <c r="S351" i="22"/>
  <c r="AG350" i="22"/>
  <c r="Z350" i="22"/>
  <c r="S350" i="22"/>
  <c r="AG349" i="22"/>
  <c r="Z349" i="22"/>
  <c r="S349" i="22"/>
  <c r="AG348" i="22"/>
  <c r="Z348" i="22"/>
  <c r="S348" i="22"/>
  <c r="AG347" i="22"/>
  <c r="Z347" i="22"/>
  <c r="S347" i="22"/>
  <c r="AG346" i="22"/>
  <c r="Z346" i="22"/>
  <c r="S346" i="22"/>
  <c r="AG345" i="22"/>
  <c r="Z345" i="22"/>
  <c r="S345" i="22"/>
  <c r="AG344" i="22"/>
  <c r="Z344" i="22"/>
  <c r="S344" i="22"/>
  <c r="AG343" i="22"/>
  <c r="Z343" i="22"/>
  <c r="S343" i="22"/>
  <c r="AG342" i="22"/>
  <c r="Z342" i="22"/>
  <c r="S342" i="22"/>
  <c r="AG341" i="22"/>
  <c r="Z341" i="22"/>
  <c r="S341" i="22"/>
  <c r="AG340" i="22"/>
  <c r="Z340" i="22"/>
  <c r="S340" i="22"/>
  <c r="AG339" i="22"/>
  <c r="Z339" i="22"/>
  <c r="S339" i="22"/>
  <c r="AG338" i="22"/>
  <c r="Z338" i="22"/>
  <c r="S338" i="22"/>
  <c r="AG337" i="22"/>
  <c r="Z337" i="22"/>
  <c r="S337" i="22"/>
  <c r="AG336" i="22"/>
  <c r="Z336" i="22"/>
  <c r="S336" i="22"/>
  <c r="AG335" i="22"/>
  <c r="Z335" i="22"/>
  <c r="S335" i="22"/>
  <c r="AG334" i="22"/>
  <c r="Z334" i="22"/>
  <c r="S334" i="22"/>
  <c r="AG333" i="22"/>
  <c r="Z333" i="22"/>
  <c r="S333" i="22"/>
  <c r="AG332" i="22"/>
  <c r="Z332" i="22"/>
  <c r="S332" i="22"/>
  <c r="AG331" i="22"/>
  <c r="Z331" i="22"/>
  <c r="S331" i="22"/>
  <c r="AG330" i="22"/>
  <c r="Z330" i="22"/>
  <c r="S330" i="22"/>
  <c r="AG329" i="22"/>
  <c r="Z329" i="22"/>
  <c r="S329" i="22"/>
  <c r="AG328" i="22"/>
  <c r="Z328" i="22"/>
  <c r="S328" i="22"/>
  <c r="AG327" i="22"/>
  <c r="Z327" i="22"/>
  <c r="S327" i="22"/>
  <c r="AG326" i="22"/>
  <c r="Z326" i="22"/>
  <c r="S326" i="22"/>
  <c r="AG325" i="22"/>
  <c r="Z325" i="22"/>
  <c r="S325" i="22"/>
  <c r="AG324" i="22"/>
  <c r="Z324" i="22"/>
  <c r="S324" i="22"/>
  <c r="L324" i="22"/>
  <c r="AF319" i="22"/>
  <c r="H319" i="22"/>
  <c r="O241" i="22"/>
  <c r="B192" i="22"/>
  <c r="L157" i="22"/>
  <c r="V156" i="22"/>
  <c r="V155" i="22"/>
  <c r="V154" i="22"/>
  <c r="V153" i="22"/>
  <c r="U152" i="22"/>
  <c r="L152" i="22"/>
  <c r="I151" i="22"/>
  <c r="Y216" i="22" s="1"/>
  <c r="V150" i="22"/>
  <c r="N150" i="22"/>
  <c r="V149" i="22"/>
  <c r="AC182" i="22" s="1"/>
  <c r="X187" i="22" s="1"/>
  <c r="U148" i="22"/>
  <c r="AP148" i="22" s="1"/>
  <c r="J296" i="22" s="1"/>
  <c r="L148" i="22"/>
  <c r="AO103" i="22"/>
  <c r="AI103" i="22"/>
  <c r="AC103" i="22"/>
  <c r="W103" i="22"/>
  <c r="Q103" i="22"/>
  <c r="K103" i="22"/>
  <c r="E103" i="22"/>
  <c r="AP82" i="22"/>
  <c r="AK82" i="22"/>
  <c r="AF82" i="22"/>
  <c r="AA82" i="22"/>
  <c r="R82" i="22"/>
  <c r="I82" i="22"/>
  <c r="AG40" i="22"/>
  <c r="Z40" i="22"/>
  <c r="S40" i="22"/>
  <c r="AG39" i="22"/>
  <c r="Z39" i="22"/>
  <c r="S39" i="22"/>
  <c r="AG38" i="22"/>
  <c r="Z38" i="22"/>
  <c r="S38" i="22"/>
  <c r="AG37" i="22"/>
  <c r="Z37" i="22"/>
  <c r="S37" i="22"/>
  <c r="AG36" i="22"/>
  <c r="Z36" i="22"/>
  <c r="S36" i="22"/>
  <c r="AG35" i="22"/>
  <c r="Z35" i="22"/>
  <c r="S35" i="22"/>
  <c r="AG34" i="22"/>
  <c r="Z34" i="22"/>
  <c r="S34" i="22"/>
  <c r="AG33" i="22"/>
  <c r="Z33" i="22"/>
  <c r="S33" i="22"/>
  <c r="AG32" i="22"/>
  <c r="Z32" i="22"/>
  <c r="S32" i="22"/>
  <c r="AG31" i="22"/>
  <c r="Z31" i="22"/>
  <c r="S31" i="22"/>
  <c r="AG30" i="22"/>
  <c r="Z30" i="22"/>
  <c r="S30" i="22"/>
  <c r="AG29" i="22"/>
  <c r="Z29" i="22"/>
  <c r="S29" i="22"/>
  <c r="AG28" i="22"/>
  <c r="Z28" i="22"/>
  <c r="S28" i="22"/>
  <c r="AG27" i="22"/>
  <c r="Z27" i="22"/>
  <c r="S27" i="22"/>
  <c r="AG26" i="22"/>
  <c r="Z26" i="22"/>
  <c r="S26" i="22"/>
  <c r="AG25" i="22"/>
  <c r="Z25" i="22"/>
  <c r="S25" i="22"/>
  <c r="AG24" i="22"/>
  <c r="Z24" i="22"/>
  <c r="S24" i="22"/>
  <c r="AG23" i="22"/>
  <c r="Z23" i="22"/>
  <c r="S23" i="22"/>
  <c r="AG22" i="22"/>
  <c r="Z22" i="22"/>
  <c r="S22" i="22"/>
  <c r="AG21" i="22"/>
  <c r="Z21" i="22"/>
  <c r="S21" i="22"/>
  <c r="AG20" i="22"/>
  <c r="Z20" i="22"/>
  <c r="S20" i="22"/>
  <c r="AG19" i="22"/>
  <c r="Z19" i="22"/>
  <c r="S19" i="22"/>
  <c r="AG18" i="22"/>
  <c r="Z18" i="22"/>
  <c r="S18" i="22"/>
  <c r="AG17" i="22"/>
  <c r="Z17" i="22"/>
  <c r="S17" i="22"/>
  <c r="AG16" i="22"/>
  <c r="Z16" i="22"/>
  <c r="S16" i="22"/>
  <c r="AG15" i="22"/>
  <c r="Z15" i="22"/>
  <c r="S15" i="22"/>
  <c r="AG14" i="22"/>
  <c r="Z14" i="22"/>
  <c r="S14" i="22"/>
  <c r="AG13" i="22"/>
  <c r="Z13" i="22"/>
  <c r="S13" i="22"/>
  <c r="AG12" i="22"/>
  <c r="Z12" i="22"/>
  <c r="S12" i="22"/>
  <c r="AG11" i="22"/>
  <c r="Z11" i="22"/>
  <c r="S11" i="22"/>
  <c r="AG10" i="22"/>
  <c r="Z10" i="22"/>
  <c r="S10" i="22"/>
  <c r="L10" i="22"/>
  <c r="AF5" i="22"/>
  <c r="H5" i="22"/>
  <c r="K604" i="22"/>
  <c r="N602" i="22"/>
  <c r="H601" i="22"/>
  <c r="Y599" i="22"/>
  <c r="R604" i="22" s="1"/>
  <c r="S599" i="22"/>
  <c r="K591" i="22"/>
  <c r="N589" i="22"/>
  <c r="H588" i="22"/>
  <c r="Y586" i="22"/>
  <c r="R591" i="22" s="1"/>
  <c r="S586" i="22"/>
  <c r="R574" i="22"/>
  <c r="K574" i="22"/>
  <c r="S572" i="22"/>
  <c r="H571" i="22"/>
  <c r="AA569" i="22"/>
  <c r="L562" i="22"/>
  <c r="K561" i="22"/>
  <c r="N559" i="22"/>
  <c r="H558" i="22"/>
  <c r="Y556" i="22"/>
  <c r="R561" i="22" s="1"/>
  <c r="S556" i="22"/>
  <c r="Q556" i="22"/>
  <c r="V556" i="22" s="1"/>
  <c r="O561" i="22" s="1"/>
  <c r="AG550" i="22"/>
  <c r="AB550" i="22"/>
  <c r="W550" i="22"/>
  <c r="R550" i="22"/>
  <c r="K547" i="22"/>
  <c r="M545" i="22"/>
  <c r="H544" i="22"/>
  <c r="Y530" i="22"/>
  <c r="H528" i="22"/>
  <c r="G525" i="22"/>
  <c r="W515" i="22"/>
  <c r="H512" i="22"/>
  <c r="Z510" i="22"/>
  <c r="L502" i="22"/>
  <c r="H498" i="22"/>
  <c r="AC496" i="22"/>
  <c r="X501" i="22" s="1"/>
  <c r="AB490" i="22"/>
  <c r="W490" i="22"/>
  <c r="R490" i="22"/>
  <c r="M485" i="22"/>
  <c r="K487" i="22" s="1"/>
  <c r="H484" i="22"/>
  <c r="AP466" i="22"/>
  <c r="P610" i="22" s="1"/>
  <c r="AP462" i="22"/>
  <c r="J610" i="22" s="1"/>
  <c r="L477" i="22"/>
  <c r="AG360" i="22"/>
  <c r="L360" i="22"/>
  <c r="AN324" i="22"/>
  <c r="AN360" i="22" s="1"/>
  <c r="Z360" i="22"/>
  <c r="S360" i="22"/>
  <c r="R290" i="22"/>
  <c r="K290" i="22"/>
  <c r="N288" i="22"/>
  <c r="H287" i="22"/>
  <c r="Y285" i="22"/>
  <c r="S285" i="22"/>
  <c r="K277" i="22"/>
  <c r="N275" i="22"/>
  <c r="H274" i="22"/>
  <c r="Y272" i="22"/>
  <c r="R277" i="22" s="1"/>
  <c r="S272" i="22"/>
  <c r="K260" i="22"/>
  <c r="S258" i="22"/>
  <c r="H257" i="22"/>
  <c r="AA255" i="22"/>
  <c r="R260" i="22" s="1"/>
  <c r="L248" i="22"/>
  <c r="O247" i="22"/>
  <c r="U247" i="22" s="1"/>
  <c r="K247" i="22"/>
  <c r="N245" i="22"/>
  <c r="H244" i="22"/>
  <c r="Y242" i="22"/>
  <c r="R247" i="22" s="1"/>
  <c r="S242" i="22"/>
  <c r="Q242" i="22"/>
  <c r="V242" i="22" s="1"/>
  <c r="AG236" i="22"/>
  <c r="AB236" i="22"/>
  <c r="W236" i="22"/>
  <c r="R236" i="22"/>
  <c r="M231" i="22"/>
  <c r="K233" i="22" s="1"/>
  <c r="H230" i="22"/>
  <c r="L224" i="22"/>
  <c r="H214" i="22"/>
  <c r="G211" i="22"/>
  <c r="H198" i="22"/>
  <c r="Z196" i="22"/>
  <c r="W201" i="22" s="1"/>
  <c r="L188" i="22"/>
  <c r="H184" i="22"/>
  <c r="AB176" i="22"/>
  <c r="W176" i="22"/>
  <c r="R176" i="22"/>
  <c r="M171" i="22"/>
  <c r="K173" i="22" s="1"/>
  <c r="H170" i="22"/>
  <c r="AP152" i="22"/>
  <c r="P296" i="22" s="1"/>
  <c r="H208" i="22"/>
  <c r="K210" i="22" s="1"/>
  <c r="P212" i="22" s="1"/>
  <c r="W212" i="22" s="1"/>
  <c r="S217" i="22" s="1"/>
  <c r="L163" i="22"/>
  <c r="Z46" i="22"/>
  <c r="S46" i="22"/>
  <c r="L46" i="22"/>
  <c r="Y480" i="22" l="1"/>
  <c r="X500" i="22"/>
  <c r="AG46" i="22"/>
  <c r="AN10" i="22"/>
  <c r="AN46" i="22" s="1"/>
  <c r="AP157" i="22"/>
  <c r="I297" i="22" s="1"/>
  <c r="N310" i="22" s="1"/>
  <c r="T310" i="22" s="1"/>
  <c r="X186" i="22"/>
  <c r="Z200" i="22"/>
  <c r="Y166" i="22"/>
  <c r="AP471" i="22"/>
  <c r="I611" i="22" s="1"/>
  <c r="N624" i="22" s="1"/>
  <c r="T624" i="22" s="1"/>
  <c r="U561" i="22"/>
  <c r="H522" i="22"/>
  <c r="K524" i="22" s="1"/>
  <c r="P526" i="22" s="1"/>
  <c r="W526" i="22" s="1"/>
  <c r="S531" i="22" s="1"/>
  <c r="W44" i="33" l="1"/>
  <c r="W44" i="20"/>
  <c r="R44" i="33"/>
  <c r="Q42" i="33"/>
  <c r="R44" i="20"/>
  <c r="I82" i="33" l="1"/>
  <c r="N82" i="33" s="1"/>
  <c r="C38" i="33"/>
  <c r="B38" i="33"/>
  <c r="C37" i="33"/>
  <c r="B37" i="33"/>
  <c r="C36" i="33"/>
  <c r="B36" i="33"/>
  <c r="C35" i="33"/>
  <c r="B35" i="33"/>
  <c r="C34" i="33"/>
  <c r="B34" i="33"/>
  <c r="C33" i="33"/>
  <c r="B33" i="33"/>
  <c r="C32" i="33"/>
  <c r="B32" i="33"/>
  <c r="C31" i="33"/>
  <c r="B31" i="33"/>
  <c r="C30" i="33"/>
  <c r="B30" i="33"/>
  <c r="C29" i="33"/>
  <c r="B29" i="33"/>
  <c r="C28" i="33"/>
  <c r="B28" i="33"/>
  <c r="C27" i="33"/>
  <c r="B27" i="33"/>
  <c r="C26" i="33"/>
  <c r="B26" i="33"/>
  <c r="C25" i="33"/>
  <c r="B25" i="33"/>
  <c r="C24" i="33"/>
  <c r="B24" i="33"/>
  <c r="C23" i="33"/>
  <c r="B23" i="33"/>
  <c r="C22" i="33"/>
  <c r="B22" i="33"/>
  <c r="C21" i="33"/>
  <c r="B21" i="33"/>
  <c r="C20" i="33"/>
  <c r="B20" i="33"/>
  <c r="C19" i="33"/>
  <c r="B19" i="33"/>
  <c r="C18" i="33"/>
  <c r="B18" i="33"/>
  <c r="C17" i="33"/>
  <c r="B17" i="33"/>
  <c r="C16" i="33"/>
  <c r="B16" i="33"/>
  <c r="H16" i="33" s="1"/>
  <c r="E332" i="22" s="1"/>
  <c r="C15" i="33"/>
  <c r="B15" i="33"/>
  <c r="H15" i="33" s="1"/>
  <c r="E331" i="22" s="1"/>
  <c r="C14" i="33"/>
  <c r="B14" i="33"/>
  <c r="C13" i="33"/>
  <c r="B13" i="33"/>
  <c r="C12" i="33"/>
  <c r="B12" i="33"/>
  <c r="C11" i="33"/>
  <c r="B11" i="33"/>
  <c r="C10" i="33"/>
  <c r="B10" i="33"/>
  <c r="C9" i="33"/>
  <c r="B9" i="33"/>
  <c r="L3" i="33"/>
  <c r="M3" i="33" s="1"/>
  <c r="G3" i="33"/>
  <c r="F3" i="33"/>
  <c r="C3" i="33"/>
  <c r="G8" i="33" s="1"/>
  <c r="I8" i="33" s="1"/>
  <c r="J8" i="33" s="1"/>
  <c r="P91" i="33"/>
  <c r="J82" i="33"/>
  <c r="B59" i="33"/>
  <c r="B79" i="33" s="1"/>
  <c r="B58" i="33"/>
  <c r="B78" i="33" s="1"/>
  <c r="B57" i="33"/>
  <c r="B77" i="33" s="1"/>
  <c r="B56" i="33"/>
  <c r="B76" i="33" s="1"/>
  <c r="B55" i="33"/>
  <c r="B75" i="33" s="1"/>
  <c r="B54" i="33"/>
  <c r="B74" i="33" s="1"/>
  <c r="B53" i="33"/>
  <c r="B73" i="33" s="1"/>
  <c r="B52" i="33"/>
  <c r="B72" i="33" s="1"/>
  <c r="B51" i="33"/>
  <c r="B71" i="33" s="1"/>
  <c r="B50" i="33"/>
  <c r="B70" i="33" s="1"/>
  <c r="B49" i="33"/>
  <c r="B69" i="33" s="1"/>
  <c r="B48" i="33"/>
  <c r="B68" i="33" s="1"/>
  <c r="B47" i="33"/>
  <c r="B67" i="33" s="1"/>
  <c r="B46" i="33"/>
  <c r="B66" i="33" s="1"/>
  <c r="B45" i="33"/>
  <c r="B65" i="33" s="1"/>
  <c r="H44" i="33"/>
  <c r="I34" i="33"/>
  <c r="L350" i="22" s="1"/>
  <c r="L386" i="22" s="1"/>
  <c r="AJ31" i="33"/>
  <c r="AH31" i="33" s="1"/>
  <c r="AF31" i="33"/>
  <c r="AE31" i="33" s="1"/>
  <c r="AJ30" i="33"/>
  <c r="AI30" i="33" s="1"/>
  <c r="AF30" i="33"/>
  <c r="AJ29" i="33"/>
  <c r="AH29" i="33" s="1"/>
  <c r="AF29" i="33"/>
  <c r="I29" i="33"/>
  <c r="L345" i="22" s="1"/>
  <c r="L381" i="22" s="1"/>
  <c r="AJ28" i="33"/>
  <c r="AI28" i="33" s="1"/>
  <c r="AF28" i="33"/>
  <c r="AD28" i="33" s="1"/>
  <c r="AJ27" i="33"/>
  <c r="AH27" i="33" s="1"/>
  <c r="AF27" i="33"/>
  <c r="AE27" i="33" s="1"/>
  <c r="AJ26" i="33"/>
  <c r="AI26" i="33" s="1"/>
  <c r="AF26" i="33"/>
  <c r="AD26" i="33" s="1"/>
  <c r="AJ25" i="33"/>
  <c r="AI25" i="33" s="1"/>
  <c r="AF25" i="33"/>
  <c r="AE25" i="33" s="1"/>
  <c r="AJ24" i="33"/>
  <c r="AI24" i="33" s="1"/>
  <c r="AF24" i="33"/>
  <c r="AE24" i="33" s="1"/>
  <c r="AJ23" i="33"/>
  <c r="AF23" i="33"/>
  <c r="AD23" i="33" s="1"/>
  <c r="AI22" i="33"/>
  <c r="AE22" i="33"/>
  <c r="AJ21" i="33"/>
  <c r="AF21" i="33"/>
  <c r="AE21" i="33" s="1"/>
  <c r="AJ20" i="33"/>
  <c r="AH20" i="33" s="1"/>
  <c r="AF20" i="33"/>
  <c r="AD20" i="33" s="1"/>
  <c r="AJ19" i="33"/>
  <c r="AF19" i="33"/>
  <c r="AD19" i="33" s="1"/>
  <c r="AJ18" i="33"/>
  <c r="AH18" i="33" s="1"/>
  <c r="AF18" i="33"/>
  <c r="AE18" i="33" s="1"/>
  <c r="AD18" i="33"/>
  <c r="AJ17" i="33"/>
  <c r="AH17" i="33" s="1"/>
  <c r="AF17" i="33"/>
  <c r="AE17" i="33" s="1"/>
  <c r="AJ16" i="33"/>
  <c r="AF16" i="33"/>
  <c r="AE16" i="33" s="1"/>
  <c r="AJ15" i="33"/>
  <c r="AI15" i="33" s="1"/>
  <c r="AF15" i="33"/>
  <c r="AD15" i="33" s="1"/>
  <c r="AJ14" i="33"/>
  <c r="AI14" i="33" s="1"/>
  <c r="AF14" i="33"/>
  <c r="AJ13" i="33"/>
  <c r="AI13" i="33" s="1"/>
  <c r="AF13" i="33"/>
  <c r="AD13" i="33" s="1"/>
  <c r="AJ12" i="33"/>
  <c r="AH12" i="33" s="1"/>
  <c r="AF12" i="33"/>
  <c r="AD12" i="33" s="1"/>
  <c r="AJ11" i="33"/>
  <c r="AF11" i="33"/>
  <c r="AD11" i="33" s="1"/>
  <c r="AJ10" i="33"/>
  <c r="AI10" i="33" s="1"/>
  <c r="AF10" i="33"/>
  <c r="AJ9" i="33"/>
  <c r="AI9" i="33" s="1"/>
  <c r="AF9" i="33"/>
  <c r="AD9" i="33" s="1"/>
  <c r="AJ8" i="33"/>
  <c r="AH8" i="33" s="1"/>
  <c r="AF8" i="33"/>
  <c r="AE8" i="33" s="1"/>
  <c r="AJ7" i="33"/>
  <c r="AF7" i="33"/>
  <c r="AD7" i="33" s="1"/>
  <c r="D3" i="33"/>
  <c r="H42" i="33" s="1"/>
  <c r="AG381" i="22" l="1"/>
  <c r="Z381" i="22"/>
  <c r="AN381" i="22" s="1"/>
  <c r="S381" i="22"/>
  <c r="AG386" i="22"/>
  <c r="S386" i="22"/>
  <c r="Z386" i="22"/>
  <c r="AN386" i="22" s="1"/>
  <c r="AD21" i="33"/>
  <c r="AH24" i="33"/>
  <c r="AE28" i="33"/>
  <c r="H3" i="33"/>
  <c r="I3" i="33" s="1"/>
  <c r="N34" i="3" s="1"/>
  <c r="AE13" i="33"/>
  <c r="AD17" i="33"/>
  <c r="AD16" i="33"/>
  <c r="M32" i="33"/>
  <c r="J32" i="33"/>
  <c r="O32" i="33"/>
  <c r="L32" i="33"/>
  <c r="N32" i="33"/>
  <c r="K32" i="33"/>
  <c r="O10" i="33"/>
  <c r="L10" i="33"/>
  <c r="N10" i="33"/>
  <c r="K10" i="33"/>
  <c r="M10" i="33"/>
  <c r="J10" i="33"/>
  <c r="H12" i="33"/>
  <c r="E328" i="22" s="1"/>
  <c r="M12" i="33"/>
  <c r="J12" i="33"/>
  <c r="O12" i="33"/>
  <c r="L12" i="33"/>
  <c r="N12" i="33"/>
  <c r="K12" i="33"/>
  <c r="O14" i="33"/>
  <c r="L14" i="33"/>
  <c r="N14" i="33"/>
  <c r="K14" i="33"/>
  <c r="M14" i="33"/>
  <c r="J14" i="33"/>
  <c r="H17" i="33"/>
  <c r="E333" i="22" s="1"/>
  <c r="N17" i="33"/>
  <c r="K17" i="33"/>
  <c r="M17" i="33"/>
  <c r="J17" i="33"/>
  <c r="O17" i="33"/>
  <c r="L17" i="33"/>
  <c r="H19" i="33"/>
  <c r="E335" i="22" s="1"/>
  <c r="O19" i="33"/>
  <c r="L19" i="33"/>
  <c r="N19" i="33"/>
  <c r="K19" i="33"/>
  <c r="J19" i="33"/>
  <c r="M19" i="33"/>
  <c r="H21" i="33"/>
  <c r="E337" i="22" s="1"/>
  <c r="N21" i="33"/>
  <c r="K21" i="33"/>
  <c r="M21" i="33"/>
  <c r="J21" i="33"/>
  <c r="O21" i="33"/>
  <c r="L21" i="33"/>
  <c r="H23" i="33"/>
  <c r="E339" i="22" s="1"/>
  <c r="O23" i="33"/>
  <c r="L23" i="33"/>
  <c r="N23" i="33"/>
  <c r="K23" i="33"/>
  <c r="M23" i="33"/>
  <c r="J23" i="33"/>
  <c r="H25" i="33"/>
  <c r="E341" i="22" s="1"/>
  <c r="N25" i="33"/>
  <c r="K25" i="33"/>
  <c r="M25" i="33"/>
  <c r="J25" i="33"/>
  <c r="L25" i="33"/>
  <c r="O25" i="33"/>
  <c r="H27" i="33"/>
  <c r="E343" i="22" s="1"/>
  <c r="O27" i="33"/>
  <c r="L27" i="33"/>
  <c r="N27" i="33"/>
  <c r="K27" i="33"/>
  <c r="M27" i="33"/>
  <c r="J27" i="33"/>
  <c r="H29" i="33"/>
  <c r="E345" i="22" s="1"/>
  <c r="N29" i="33"/>
  <c r="K29" i="33"/>
  <c r="M29" i="33"/>
  <c r="J29" i="33"/>
  <c r="L29" i="33"/>
  <c r="O29" i="33"/>
  <c r="O31" i="33"/>
  <c r="L31" i="33"/>
  <c r="N31" i="33"/>
  <c r="K31" i="33"/>
  <c r="M31" i="33"/>
  <c r="J31" i="33"/>
  <c r="O34" i="33"/>
  <c r="L34" i="33"/>
  <c r="N34" i="33"/>
  <c r="K34" i="33"/>
  <c r="M34" i="33"/>
  <c r="J34" i="33"/>
  <c r="H36" i="33"/>
  <c r="E352" i="22" s="1"/>
  <c r="M36" i="33"/>
  <c r="J36" i="33"/>
  <c r="O36" i="33"/>
  <c r="L36" i="33"/>
  <c r="K36" i="33"/>
  <c r="N36" i="33"/>
  <c r="O38" i="33"/>
  <c r="L38" i="33"/>
  <c r="N38" i="33"/>
  <c r="K38" i="33"/>
  <c r="M38" i="33"/>
  <c r="J38" i="33"/>
  <c r="AI8" i="33"/>
  <c r="AE12" i="33"/>
  <c r="AE15" i="33"/>
  <c r="AI29" i="33"/>
  <c r="G31" i="33"/>
  <c r="L32" i="3" s="1"/>
  <c r="M82" i="33"/>
  <c r="F44" i="33"/>
  <c r="D64" i="33" s="1"/>
  <c r="M16" i="33"/>
  <c r="J16" i="33"/>
  <c r="O16" i="33"/>
  <c r="L16" i="33"/>
  <c r="N16" i="33"/>
  <c r="K16" i="33"/>
  <c r="H32" i="33"/>
  <c r="E348" i="22" s="1"/>
  <c r="K8" i="33"/>
  <c r="M9" i="3"/>
  <c r="AH25" i="33"/>
  <c r="H9" i="33"/>
  <c r="E325" i="22" s="1"/>
  <c r="N9" i="33"/>
  <c r="K9" i="33"/>
  <c r="M9" i="33"/>
  <c r="J9" i="33"/>
  <c r="O9" i="33"/>
  <c r="L9" i="33"/>
  <c r="H11" i="33"/>
  <c r="E327" i="22" s="1"/>
  <c r="O11" i="33"/>
  <c r="L11" i="33"/>
  <c r="N11" i="33"/>
  <c r="K11" i="33"/>
  <c r="M11" i="33"/>
  <c r="J11" i="33"/>
  <c r="H13" i="33"/>
  <c r="E329" i="22" s="1"/>
  <c r="N13" i="33"/>
  <c r="K13" i="33"/>
  <c r="M13" i="33"/>
  <c r="J13" i="33"/>
  <c r="L13" i="33"/>
  <c r="O13" i="33"/>
  <c r="O15" i="33"/>
  <c r="L15" i="33"/>
  <c r="N15" i="33"/>
  <c r="K15" i="33"/>
  <c r="J15" i="33"/>
  <c r="M15" i="33"/>
  <c r="O18" i="33"/>
  <c r="L18" i="33"/>
  <c r="N18" i="33"/>
  <c r="K18" i="33"/>
  <c r="M18" i="33"/>
  <c r="J18" i="33"/>
  <c r="H20" i="33"/>
  <c r="E336" i="22" s="1"/>
  <c r="M20" i="33"/>
  <c r="J20" i="33"/>
  <c r="O20" i="33"/>
  <c r="L20" i="33"/>
  <c r="N20" i="33"/>
  <c r="K20" i="33"/>
  <c r="O22" i="33"/>
  <c r="L22" i="33"/>
  <c r="N22" i="33"/>
  <c r="K22" i="33"/>
  <c r="M22" i="33"/>
  <c r="J22" i="33"/>
  <c r="H24" i="33"/>
  <c r="E340" i="22" s="1"/>
  <c r="M24" i="33"/>
  <c r="J24" i="33"/>
  <c r="O24" i="33"/>
  <c r="L24" i="33"/>
  <c r="K24" i="33"/>
  <c r="N24" i="33"/>
  <c r="O26" i="33"/>
  <c r="L26" i="33"/>
  <c r="N26" i="33"/>
  <c r="K26" i="33"/>
  <c r="M26" i="33"/>
  <c r="J26" i="33"/>
  <c r="H28" i="33"/>
  <c r="E344" i="22" s="1"/>
  <c r="M28" i="33"/>
  <c r="J28" i="33"/>
  <c r="O28" i="33"/>
  <c r="L28" i="33"/>
  <c r="N28" i="33"/>
  <c r="K28" i="33"/>
  <c r="O30" i="33"/>
  <c r="L30" i="33"/>
  <c r="N30" i="33"/>
  <c r="K30" i="33"/>
  <c r="M30" i="33"/>
  <c r="J30" i="33"/>
  <c r="H31" i="33"/>
  <c r="E347" i="22" s="1"/>
  <c r="H33" i="33"/>
  <c r="E349" i="22" s="1"/>
  <c r="N33" i="33"/>
  <c r="K33" i="33"/>
  <c r="M33" i="33"/>
  <c r="J33" i="33"/>
  <c r="O33" i="33"/>
  <c r="L33" i="33"/>
  <c r="H35" i="33"/>
  <c r="E351" i="22" s="1"/>
  <c r="O35" i="33"/>
  <c r="L35" i="33"/>
  <c r="N35" i="33"/>
  <c r="K35" i="33"/>
  <c r="J35" i="33"/>
  <c r="M35" i="33"/>
  <c r="H37" i="33"/>
  <c r="E353" i="22" s="1"/>
  <c r="N37" i="33"/>
  <c r="K37" i="33"/>
  <c r="M37" i="33"/>
  <c r="J37" i="33"/>
  <c r="O37" i="33"/>
  <c r="L37" i="33"/>
  <c r="AE9" i="33"/>
  <c r="AI18" i="33"/>
  <c r="AE20" i="33"/>
  <c r="AE26" i="33"/>
  <c r="AI27" i="33"/>
  <c r="L82" i="33"/>
  <c r="AI31" i="33"/>
  <c r="AD8" i="33"/>
  <c r="AH9" i="33"/>
  <c r="AH10" i="33"/>
  <c r="AH13" i="33"/>
  <c r="AH14" i="33"/>
  <c r="AE19" i="33"/>
  <c r="AD24" i="33"/>
  <c r="AH26" i="33"/>
  <c r="AH28" i="33"/>
  <c r="AD31" i="33"/>
  <c r="AI17" i="33"/>
  <c r="AI20" i="33"/>
  <c r="AE23" i="33"/>
  <c r="AD25" i="33"/>
  <c r="AH30" i="33"/>
  <c r="F11" i="33"/>
  <c r="K12" i="3" s="1"/>
  <c r="E11" i="33"/>
  <c r="F15" i="33"/>
  <c r="K16" i="3" s="1"/>
  <c r="E15" i="33"/>
  <c r="F19" i="33"/>
  <c r="K20" i="3" s="1"/>
  <c r="E19" i="33"/>
  <c r="F23" i="33"/>
  <c r="K24" i="3" s="1"/>
  <c r="E23" i="33"/>
  <c r="G23" i="33"/>
  <c r="L24" i="3" s="1"/>
  <c r="F27" i="33"/>
  <c r="K28" i="3" s="1"/>
  <c r="E27" i="33"/>
  <c r="F31" i="33"/>
  <c r="K32" i="3" s="1"/>
  <c r="E31" i="33"/>
  <c r="F35" i="33"/>
  <c r="K36" i="3" s="1"/>
  <c r="E35" i="33"/>
  <c r="I35" i="33"/>
  <c r="L351" i="22" s="1"/>
  <c r="L387" i="22" s="1"/>
  <c r="F10" i="33"/>
  <c r="K11" i="3" s="1"/>
  <c r="E10" i="33"/>
  <c r="F14" i="33"/>
  <c r="K15" i="3" s="1"/>
  <c r="E14" i="33"/>
  <c r="F18" i="33"/>
  <c r="K19" i="3" s="1"/>
  <c r="E18" i="33"/>
  <c r="F22" i="33"/>
  <c r="K23" i="3" s="1"/>
  <c r="I22" i="33"/>
  <c r="L338" i="22" s="1"/>
  <c r="L374" i="22" s="1"/>
  <c r="E22" i="33"/>
  <c r="F26" i="33"/>
  <c r="K27" i="3" s="1"/>
  <c r="E26" i="33"/>
  <c r="G26" i="33"/>
  <c r="L27" i="3" s="1"/>
  <c r="F30" i="33"/>
  <c r="K31" i="3" s="1"/>
  <c r="E30" i="33"/>
  <c r="F34" i="33"/>
  <c r="K35" i="3" s="1"/>
  <c r="G34" i="33"/>
  <c r="L35" i="3" s="1"/>
  <c r="E34" i="33"/>
  <c r="F38" i="33"/>
  <c r="K39" i="3" s="1"/>
  <c r="G38" i="33"/>
  <c r="L39" i="3" s="1"/>
  <c r="E38" i="33"/>
  <c r="F9" i="33"/>
  <c r="K10" i="3" s="1"/>
  <c r="E9" i="33"/>
  <c r="F13" i="33"/>
  <c r="K14" i="3" s="1"/>
  <c r="E13" i="33"/>
  <c r="F17" i="33"/>
  <c r="K18" i="3" s="1"/>
  <c r="E17" i="33"/>
  <c r="F21" i="33"/>
  <c r="K22" i="3" s="1"/>
  <c r="E21" i="33"/>
  <c r="I21" i="33"/>
  <c r="L337" i="22" s="1"/>
  <c r="L373" i="22" s="1"/>
  <c r="F25" i="33"/>
  <c r="K26" i="3" s="1"/>
  <c r="I25" i="33"/>
  <c r="L341" i="22" s="1"/>
  <c r="L377" i="22" s="1"/>
  <c r="E25" i="33"/>
  <c r="F29" i="33"/>
  <c r="K30" i="3" s="1"/>
  <c r="E29" i="33"/>
  <c r="F33" i="33"/>
  <c r="K34" i="3" s="1"/>
  <c r="E33" i="33"/>
  <c r="G33" i="33"/>
  <c r="L34" i="3" s="1"/>
  <c r="F37" i="33"/>
  <c r="K38" i="3" s="1"/>
  <c r="E37" i="33"/>
  <c r="H10" i="33"/>
  <c r="E326" i="22" s="1"/>
  <c r="F12" i="33"/>
  <c r="K13" i="3" s="1"/>
  <c r="E12" i="33"/>
  <c r="H14" i="33"/>
  <c r="E330" i="22" s="1"/>
  <c r="F16" i="33"/>
  <c r="K17" i="3" s="1"/>
  <c r="E16" i="33"/>
  <c r="H18" i="33"/>
  <c r="E334" i="22" s="1"/>
  <c r="F20" i="33"/>
  <c r="K21" i="3" s="1"/>
  <c r="E20" i="33"/>
  <c r="H22" i="33"/>
  <c r="E338" i="22" s="1"/>
  <c r="F24" i="33"/>
  <c r="K25" i="3" s="1"/>
  <c r="E24" i="33"/>
  <c r="H26" i="33"/>
  <c r="E342" i="22" s="1"/>
  <c r="F28" i="33"/>
  <c r="K29" i="3" s="1"/>
  <c r="E28" i="33"/>
  <c r="I28" i="33"/>
  <c r="L344" i="22" s="1"/>
  <c r="L380" i="22" s="1"/>
  <c r="H30" i="33"/>
  <c r="E346" i="22" s="1"/>
  <c r="F32" i="33"/>
  <c r="K33" i="3" s="1"/>
  <c r="E32" i="33"/>
  <c r="H34" i="33"/>
  <c r="E350" i="22" s="1"/>
  <c r="F36" i="33"/>
  <c r="K37" i="3" s="1"/>
  <c r="E36" i="33"/>
  <c r="G36" i="33"/>
  <c r="L37" i="3" s="1"/>
  <c r="H38" i="33"/>
  <c r="E354" i="22" s="1"/>
  <c r="AE29" i="33"/>
  <c r="AD29" i="33"/>
  <c r="AE10" i="33"/>
  <c r="AD10" i="33"/>
  <c r="AI11" i="33"/>
  <c r="AH11" i="33"/>
  <c r="I24" i="33"/>
  <c r="L340" i="22" s="1"/>
  <c r="L376" i="22" s="1"/>
  <c r="I27" i="33"/>
  <c r="L343" i="22" s="1"/>
  <c r="L379" i="22" s="1"/>
  <c r="G27" i="33"/>
  <c r="L28" i="3" s="1"/>
  <c r="B3" i="33"/>
  <c r="G21" i="33"/>
  <c r="L22" i="3" s="1"/>
  <c r="I30" i="33"/>
  <c r="L346" i="22" s="1"/>
  <c r="L382" i="22" s="1"/>
  <c r="AD30" i="33"/>
  <c r="AE30" i="33"/>
  <c r="I38" i="33"/>
  <c r="L354" i="22" s="1"/>
  <c r="L390" i="22" s="1"/>
  <c r="AE7" i="33"/>
  <c r="AE11" i="33"/>
  <c r="AI12" i="33"/>
  <c r="AE14" i="33"/>
  <c r="AD14" i="33"/>
  <c r="AH15" i="33"/>
  <c r="AI19" i="33"/>
  <c r="AH19" i="33"/>
  <c r="AI21" i="33"/>
  <c r="AH21" i="33"/>
  <c r="G24" i="33"/>
  <c r="L25" i="3" s="1"/>
  <c r="AD27" i="33"/>
  <c r="AH16" i="33"/>
  <c r="AI16" i="33"/>
  <c r="G20" i="33"/>
  <c r="L21" i="3" s="1"/>
  <c r="AI23" i="33"/>
  <c r="AH23" i="33"/>
  <c r="G30" i="33"/>
  <c r="L31" i="3" s="1"/>
  <c r="AI7" i="33"/>
  <c r="AH7" i="33"/>
  <c r="G9" i="33"/>
  <c r="I26" i="33"/>
  <c r="L342" i="22" s="1"/>
  <c r="L378" i="22" s="1"/>
  <c r="I37" i="33"/>
  <c r="L353" i="22" s="1"/>
  <c r="L389" i="22" s="1"/>
  <c r="G37" i="33"/>
  <c r="L38" i="3" s="1"/>
  <c r="I9" i="33"/>
  <c r="L325" i="22" s="1"/>
  <c r="L361" i="22" s="1"/>
  <c r="I23" i="33"/>
  <c r="L339" i="22" s="1"/>
  <c r="L375" i="22" s="1"/>
  <c r="I32" i="33"/>
  <c r="L348" i="22" s="1"/>
  <c r="L384" i="22" s="1"/>
  <c r="G32" i="33"/>
  <c r="L33" i="3" s="1"/>
  <c r="I33" i="33"/>
  <c r="L349" i="22" s="1"/>
  <c r="L385" i="22" s="1"/>
  <c r="I36" i="33"/>
  <c r="L352" i="22" s="1"/>
  <c r="L388" i="22" s="1"/>
  <c r="G22" i="33"/>
  <c r="L23" i="3" s="1"/>
  <c r="G28" i="33"/>
  <c r="L29" i="3" s="1"/>
  <c r="I31" i="33"/>
  <c r="L347" i="22" s="1"/>
  <c r="L383" i="22" s="1"/>
  <c r="G25" i="33"/>
  <c r="L26" i="3" s="1"/>
  <c r="G29" i="33"/>
  <c r="L30" i="3" s="1"/>
  <c r="G35" i="33"/>
  <c r="L36" i="3" s="1"/>
  <c r="K82" i="33"/>
  <c r="I82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H20" i="20" s="1"/>
  <c r="E22" i="22" s="1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H9" i="20" s="1"/>
  <c r="E11" i="22" s="1"/>
  <c r="L3" i="20"/>
  <c r="M3" i="20" s="1"/>
  <c r="G3" i="20"/>
  <c r="F3" i="20"/>
  <c r="C3" i="20"/>
  <c r="G8" i="20" s="1"/>
  <c r="I8" i="20" s="1"/>
  <c r="J8" i="20" s="1"/>
  <c r="P91" i="20"/>
  <c r="B59" i="20"/>
  <c r="B79" i="20" s="1"/>
  <c r="B58" i="20"/>
  <c r="B78" i="20" s="1"/>
  <c r="B57" i="20"/>
  <c r="B77" i="20" s="1"/>
  <c r="B56" i="20"/>
  <c r="B76" i="20" s="1"/>
  <c r="B55" i="20"/>
  <c r="B75" i="20" s="1"/>
  <c r="B54" i="20"/>
  <c r="B74" i="20" s="1"/>
  <c r="B53" i="20"/>
  <c r="B73" i="20" s="1"/>
  <c r="B52" i="20"/>
  <c r="B72" i="20" s="1"/>
  <c r="B51" i="20"/>
  <c r="B71" i="20" s="1"/>
  <c r="B50" i="20"/>
  <c r="B70" i="20" s="1"/>
  <c r="B49" i="20"/>
  <c r="B69" i="20" s="1"/>
  <c r="B48" i="20"/>
  <c r="B68" i="20" s="1"/>
  <c r="B47" i="20"/>
  <c r="B67" i="20" s="1"/>
  <c r="B46" i="20"/>
  <c r="B66" i="20" s="1"/>
  <c r="B45" i="20"/>
  <c r="B65" i="20" s="1"/>
  <c r="H44" i="20"/>
  <c r="AJ31" i="20"/>
  <c r="AI31" i="20" s="1"/>
  <c r="AF31" i="20"/>
  <c r="AE31" i="20" s="1"/>
  <c r="AJ30" i="20"/>
  <c r="AH30" i="20" s="1"/>
  <c r="AF30" i="20"/>
  <c r="AD30" i="20" s="1"/>
  <c r="AJ29" i="20"/>
  <c r="AF29" i="20"/>
  <c r="AJ28" i="20"/>
  <c r="AI28" i="20" s="1"/>
  <c r="AF28" i="20"/>
  <c r="AJ27" i="20"/>
  <c r="AI27" i="20" s="1"/>
  <c r="AF27" i="20"/>
  <c r="AE27" i="20" s="1"/>
  <c r="AJ26" i="20"/>
  <c r="AH26" i="20" s="1"/>
  <c r="AF26" i="20"/>
  <c r="AE26" i="20" s="1"/>
  <c r="AJ25" i="20"/>
  <c r="AF25" i="20"/>
  <c r="AD25" i="20" s="1"/>
  <c r="AE25" i="20"/>
  <c r="G25" i="20"/>
  <c r="D26" i="3" s="1"/>
  <c r="AJ24" i="20"/>
  <c r="AI24" i="20" s="1"/>
  <c r="AF24" i="20"/>
  <c r="AJ23" i="20"/>
  <c r="AI23" i="20" s="1"/>
  <c r="AF23" i="20"/>
  <c r="AE23" i="20" s="1"/>
  <c r="AI22" i="20"/>
  <c r="AE22" i="20"/>
  <c r="AJ21" i="20"/>
  <c r="AF21" i="20"/>
  <c r="AD21" i="20" s="1"/>
  <c r="AJ20" i="20"/>
  <c r="AI20" i="20" s="1"/>
  <c r="AF20" i="20"/>
  <c r="AD20" i="20" s="1"/>
  <c r="AJ19" i="20"/>
  <c r="AI19" i="20" s="1"/>
  <c r="AF19" i="20"/>
  <c r="AE19" i="20" s="1"/>
  <c r="AJ18" i="20"/>
  <c r="AI18" i="20" s="1"/>
  <c r="AF18" i="20"/>
  <c r="AD18" i="20" s="1"/>
  <c r="AJ17" i="20"/>
  <c r="AH17" i="20" s="1"/>
  <c r="AF17" i="20"/>
  <c r="AD17" i="20" s="1"/>
  <c r="AJ16" i="20"/>
  <c r="AF16" i="20"/>
  <c r="AJ15" i="20"/>
  <c r="AI15" i="20" s="1"/>
  <c r="AF15" i="20"/>
  <c r="AE15" i="20" s="1"/>
  <c r="AJ14" i="20"/>
  <c r="AH14" i="20" s="1"/>
  <c r="AF14" i="20"/>
  <c r="AJ13" i="20"/>
  <c r="AI13" i="20" s="1"/>
  <c r="AF13" i="20"/>
  <c r="AD13" i="20" s="1"/>
  <c r="AJ12" i="20"/>
  <c r="AH12" i="20" s="1"/>
  <c r="AF12" i="20"/>
  <c r="AE12" i="20" s="1"/>
  <c r="AJ11" i="20"/>
  <c r="AF11" i="20"/>
  <c r="AD11" i="20" s="1"/>
  <c r="AJ10" i="20"/>
  <c r="AI10" i="20" s="1"/>
  <c r="AF10" i="20"/>
  <c r="AJ9" i="20"/>
  <c r="AI9" i="20" s="1"/>
  <c r="AF9" i="20"/>
  <c r="AE9" i="20" s="1"/>
  <c r="AJ8" i="20"/>
  <c r="AH8" i="20" s="1"/>
  <c r="AF8" i="20"/>
  <c r="AE8" i="20" s="1"/>
  <c r="AD8" i="20"/>
  <c r="AJ7" i="20"/>
  <c r="AI7" i="20" s="1"/>
  <c r="AF7" i="20"/>
  <c r="AD7" i="20" s="1"/>
  <c r="E58" i="22" l="1"/>
  <c r="AN22" i="22"/>
  <c r="Z390" i="22"/>
  <c r="AN390" i="22" s="1"/>
  <c r="S390" i="22"/>
  <c r="AG390" i="22"/>
  <c r="E382" i="22"/>
  <c r="AN346" i="22"/>
  <c r="AG374" i="22"/>
  <c r="Z374" i="22"/>
  <c r="AN374" i="22" s="1"/>
  <c r="AP410" i="22" s="1"/>
  <c r="S374" i="22"/>
  <c r="E387" i="22"/>
  <c r="AN351" i="22"/>
  <c r="AN347" i="22"/>
  <c r="E383" i="22"/>
  <c r="E361" i="22"/>
  <c r="AN325" i="22"/>
  <c r="E384" i="22"/>
  <c r="AN348" i="22"/>
  <c r="AN343" i="22"/>
  <c r="E379" i="22"/>
  <c r="S376" i="22"/>
  <c r="Z376" i="22"/>
  <c r="AN376" i="22" s="1"/>
  <c r="AG376" i="22"/>
  <c r="Z387" i="22"/>
  <c r="AN387" i="22" s="1"/>
  <c r="AG387" i="22"/>
  <c r="S387" i="22"/>
  <c r="E376" i="22"/>
  <c r="AN340" i="22"/>
  <c r="AN352" i="22"/>
  <c r="E388" i="22"/>
  <c r="AN339" i="22"/>
  <c r="E375" i="22"/>
  <c r="S384" i="22"/>
  <c r="Z384" i="22"/>
  <c r="AN384" i="22" s="1"/>
  <c r="AG384" i="22"/>
  <c r="S389" i="22"/>
  <c r="AG389" i="22"/>
  <c r="Z389" i="22"/>
  <c r="AN389" i="22" s="1"/>
  <c r="E374" i="22"/>
  <c r="AN338" i="22"/>
  <c r="S373" i="22"/>
  <c r="Z373" i="22"/>
  <c r="AN373" i="22" s="1"/>
  <c r="AP409" i="22" s="1"/>
  <c r="AG373" i="22"/>
  <c r="AN349" i="22"/>
  <c r="E385" i="22"/>
  <c r="AN336" i="22"/>
  <c r="E372" i="22"/>
  <c r="E377" i="22"/>
  <c r="AN341" i="22"/>
  <c r="E47" i="22"/>
  <c r="AN11" i="22"/>
  <c r="S388" i="22"/>
  <c r="Z388" i="22"/>
  <c r="AN388" i="22" s="1"/>
  <c r="AG388" i="22"/>
  <c r="Z375" i="22"/>
  <c r="AN375" i="22" s="1"/>
  <c r="AP411" i="22" s="1"/>
  <c r="S375" i="22"/>
  <c r="AG375" i="22"/>
  <c r="S378" i="22"/>
  <c r="AG378" i="22"/>
  <c r="Z378" i="22"/>
  <c r="AN378" i="22" s="1"/>
  <c r="AN342" i="22"/>
  <c r="E378" i="22"/>
  <c r="AG383" i="22"/>
  <c r="S383" i="22"/>
  <c r="Z383" i="22"/>
  <c r="AN383" i="22" s="1"/>
  <c r="S385" i="22"/>
  <c r="AG385" i="22"/>
  <c r="Z385" i="22"/>
  <c r="AN385" i="22" s="1"/>
  <c r="AG361" i="22"/>
  <c r="Z361" i="22"/>
  <c r="AN361" i="22" s="1"/>
  <c r="AP397" i="22" s="1"/>
  <c r="L10" i="3"/>
  <c r="B319" i="22"/>
  <c r="Z382" i="22"/>
  <c r="AN382" i="22" s="1"/>
  <c r="S382" i="22"/>
  <c r="AG382" i="22"/>
  <c r="S379" i="22"/>
  <c r="Z379" i="22"/>
  <c r="AN379" i="22" s="1"/>
  <c r="AG379" i="22"/>
  <c r="E390" i="22"/>
  <c r="AN354" i="22"/>
  <c r="AN350" i="22"/>
  <c r="E386" i="22"/>
  <c r="S380" i="22"/>
  <c r="AG380" i="22"/>
  <c r="Z380" i="22"/>
  <c r="AN380" i="22" s="1"/>
  <c r="AG377" i="22"/>
  <c r="Z377" i="22"/>
  <c r="AN377" i="22" s="1"/>
  <c r="S377" i="22"/>
  <c r="AN353" i="22"/>
  <c r="E389" i="22"/>
  <c r="AN344" i="22"/>
  <c r="E380" i="22"/>
  <c r="E381" i="22"/>
  <c r="AN345" i="22"/>
  <c r="E373" i="22"/>
  <c r="AN337" i="22"/>
  <c r="N29" i="3"/>
  <c r="N20" i="3"/>
  <c r="M34" i="3"/>
  <c r="O10" i="3"/>
  <c r="N28" i="3"/>
  <c r="N15" i="3"/>
  <c r="N39" i="3"/>
  <c r="N26" i="3"/>
  <c r="N36" i="3"/>
  <c r="M19" i="3"/>
  <c r="N16" i="3"/>
  <c r="M10" i="3"/>
  <c r="O24" i="3"/>
  <c r="O30" i="3"/>
  <c r="M35" i="3"/>
  <c r="O20" i="3"/>
  <c r="O26" i="3"/>
  <c r="M37" i="3"/>
  <c r="N18" i="3"/>
  <c r="M25" i="3"/>
  <c r="O19" i="3"/>
  <c r="N14" i="3"/>
  <c r="M24" i="3"/>
  <c r="M15" i="3"/>
  <c r="O15" i="3"/>
  <c r="O13" i="3"/>
  <c r="N13" i="3"/>
  <c r="N27" i="3"/>
  <c r="M13" i="3"/>
  <c r="O12" i="3"/>
  <c r="M20" i="3"/>
  <c r="M18" i="3"/>
  <c r="AD19" i="20"/>
  <c r="AH20" i="20"/>
  <c r="O34" i="3"/>
  <c r="N24" i="3"/>
  <c r="O29" i="3"/>
  <c r="N17" i="3"/>
  <c r="N37" i="3"/>
  <c r="O16" i="3"/>
  <c r="M22" i="3"/>
  <c r="O28" i="3"/>
  <c r="N35" i="3"/>
  <c r="O14" i="3"/>
  <c r="M32" i="3"/>
  <c r="O27" i="3"/>
  <c r="O39" i="3"/>
  <c r="AE18" i="20"/>
  <c r="M11" i="3"/>
  <c r="O25" i="3"/>
  <c r="M31" i="3"/>
  <c r="O37" i="3"/>
  <c r="N21" i="3"/>
  <c r="N23" i="3"/>
  <c r="M30" i="3"/>
  <c r="O36" i="3"/>
  <c r="O18" i="3"/>
  <c r="N10" i="3"/>
  <c r="M21" i="3"/>
  <c r="O31" i="3"/>
  <c r="AE11" i="20"/>
  <c r="M28" i="3"/>
  <c r="N12" i="3"/>
  <c r="M27" i="3"/>
  <c r="O33" i="3"/>
  <c r="M39" i="3"/>
  <c r="N25" i="3"/>
  <c r="M14" i="3"/>
  <c r="N19" i="3"/>
  <c r="O32" i="3"/>
  <c r="M38" i="3"/>
  <c r="O22" i="3"/>
  <c r="O11" i="3"/>
  <c r="M17" i="3"/>
  <c r="O38" i="3"/>
  <c r="N38" i="3"/>
  <c r="M36" i="3"/>
  <c r="N31" i="3"/>
  <c r="M29" i="3"/>
  <c r="M23" i="3"/>
  <c r="O23" i="3"/>
  <c r="O21" i="3"/>
  <c r="M16" i="3"/>
  <c r="M12" i="3"/>
  <c r="O17" i="3"/>
  <c r="O35" i="3"/>
  <c r="N32" i="3"/>
  <c r="N30" i="3"/>
  <c r="M26" i="3"/>
  <c r="N22" i="3"/>
  <c r="N11" i="3"/>
  <c r="N33" i="3"/>
  <c r="M33" i="3"/>
  <c r="AH15" i="20"/>
  <c r="AH18" i="20"/>
  <c r="AD23" i="20"/>
  <c r="AD9" i="20"/>
  <c r="M11" i="20"/>
  <c r="N11" i="20"/>
  <c r="O11" i="20"/>
  <c r="L11" i="20"/>
  <c r="K11" i="20"/>
  <c r="J11" i="20"/>
  <c r="H13" i="20"/>
  <c r="E15" i="22" s="1"/>
  <c r="N13" i="20"/>
  <c r="O13" i="20"/>
  <c r="J13" i="20"/>
  <c r="K13" i="20"/>
  <c r="M13" i="20"/>
  <c r="L13" i="20"/>
  <c r="M15" i="20"/>
  <c r="N15" i="20"/>
  <c r="L15" i="20"/>
  <c r="O15" i="20"/>
  <c r="K15" i="20"/>
  <c r="J15" i="20"/>
  <c r="H17" i="20"/>
  <c r="E19" i="22" s="1"/>
  <c r="N17" i="20"/>
  <c r="O17" i="20"/>
  <c r="M17" i="20"/>
  <c r="J17" i="20"/>
  <c r="L17" i="20"/>
  <c r="K17" i="20"/>
  <c r="H19" i="20"/>
  <c r="E21" i="22" s="1"/>
  <c r="K19" i="20"/>
  <c r="M19" i="20"/>
  <c r="J19" i="20"/>
  <c r="N19" i="20"/>
  <c r="O19" i="20"/>
  <c r="L19" i="20"/>
  <c r="G26" i="20"/>
  <c r="D27" i="3" s="1"/>
  <c r="O26" i="20"/>
  <c r="J26" i="20"/>
  <c r="M26" i="20"/>
  <c r="L26" i="20"/>
  <c r="N26" i="20"/>
  <c r="K26" i="20"/>
  <c r="H28" i="20"/>
  <c r="E30" i="22" s="1"/>
  <c r="M28" i="20"/>
  <c r="L28" i="20"/>
  <c r="N28" i="20"/>
  <c r="K28" i="20"/>
  <c r="O28" i="20"/>
  <c r="J28" i="20"/>
  <c r="O30" i="20"/>
  <c r="J30" i="20"/>
  <c r="M30" i="20"/>
  <c r="L30" i="20"/>
  <c r="N30" i="20"/>
  <c r="K30" i="20"/>
  <c r="H32" i="20"/>
  <c r="E34" i="22" s="1"/>
  <c r="M32" i="20"/>
  <c r="L32" i="20"/>
  <c r="N32" i="20"/>
  <c r="K32" i="20"/>
  <c r="O32" i="20"/>
  <c r="J32" i="20"/>
  <c r="G34" i="20"/>
  <c r="D35" i="3" s="1"/>
  <c r="O34" i="20"/>
  <c r="J34" i="20"/>
  <c r="M34" i="20"/>
  <c r="L34" i="20"/>
  <c r="K34" i="20"/>
  <c r="N34" i="20"/>
  <c r="M36" i="20"/>
  <c r="L36" i="20"/>
  <c r="N36" i="20"/>
  <c r="K36" i="20"/>
  <c r="O36" i="20"/>
  <c r="J36" i="20"/>
  <c r="K8" i="20"/>
  <c r="E9" i="3"/>
  <c r="H21" i="20"/>
  <c r="E23" i="22" s="1"/>
  <c r="N21" i="20"/>
  <c r="O21" i="20"/>
  <c r="L21" i="20"/>
  <c r="K21" i="20"/>
  <c r="J21" i="20"/>
  <c r="M21" i="20"/>
  <c r="H23" i="20"/>
  <c r="E25" i="22" s="1"/>
  <c r="K23" i="20"/>
  <c r="M23" i="20"/>
  <c r="J23" i="20"/>
  <c r="N23" i="20"/>
  <c r="O23" i="20"/>
  <c r="L23" i="20"/>
  <c r="N25" i="20"/>
  <c r="O25" i="20"/>
  <c r="L25" i="20"/>
  <c r="K25" i="20"/>
  <c r="M25" i="20"/>
  <c r="J25" i="20"/>
  <c r="G38" i="20"/>
  <c r="D39" i="3" s="1"/>
  <c r="O38" i="20"/>
  <c r="J38" i="20"/>
  <c r="M38" i="20"/>
  <c r="L38" i="20"/>
  <c r="N38" i="20"/>
  <c r="K38" i="20"/>
  <c r="F44" i="20"/>
  <c r="D64" i="20" s="1"/>
  <c r="O10" i="20"/>
  <c r="M10" i="20"/>
  <c r="K10" i="20"/>
  <c r="L10" i="20"/>
  <c r="J10" i="20"/>
  <c r="N10" i="20"/>
  <c r="H12" i="20"/>
  <c r="E14" i="22" s="1"/>
  <c r="M12" i="20"/>
  <c r="N12" i="20"/>
  <c r="O12" i="20"/>
  <c r="L12" i="20"/>
  <c r="K12" i="20"/>
  <c r="J12" i="20"/>
  <c r="O14" i="20"/>
  <c r="M14" i="20"/>
  <c r="K14" i="20"/>
  <c r="J14" i="20"/>
  <c r="N14" i="20"/>
  <c r="L14" i="20"/>
  <c r="H16" i="20"/>
  <c r="E18" i="22" s="1"/>
  <c r="M16" i="20"/>
  <c r="N16" i="20"/>
  <c r="O16" i="20"/>
  <c r="J16" i="20"/>
  <c r="L16" i="20"/>
  <c r="K16" i="20"/>
  <c r="O18" i="20"/>
  <c r="M18" i="20"/>
  <c r="K18" i="20"/>
  <c r="L18" i="20"/>
  <c r="N18" i="20"/>
  <c r="J18" i="20"/>
  <c r="M20" i="20"/>
  <c r="L20" i="20"/>
  <c r="N20" i="20"/>
  <c r="K20" i="20"/>
  <c r="O20" i="20"/>
  <c r="J20" i="20"/>
  <c r="K27" i="20"/>
  <c r="M27" i="20"/>
  <c r="J27" i="20"/>
  <c r="N27" i="20"/>
  <c r="O27" i="20"/>
  <c r="L27" i="20"/>
  <c r="H29" i="20"/>
  <c r="E31" i="22" s="1"/>
  <c r="N29" i="20"/>
  <c r="O29" i="20"/>
  <c r="L29" i="20"/>
  <c r="K29" i="20"/>
  <c r="M29" i="20"/>
  <c r="J29" i="20"/>
  <c r="I31" i="20"/>
  <c r="L33" i="22" s="1"/>
  <c r="L69" i="22" s="1"/>
  <c r="K31" i="20"/>
  <c r="M31" i="20"/>
  <c r="J31" i="20"/>
  <c r="N31" i="20"/>
  <c r="L31" i="20"/>
  <c r="O31" i="20"/>
  <c r="H33" i="20"/>
  <c r="E35" i="22" s="1"/>
  <c r="N33" i="20"/>
  <c r="O33" i="20"/>
  <c r="L33" i="20"/>
  <c r="K33" i="20"/>
  <c r="M33" i="20"/>
  <c r="J33" i="20"/>
  <c r="K35" i="20"/>
  <c r="M35" i="20"/>
  <c r="J35" i="20"/>
  <c r="N35" i="20"/>
  <c r="O35" i="20"/>
  <c r="L35" i="20"/>
  <c r="H36" i="20"/>
  <c r="E38" i="22" s="1"/>
  <c r="L8" i="33"/>
  <c r="N9" i="3"/>
  <c r="AI8" i="20"/>
  <c r="AE13" i="20"/>
  <c r="AE30" i="20"/>
  <c r="O9" i="20"/>
  <c r="N9" i="20"/>
  <c r="J9" i="20"/>
  <c r="M9" i="20"/>
  <c r="L9" i="20"/>
  <c r="K9" i="20"/>
  <c r="O22" i="20"/>
  <c r="J22" i="20"/>
  <c r="M22" i="20"/>
  <c r="L22" i="20"/>
  <c r="N22" i="20"/>
  <c r="K22" i="20"/>
  <c r="H24" i="20"/>
  <c r="E26" i="22" s="1"/>
  <c r="M24" i="20"/>
  <c r="L24" i="20"/>
  <c r="N24" i="20"/>
  <c r="K24" i="20"/>
  <c r="O24" i="20"/>
  <c r="J24" i="20"/>
  <c r="H25" i="20"/>
  <c r="E27" i="22" s="1"/>
  <c r="H37" i="20"/>
  <c r="E39" i="22" s="1"/>
  <c r="N37" i="20"/>
  <c r="O37" i="20"/>
  <c r="L37" i="20"/>
  <c r="K37" i="20"/>
  <c r="J37" i="20"/>
  <c r="M37" i="20"/>
  <c r="M91" i="33"/>
  <c r="D44" i="33"/>
  <c r="L9" i="3"/>
  <c r="AD12" i="20"/>
  <c r="I28" i="20"/>
  <c r="L30" i="22" s="1"/>
  <c r="L66" i="22" s="1"/>
  <c r="AH31" i="20"/>
  <c r="AH19" i="20"/>
  <c r="AH27" i="20"/>
  <c r="AI12" i="20"/>
  <c r="AI26" i="20"/>
  <c r="D44" i="20"/>
  <c r="D9" i="3"/>
  <c r="AE7" i="20"/>
  <c r="AH10" i="20"/>
  <c r="AH23" i="20"/>
  <c r="AH24" i="20"/>
  <c r="AD26" i="20"/>
  <c r="AH28" i="20"/>
  <c r="AH9" i="20"/>
  <c r="AH13" i="20"/>
  <c r="AD15" i="20"/>
  <c r="AI17" i="20"/>
  <c r="AE20" i="20"/>
  <c r="AE21" i="20"/>
  <c r="AD27" i="20"/>
  <c r="AD31" i="20"/>
  <c r="I20" i="33"/>
  <c r="L336" i="22" s="1"/>
  <c r="L372" i="22" s="1"/>
  <c r="Q37" i="33"/>
  <c r="Q33" i="33"/>
  <c r="Q31" i="33"/>
  <c r="Q27" i="33"/>
  <c r="Q34" i="33"/>
  <c r="Q28" i="33"/>
  <c r="Q24" i="33"/>
  <c r="Q20" i="33"/>
  <c r="Q16" i="33"/>
  <c r="Q12" i="33"/>
  <c r="Q35" i="33"/>
  <c r="Q32" i="33"/>
  <c r="Q30" i="33"/>
  <c r="Q29" i="33"/>
  <c r="Q23" i="33"/>
  <c r="Q19" i="33"/>
  <c r="Q18" i="33"/>
  <c r="Q15" i="33"/>
  <c r="Q11" i="33"/>
  <c r="Q36" i="33"/>
  <c r="Q13" i="33"/>
  <c r="Q38" i="33"/>
  <c r="Q26" i="33"/>
  <c r="Q25" i="33"/>
  <c r="Q17" i="33"/>
  <c r="Q14" i="33"/>
  <c r="Q9" i="33"/>
  <c r="Q22" i="33"/>
  <c r="Q21" i="33"/>
  <c r="Q10" i="33"/>
  <c r="F11" i="20"/>
  <c r="E11" i="20"/>
  <c r="F15" i="20"/>
  <c r="E15" i="20"/>
  <c r="F27" i="20"/>
  <c r="E27" i="20"/>
  <c r="I27" i="20"/>
  <c r="L29" i="22" s="1"/>
  <c r="L65" i="22" s="1"/>
  <c r="F35" i="20"/>
  <c r="E35" i="20"/>
  <c r="G35" i="20"/>
  <c r="D36" i="3" s="1"/>
  <c r="F10" i="20"/>
  <c r="E10" i="20"/>
  <c r="F14" i="20"/>
  <c r="E14" i="20"/>
  <c r="F18" i="20"/>
  <c r="E18" i="20"/>
  <c r="F22" i="20"/>
  <c r="E22" i="20"/>
  <c r="G22" i="20"/>
  <c r="D23" i="3" s="1"/>
  <c r="F26" i="20"/>
  <c r="E26" i="20"/>
  <c r="F30" i="20"/>
  <c r="E30" i="20"/>
  <c r="F34" i="20"/>
  <c r="E34" i="20"/>
  <c r="F38" i="20"/>
  <c r="E38" i="20"/>
  <c r="F31" i="20"/>
  <c r="E31" i="20"/>
  <c r="F9" i="20"/>
  <c r="E9" i="20"/>
  <c r="H11" i="20"/>
  <c r="E13" i="22" s="1"/>
  <c r="F13" i="20"/>
  <c r="E13" i="20"/>
  <c r="H15" i="20"/>
  <c r="E17" i="22" s="1"/>
  <c r="F17" i="20"/>
  <c r="E17" i="20"/>
  <c r="F21" i="20"/>
  <c r="E21" i="20"/>
  <c r="G21" i="20"/>
  <c r="D22" i="3" s="1"/>
  <c r="F25" i="20"/>
  <c r="E25" i="20"/>
  <c r="H27" i="20"/>
  <c r="E29" i="22" s="1"/>
  <c r="F29" i="20"/>
  <c r="E29" i="20"/>
  <c r="G29" i="20"/>
  <c r="D30" i="3" s="1"/>
  <c r="H31" i="20"/>
  <c r="E33" i="22" s="1"/>
  <c r="F33" i="20"/>
  <c r="I33" i="20"/>
  <c r="L35" i="22" s="1"/>
  <c r="L71" i="22" s="1"/>
  <c r="E33" i="20"/>
  <c r="H35" i="20"/>
  <c r="E37" i="22" s="1"/>
  <c r="F37" i="20"/>
  <c r="I37" i="20"/>
  <c r="L39" i="22" s="1"/>
  <c r="L75" i="22" s="1"/>
  <c r="E37" i="20"/>
  <c r="F19" i="20"/>
  <c r="E19" i="20"/>
  <c r="F23" i="20"/>
  <c r="E23" i="20"/>
  <c r="I23" i="20"/>
  <c r="L25" i="22" s="1"/>
  <c r="L61" i="22" s="1"/>
  <c r="H10" i="20"/>
  <c r="E12" i="22" s="1"/>
  <c r="F12" i="20"/>
  <c r="E12" i="20"/>
  <c r="H14" i="20"/>
  <c r="E16" i="22" s="1"/>
  <c r="F16" i="20"/>
  <c r="E16" i="20"/>
  <c r="H18" i="20"/>
  <c r="E20" i="22" s="1"/>
  <c r="F20" i="20"/>
  <c r="E20" i="20"/>
  <c r="H22" i="20"/>
  <c r="E24" i="22" s="1"/>
  <c r="F24" i="20"/>
  <c r="I24" i="20"/>
  <c r="L26" i="22" s="1"/>
  <c r="L62" i="22" s="1"/>
  <c r="E24" i="20"/>
  <c r="H26" i="20"/>
  <c r="E28" i="22" s="1"/>
  <c r="F28" i="20"/>
  <c r="E28" i="20"/>
  <c r="H30" i="20"/>
  <c r="E32" i="22" s="1"/>
  <c r="F32" i="20"/>
  <c r="E32" i="20"/>
  <c r="I32" i="20"/>
  <c r="L34" i="22" s="1"/>
  <c r="L70" i="22" s="1"/>
  <c r="H34" i="20"/>
  <c r="E36" i="22" s="1"/>
  <c r="F36" i="20"/>
  <c r="E36" i="20"/>
  <c r="I36" i="20"/>
  <c r="L38" i="22" s="1"/>
  <c r="L74" i="22" s="1"/>
  <c r="H38" i="20"/>
  <c r="E40" i="22" s="1"/>
  <c r="AI21" i="20"/>
  <c r="AH21" i="20"/>
  <c r="B3" i="20"/>
  <c r="H3" i="20"/>
  <c r="I3" i="20" s="1"/>
  <c r="AH7" i="20"/>
  <c r="AD16" i="20"/>
  <c r="AE16" i="20"/>
  <c r="H42" i="20"/>
  <c r="AI25" i="20"/>
  <c r="AH25" i="20"/>
  <c r="AE10" i="20"/>
  <c r="AD10" i="20"/>
  <c r="AI11" i="20"/>
  <c r="AH11" i="20"/>
  <c r="AE14" i="20"/>
  <c r="AD14" i="20"/>
  <c r="AD29" i="20"/>
  <c r="AE29" i="20"/>
  <c r="G9" i="20"/>
  <c r="I21" i="20"/>
  <c r="L23" i="22" s="1"/>
  <c r="L59" i="22" s="1"/>
  <c r="AE24" i="20"/>
  <c r="AD24" i="20"/>
  <c r="I25" i="20"/>
  <c r="L27" i="22" s="1"/>
  <c r="L63" i="22" s="1"/>
  <c r="I30" i="20"/>
  <c r="L32" i="22" s="1"/>
  <c r="L68" i="22" s="1"/>
  <c r="G30" i="20"/>
  <c r="D31" i="3" s="1"/>
  <c r="I34" i="20"/>
  <c r="L36" i="22" s="1"/>
  <c r="L72" i="22" s="1"/>
  <c r="I9" i="20"/>
  <c r="L11" i="22" s="1"/>
  <c r="L47" i="22" s="1"/>
  <c r="I20" i="20"/>
  <c r="L22" i="22" s="1"/>
  <c r="L58" i="22" s="1"/>
  <c r="L82" i="20"/>
  <c r="K82" i="20"/>
  <c r="M82" i="20"/>
  <c r="J82" i="20"/>
  <c r="N82" i="20"/>
  <c r="AI14" i="20"/>
  <c r="AI16" i="20"/>
  <c r="AH16" i="20"/>
  <c r="AE17" i="20"/>
  <c r="I22" i="20"/>
  <c r="L24" i="22" s="1"/>
  <c r="L60" i="22" s="1"/>
  <c r="I26" i="20"/>
  <c r="L28" i="22" s="1"/>
  <c r="L64" i="22" s="1"/>
  <c r="AI30" i="20"/>
  <c r="AE28" i="20"/>
  <c r="AD28" i="20"/>
  <c r="I29" i="20"/>
  <c r="L31" i="22" s="1"/>
  <c r="L67" i="22" s="1"/>
  <c r="AI29" i="20"/>
  <c r="AH29" i="20"/>
  <c r="I35" i="20"/>
  <c r="L37" i="22" s="1"/>
  <c r="L73" i="22" s="1"/>
  <c r="I38" i="20"/>
  <c r="L40" i="22" s="1"/>
  <c r="L76" i="22" s="1"/>
  <c r="G23" i="20"/>
  <c r="D24" i="3" s="1"/>
  <c r="G27" i="20"/>
  <c r="D28" i="3" s="1"/>
  <c r="G31" i="20"/>
  <c r="D32" i="3" s="1"/>
  <c r="G33" i="20"/>
  <c r="D34" i="3" s="1"/>
  <c r="G37" i="20"/>
  <c r="D38" i="3" s="1"/>
  <c r="G24" i="20"/>
  <c r="D25" i="3" s="1"/>
  <c r="G28" i="20"/>
  <c r="D29" i="3" s="1"/>
  <c r="G32" i="20"/>
  <c r="D33" i="3" s="1"/>
  <c r="G36" i="20"/>
  <c r="D37" i="3" s="1"/>
  <c r="AN37" i="22" l="1"/>
  <c r="E73" i="22"/>
  <c r="Z372" i="22"/>
  <c r="AN372" i="22" s="1"/>
  <c r="AP408" i="22" s="1"/>
  <c r="AG372" i="22"/>
  <c r="E71" i="22"/>
  <c r="AN35" i="22"/>
  <c r="E70" i="22"/>
  <c r="AN34" i="22"/>
  <c r="AN33" i="22"/>
  <c r="E69" i="22"/>
  <c r="E64" i="22"/>
  <c r="AN28" i="22"/>
  <c r="E60" i="22"/>
  <c r="AN24" i="22"/>
  <c r="E75" i="22"/>
  <c r="AN39" i="22"/>
  <c r="E62" i="22"/>
  <c r="AN26" i="22"/>
  <c r="E66" i="22"/>
  <c r="AN30" i="22"/>
  <c r="E65" i="22"/>
  <c r="AN29" i="22"/>
  <c r="E74" i="22"/>
  <c r="AN38" i="22"/>
  <c r="E61" i="22"/>
  <c r="AN25" i="22"/>
  <c r="E76" i="22"/>
  <c r="AN40" i="22"/>
  <c r="E72" i="22"/>
  <c r="AN36" i="22"/>
  <c r="E68" i="22"/>
  <c r="AN32" i="22"/>
  <c r="E63" i="22"/>
  <c r="AN27" i="22"/>
  <c r="E67" i="22"/>
  <c r="AN31" i="22"/>
  <c r="E59" i="22"/>
  <c r="AN23" i="22"/>
  <c r="Y58" i="33"/>
  <c r="AI431" i="22" s="1"/>
  <c r="T58" i="33"/>
  <c r="Q431" i="22" s="1"/>
  <c r="P58" i="33"/>
  <c r="E431" i="22" s="1"/>
  <c r="S58" i="33"/>
  <c r="O58" i="33"/>
  <c r="Q58" i="33"/>
  <c r="V58" i="33"/>
  <c r="R58" i="33"/>
  <c r="K431" i="22" s="1"/>
  <c r="U58" i="33"/>
  <c r="Y55" i="33"/>
  <c r="AI428" i="22" s="1"/>
  <c r="T55" i="33"/>
  <c r="Q428" i="22" s="1"/>
  <c r="P55" i="33"/>
  <c r="E428" i="22" s="1"/>
  <c r="Q55" i="33"/>
  <c r="S55" i="33"/>
  <c r="O55" i="33"/>
  <c r="U55" i="33"/>
  <c r="V55" i="33"/>
  <c r="R55" i="33"/>
  <c r="K428" i="22" s="1"/>
  <c r="Y56" i="33"/>
  <c r="AI429" i="22" s="1"/>
  <c r="T56" i="33"/>
  <c r="Q429" i="22" s="1"/>
  <c r="P56" i="33"/>
  <c r="E429" i="22" s="1"/>
  <c r="U56" i="33"/>
  <c r="S56" i="33"/>
  <c r="O56" i="33"/>
  <c r="V56" i="33"/>
  <c r="R56" i="33"/>
  <c r="K429" i="22" s="1"/>
  <c r="Q56" i="33"/>
  <c r="Y45" i="33"/>
  <c r="AI418" i="22" s="1"/>
  <c r="T45" i="33"/>
  <c r="Q418" i="22" s="1"/>
  <c r="P45" i="33"/>
  <c r="E418" i="22" s="1"/>
  <c r="S45" i="33"/>
  <c r="O45" i="33"/>
  <c r="U45" i="33"/>
  <c r="V45" i="33"/>
  <c r="R45" i="33"/>
  <c r="K418" i="22" s="1"/>
  <c r="Q45" i="33"/>
  <c r="Y47" i="33"/>
  <c r="AI420" i="22" s="1"/>
  <c r="T47" i="33"/>
  <c r="Q420" i="22" s="1"/>
  <c r="P47" i="33"/>
  <c r="E420" i="22" s="1"/>
  <c r="U47" i="33"/>
  <c r="S47" i="33"/>
  <c r="O47" i="33"/>
  <c r="Q47" i="33"/>
  <c r="V47" i="33"/>
  <c r="R47" i="33"/>
  <c r="K420" i="22" s="1"/>
  <c r="Y59" i="33"/>
  <c r="AI432" i="22" s="1"/>
  <c r="T59" i="33"/>
  <c r="Q432" i="22" s="1"/>
  <c r="P59" i="33"/>
  <c r="E432" i="22" s="1"/>
  <c r="Q59" i="33"/>
  <c r="S59" i="33"/>
  <c r="O59" i="33"/>
  <c r="U59" i="33"/>
  <c r="V59" i="33"/>
  <c r="R59" i="33"/>
  <c r="K432" i="22" s="1"/>
  <c r="Y57" i="33"/>
  <c r="AI430" i="22" s="1"/>
  <c r="T57" i="33"/>
  <c r="Q430" i="22" s="1"/>
  <c r="P57" i="33"/>
  <c r="E430" i="22" s="1"/>
  <c r="U57" i="33"/>
  <c r="S57" i="33"/>
  <c r="O57" i="33"/>
  <c r="Q57" i="33"/>
  <c r="V57" i="33"/>
  <c r="R57" i="33"/>
  <c r="K430" i="22" s="1"/>
  <c r="Y53" i="33"/>
  <c r="AI426" i="22" s="1"/>
  <c r="T53" i="33"/>
  <c r="Q426" i="22" s="1"/>
  <c r="P53" i="33"/>
  <c r="E426" i="22" s="1"/>
  <c r="U53" i="33"/>
  <c r="S53" i="33"/>
  <c r="O53" i="33"/>
  <c r="Q53" i="33"/>
  <c r="V53" i="33"/>
  <c r="R53" i="33"/>
  <c r="K426" i="22" s="1"/>
  <c r="Y49" i="33"/>
  <c r="AI422" i="22" s="1"/>
  <c r="T49" i="33"/>
  <c r="Q422" i="22" s="1"/>
  <c r="P49" i="33"/>
  <c r="E422" i="22" s="1"/>
  <c r="Q49" i="33"/>
  <c r="S49" i="33"/>
  <c r="O49" i="33"/>
  <c r="V49" i="33"/>
  <c r="R49" i="33"/>
  <c r="K422" i="22" s="1"/>
  <c r="U49" i="33"/>
  <c r="Y54" i="33"/>
  <c r="AI427" i="22" s="1"/>
  <c r="T54" i="33"/>
  <c r="Q427" i="22" s="1"/>
  <c r="P54" i="33"/>
  <c r="E427" i="22" s="1"/>
  <c r="S54" i="33"/>
  <c r="O54" i="33"/>
  <c r="U54" i="33"/>
  <c r="V54" i="33"/>
  <c r="R54" i="33"/>
  <c r="K427" i="22" s="1"/>
  <c r="Q54" i="33"/>
  <c r="Y52" i="33"/>
  <c r="AI425" i="22" s="1"/>
  <c r="T52" i="33"/>
  <c r="Q425" i="22" s="1"/>
  <c r="P52" i="33"/>
  <c r="E425" i="22" s="1"/>
  <c r="Q52" i="33"/>
  <c r="S52" i="33"/>
  <c r="O52" i="33"/>
  <c r="V52" i="33"/>
  <c r="R52" i="33"/>
  <c r="K425" i="22" s="1"/>
  <c r="U52" i="33"/>
  <c r="Y46" i="33"/>
  <c r="AI419" i="22" s="1"/>
  <c r="T46" i="33"/>
  <c r="Q419" i="22" s="1"/>
  <c r="P46" i="33"/>
  <c r="E419" i="22" s="1"/>
  <c r="Q46" i="33"/>
  <c r="S46" i="33"/>
  <c r="O46" i="33"/>
  <c r="V46" i="33"/>
  <c r="R46" i="33"/>
  <c r="K419" i="22" s="1"/>
  <c r="U46" i="33"/>
  <c r="Y50" i="33"/>
  <c r="AI423" i="22" s="1"/>
  <c r="T50" i="33"/>
  <c r="Q423" i="22" s="1"/>
  <c r="P50" i="33"/>
  <c r="E423" i="22" s="1"/>
  <c r="U50" i="33"/>
  <c r="S50" i="33"/>
  <c r="O50" i="33"/>
  <c r="Q50" i="33"/>
  <c r="V50" i="33"/>
  <c r="R50" i="33"/>
  <c r="K423" i="22" s="1"/>
  <c r="Y51" i="33"/>
  <c r="AI424" i="22" s="1"/>
  <c r="T51" i="33"/>
  <c r="Q424" i="22" s="1"/>
  <c r="P51" i="33"/>
  <c r="E424" i="22" s="1"/>
  <c r="S51" i="33"/>
  <c r="O51" i="33"/>
  <c r="U51" i="33"/>
  <c r="V51" i="33"/>
  <c r="R51" i="33"/>
  <c r="K424" i="22" s="1"/>
  <c r="Q51" i="33"/>
  <c r="Y48" i="33"/>
  <c r="AI421" i="22" s="1"/>
  <c r="T48" i="33"/>
  <c r="Q421" i="22" s="1"/>
  <c r="P48" i="33"/>
  <c r="E421" i="22" s="1"/>
  <c r="S48" i="33"/>
  <c r="O48" i="33"/>
  <c r="U48" i="33"/>
  <c r="V48" i="33"/>
  <c r="R48" i="33"/>
  <c r="K421" i="22" s="1"/>
  <c r="Q48" i="33"/>
  <c r="Z63" i="22"/>
  <c r="AN63" i="22" s="1"/>
  <c r="AG63" i="22"/>
  <c r="S63" i="22"/>
  <c r="S70" i="22"/>
  <c r="AG70" i="22"/>
  <c r="Z70" i="22"/>
  <c r="AN70" i="22" s="1"/>
  <c r="S62" i="22"/>
  <c r="Z62" i="22"/>
  <c r="AN62" i="22" s="1"/>
  <c r="AG62" i="22"/>
  <c r="Z58" i="22"/>
  <c r="AN58" i="22" s="1"/>
  <c r="AP94" i="22" s="1"/>
  <c r="AG58" i="22"/>
  <c r="Z76" i="22"/>
  <c r="AN76" i="22" s="1"/>
  <c r="S76" i="22"/>
  <c r="AG76" i="22"/>
  <c r="AG47" i="22"/>
  <c r="Z47" i="22"/>
  <c r="AN47" i="22" s="1"/>
  <c r="AP83" i="22" s="1"/>
  <c r="AG71" i="22"/>
  <c r="Z71" i="22"/>
  <c r="AN71" i="22" s="1"/>
  <c r="S71" i="22"/>
  <c r="D10" i="3"/>
  <c r="B5" i="22"/>
  <c r="S74" i="22"/>
  <c r="AG74" i="22"/>
  <c r="Z74" i="22"/>
  <c r="AN74" i="22" s="1"/>
  <c r="Z61" i="22"/>
  <c r="AN61" i="22" s="1"/>
  <c r="AP97" i="22" s="1"/>
  <c r="AG61" i="22"/>
  <c r="S61" i="22"/>
  <c r="Z65" i="22"/>
  <c r="AN65" i="22" s="1"/>
  <c r="AG65" i="22"/>
  <c r="S65" i="22"/>
  <c r="S69" i="22"/>
  <c r="Z69" i="22"/>
  <c r="AN69" i="22" s="1"/>
  <c r="AG69" i="22"/>
  <c r="S72" i="22"/>
  <c r="AG72" i="22"/>
  <c r="Z72" i="22"/>
  <c r="AN72" i="22" s="1"/>
  <c r="Z67" i="22"/>
  <c r="AN67" i="22" s="1"/>
  <c r="AG67" i="22"/>
  <c r="S67" i="22"/>
  <c r="S64" i="22"/>
  <c r="Z64" i="22"/>
  <c r="AN64" i="22" s="1"/>
  <c r="AG64" i="22"/>
  <c r="Z75" i="22"/>
  <c r="AN75" i="22" s="1"/>
  <c r="AG75" i="22"/>
  <c r="S75" i="22"/>
  <c r="Z73" i="22"/>
  <c r="AN73" i="22" s="1"/>
  <c r="AG73" i="22"/>
  <c r="S73" i="22"/>
  <c r="S60" i="22"/>
  <c r="AG60" i="22"/>
  <c r="Z60" i="22"/>
  <c r="AN60" i="22" s="1"/>
  <c r="AP96" i="22" s="1"/>
  <c r="Z68" i="22"/>
  <c r="AN68" i="22" s="1"/>
  <c r="AG68" i="22"/>
  <c r="S68" i="22"/>
  <c r="Z59" i="22"/>
  <c r="AN59" i="22" s="1"/>
  <c r="AP95" i="22" s="1"/>
  <c r="AG59" i="22"/>
  <c r="S59" i="22"/>
  <c r="B190" i="22"/>
  <c r="R80" i="22"/>
  <c r="Q42" i="20"/>
  <c r="K101" i="22" s="1"/>
  <c r="S66" i="22"/>
  <c r="Z66" i="22"/>
  <c r="AN66" i="22" s="1"/>
  <c r="AG66" i="22"/>
  <c r="F77" i="33"/>
  <c r="L77" i="33"/>
  <c r="E77" i="33"/>
  <c r="F73" i="33"/>
  <c r="N23" i="29" s="1"/>
  <c r="L73" i="33"/>
  <c r="E73" i="33"/>
  <c r="M23" i="29" s="1"/>
  <c r="F69" i="33"/>
  <c r="L69" i="33"/>
  <c r="E69" i="33"/>
  <c r="E74" i="33"/>
  <c r="F74" i="33"/>
  <c r="N24" i="29" s="1"/>
  <c r="L74" i="33"/>
  <c r="L72" i="33"/>
  <c r="E72" i="33"/>
  <c r="F72" i="33"/>
  <c r="N22" i="29" s="1"/>
  <c r="M8" i="33"/>
  <c r="O9" i="3"/>
  <c r="E78" i="33"/>
  <c r="F78" i="33"/>
  <c r="N28" i="29" s="1"/>
  <c r="L78" i="33"/>
  <c r="L75" i="33"/>
  <c r="F75" i="33"/>
  <c r="E75" i="33"/>
  <c r="L76" i="33"/>
  <c r="E76" i="33"/>
  <c r="F76" i="33"/>
  <c r="M91" i="20"/>
  <c r="L65" i="33"/>
  <c r="F65" i="33"/>
  <c r="E65" i="33"/>
  <c r="L67" i="33"/>
  <c r="F67" i="33"/>
  <c r="E67" i="33"/>
  <c r="L79" i="33"/>
  <c r="O29" i="29" s="1"/>
  <c r="F79" i="33"/>
  <c r="N29" i="29" s="1"/>
  <c r="E79" i="33"/>
  <c r="L8" i="20"/>
  <c r="F9" i="3"/>
  <c r="E66" i="33"/>
  <c r="F66" i="33"/>
  <c r="L66" i="33"/>
  <c r="E70" i="33"/>
  <c r="F70" i="33"/>
  <c r="L70" i="33"/>
  <c r="L71" i="33"/>
  <c r="F71" i="33"/>
  <c r="E71" i="33"/>
  <c r="L68" i="33"/>
  <c r="E68" i="33"/>
  <c r="F68" i="33"/>
  <c r="E10" i="3"/>
  <c r="G39" i="3"/>
  <c r="F38" i="3"/>
  <c r="E37" i="3"/>
  <c r="G35" i="3"/>
  <c r="F34" i="3"/>
  <c r="E33" i="3"/>
  <c r="G31" i="3"/>
  <c r="F30" i="3"/>
  <c r="E29" i="3"/>
  <c r="G27" i="3"/>
  <c r="F26" i="3"/>
  <c r="E25" i="3"/>
  <c r="G23" i="3"/>
  <c r="F22" i="3"/>
  <c r="E21" i="3"/>
  <c r="G19" i="3"/>
  <c r="F18" i="3"/>
  <c r="E17" i="3"/>
  <c r="G15" i="3"/>
  <c r="F14" i="3"/>
  <c r="E13" i="3"/>
  <c r="G11" i="3"/>
  <c r="F10" i="3"/>
  <c r="G37" i="3"/>
  <c r="G33" i="3"/>
  <c r="E31" i="3"/>
  <c r="G29" i="3"/>
  <c r="E27" i="3"/>
  <c r="G25" i="3"/>
  <c r="E23" i="3"/>
  <c r="F20" i="3"/>
  <c r="G17" i="3"/>
  <c r="E15" i="3"/>
  <c r="F12" i="3"/>
  <c r="G38" i="3"/>
  <c r="G34" i="3"/>
  <c r="G30" i="3"/>
  <c r="E28" i="3"/>
  <c r="F25" i="3"/>
  <c r="G22" i="3"/>
  <c r="E20" i="3"/>
  <c r="F17" i="3"/>
  <c r="G14" i="3"/>
  <c r="E12" i="3"/>
  <c r="F39" i="3"/>
  <c r="E38" i="3"/>
  <c r="G36" i="3"/>
  <c r="F35" i="3"/>
  <c r="E34" i="3"/>
  <c r="G32" i="3"/>
  <c r="F31" i="3"/>
  <c r="E30" i="3"/>
  <c r="G28" i="3"/>
  <c r="F27" i="3"/>
  <c r="E26" i="3"/>
  <c r="G24" i="3"/>
  <c r="F23" i="3"/>
  <c r="E22" i="3"/>
  <c r="G20" i="3"/>
  <c r="F19" i="3"/>
  <c r="E18" i="3"/>
  <c r="G16" i="3"/>
  <c r="F15" i="3"/>
  <c r="E14" i="3"/>
  <c r="G12" i="3"/>
  <c r="F11" i="3"/>
  <c r="E39" i="3"/>
  <c r="F36" i="3"/>
  <c r="E35" i="3"/>
  <c r="F32" i="3"/>
  <c r="F28" i="3"/>
  <c r="F24" i="3"/>
  <c r="G21" i="3"/>
  <c r="E19" i="3"/>
  <c r="F16" i="3"/>
  <c r="G13" i="3"/>
  <c r="E11" i="3"/>
  <c r="F37" i="3"/>
  <c r="E36" i="3"/>
  <c r="F33" i="3"/>
  <c r="E32" i="3"/>
  <c r="F29" i="3"/>
  <c r="G26" i="3"/>
  <c r="E24" i="3"/>
  <c r="F21" i="3"/>
  <c r="G18" i="3"/>
  <c r="E16" i="3"/>
  <c r="F13" i="3"/>
  <c r="G10" i="3"/>
  <c r="AE45" i="33"/>
  <c r="AD45" i="33"/>
  <c r="AE47" i="33"/>
  <c r="AD47" i="33"/>
  <c r="AE59" i="33"/>
  <c r="AD59" i="33"/>
  <c r="AE46" i="33"/>
  <c r="AD46" i="33"/>
  <c r="AD50" i="33"/>
  <c r="AE50" i="33"/>
  <c r="AE51" i="33"/>
  <c r="AD51" i="33"/>
  <c r="AE48" i="33"/>
  <c r="AD48" i="33"/>
  <c r="AE57" i="33"/>
  <c r="AD57" i="33"/>
  <c r="AE53" i="33"/>
  <c r="AD53" i="33"/>
  <c r="AE49" i="33"/>
  <c r="AD49" i="33"/>
  <c r="AD54" i="33"/>
  <c r="AE54" i="33"/>
  <c r="AE52" i="33"/>
  <c r="AD52" i="33"/>
  <c r="AD58" i="33"/>
  <c r="AE58" i="33"/>
  <c r="AE55" i="33"/>
  <c r="AD55" i="33"/>
  <c r="AE56" i="33"/>
  <c r="AD56" i="33"/>
  <c r="AF46" i="33"/>
  <c r="K66" i="33"/>
  <c r="AF51" i="33"/>
  <c r="K71" i="33"/>
  <c r="AF48" i="33"/>
  <c r="K68" i="33"/>
  <c r="AF57" i="33"/>
  <c r="K77" i="33"/>
  <c r="AF54" i="33"/>
  <c r="K74" i="33"/>
  <c r="AF52" i="33"/>
  <c r="K72" i="33"/>
  <c r="AF50" i="33"/>
  <c r="K70" i="33"/>
  <c r="AF53" i="33"/>
  <c r="K73" i="33"/>
  <c r="AF58" i="33"/>
  <c r="K78" i="33"/>
  <c r="AF55" i="33"/>
  <c r="K75" i="33"/>
  <c r="AF56" i="33"/>
  <c r="K76" i="33"/>
  <c r="AF49" i="33"/>
  <c r="K69" i="33"/>
  <c r="AF45" i="33"/>
  <c r="K65" i="33"/>
  <c r="AF47" i="33"/>
  <c r="K67" i="33"/>
  <c r="AF59" i="33"/>
  <c r="K79" i="33"/>
  <c r="I66" i="33"/>
  <c r="G46" i="33"/>
  <c r="M398" i="22" s="1"/>
  <c r="AG46" i="33"/>
  <c r="H46" i="33"/>
  <c r="R398" i="22" s="1"/>
  <c r="J66" i="33"/>
  <c r="I70" i="33"/>
  <c r="G50" i="33"/>
  <c r="M402" i="22" s="1"/>
  <c r="AG50" i="33"/>
  <c r="J70" i="33"/>
  <c r="H50" i="33"/>
  <c r="R402" i="22" s="1"/>
  <c r="H51" i="33"/>
  <c r="R403" i="22" s="1"/>
  <c r="J71" i="33"/>
  <c r="G51" i="33"/>
  <c r="M403" i="22" s="1"/>
  <c r="I71" i="33"/>
  <c r="AG51" i="33"/>
  <c r="I78" i="33"/>
  <c r="G58" i="33"/>
  <c r="M410" i="22" s="1"/>
  <c r="AG58" i="33"/>
  <c r="J78" i="33"/>
  <c r="H58" i="33"/>
  <c r="R410" i="22" s="1"/>
  <c r="H55" i="33"/>
  <c r="R407" i="22" s="1"/>
  <c r="J75" i="33"/>
  <c r="G55" i="33"/>
  <c r="M407" i="22" s="1"/>
  <c r="I75" i="33"/>
  <c r="AG55" i="33"/>
  <c r="I76" i="33"/>
  <c r="AG56" i="33"/>
  <c r="H56" i="33"/>
  <c r="R408" i="22" s="1"/>
  <c r="G56" i="33"/>
  <c r="M408" i="22" s="1"/>
  <c r="J76" i="33"/>
  <c r="J65" i="33"/>
  <c r="AG45" i="33"/>
  <c r="I65" i="33"/>
  <c r="H45" i="33"/>
  <c r="R397" i="22" s="1"/>
  <c r="G45" i="33"/>
  <c r="M397" i="22" s="1"/>
  <c r="H47" i="33"/>
  <c r="R399" i="22" s="1"/>
  <c r="J67" i="33"/>
  <c r="G47" i="33"/>
  <c r="M399" i="22" s="1"/>
  <c r="I67" i="33"/>
  <c r="AG47" i="33"/>
  <c r="H59" i="33"/>
  <c r="R411" i="22" s="1"/>
  <c r="J79" i="33"/>
  <c r="G59" i="33"/>
  <c r="M411" i="22" s="1"/>
  <c r="I79" i="33"/>
  <c r="AG59" i="33"/>
  <c r="I68" i="33"/>
  <c r="AG48" i="33"/>
  <c r="H48" i="33"/>
  <c r="R400" i="22" s="1"/>
  <c r="G48" i="33"/>
  <c r="M400" i="22" s="1"/>
  <c r="J68" i="33"/>
  <c r="J77" i="33"/>
  <c r="AG57" i="33"/>
  <c r="I77" i="33"/>
  <c r="H57" i="33"/>
  <c r="R409" i="22" s="1"/>
  <c r="G57" i="33"/>
  <c r="M409" i="22" s="1"/>
  <c r="J73" i="33"/>
  <c r="AG53" i="33"/>
  <c r="I73" i="33"/>
  <c r="H53" i="33"/>
  <c r="R405" i="22" s="1"/>
  <c r="G53" i="33"/>
  <c r="M405" i="22" s="1"/>
  <c r="J69" i="33"/>
  <c r="AG49" i="33"/>
  <c r="I69" i="33"/>
  <c r="H49" i="33"/>
  <c r="R401" i="22" s="1"/>
  <c r="G49" i="33"/>
  <c r="M401" i="22" s="1"/>
  <c r="I74" i="33"/>
  <c r="G54" i="33"/>
  <c r="M406" i="22" s="1"/>
  <c r="AG54" i="33"/>
  <c r="H54" i="33"/>
  <c r="R406" i="22" s="1"/>
  <c r="J74" i="33"/>
  <c r="I72" i="33"/>
  <c r="AG52" i="33"/>
  <c r="H52" i="33"/>
  <c r="R404" i="22" s="1"/>
  <c r="G52" i="33"/>
  <c r="M404" i="22" s="1"/>
  <c r="J72" i="33"/>
  <c r="N79" i="33"/>
  <c r="D79" i="33"/>
  <c r="Q79" i="33"/>
  <c r="G79" i="33"/>
  <c r="C79" i="33"/>
  <c r="P79" i="33"/>
  <c r="AK59" i="33"/>
  <c r="AB59" i="33"/>
  <c r="X59" i="33"/>
  <c r="AC432" i="22" s="1"/>
  <c r="M59" i="33"/>
  <c r="I59" i="33"/>
  <c r="V411" i="22" s="1"/>
  <c r="E59" i="33"/>
  <c r="E411" i="22" s="1"/>
  <c r="AI59" i="33"/>
  <c r="AC59" i="33"/>
  <c r="W59" i="33"/>
  <c r="W432" i="22" s="1"/>
  <c r="J59" i="33"/>
  <c r="D59" i="33"/>
  <c r="M29" i="29"/>
  <c r="L59" i="33"/>
  <c r="AF411" i="22" s="1"/>
  <c r="F59" i="33"/>
  <c r="I411" i="22" s="1"/>
  <c r="AA59" i="33"/>
  <c r="Z59" i="33"/>
  <c r="AO432" i="22" s="1"/>
  <c r="K59" i="33"/>
  <c r="AA411" i="22" s="1"/>
  <c r="X23" i="33"/>
  <c r="Z23" i="33"/>
  <c r="C59" i="33"/>
  <c r="Y23" i="33"/>
  <c r="AJ59" i="33"/>
  <c r="AA23" i="33"/>
  <c r="AH59" i="33"/>
  <c r="N59" i="33"/>
  <c r="AK411" i="22" s="1"/>
  <c r="O79" i="33"/>
  <c r="W23" i="33"/>
  <c r="P77" i="33"/>
  <c r="N27" i="29"/>
  <c r="N77" i="33"/>
  <c r="D77" i="33"/>
  <c r="AK57" i="33"/>
  <c r="AB57" i="33"/>
  <c r="X57" i="33"/>
  <c r="AC430" i="22" s="1"/>
  <c r="M57" i="33"/>
  <c r="I57" i="33"/>
  <c r="V409" i="22" s="1"/>
  <c r="E57" i="33"/>
  <c r="E409" i="22" s="1"/>
  <c r="O77" i="33"/>
  <c r="M27" i="29"/>
  <c r="AI57" i="33"/>
  <c r="AC57" i="33"/>
  <c r="W57" i="33"/>
  <c r="W430" i="22" s="1"/>
  <c r="J57" i="33"/>
  <c r="D57" i="33"/>
  <c r="L57" i="33"/>
  <c r="AF409" i="22" s="1"/>
  <c r="F57" i="33"/>
  <c r="I409" i="22" s="1"/>
  <c r="C77" i="33"/>
  <c r="AA57" i="33"/>
  <c r="O27" i="29"/>
  <c r="AH57" i="33"/>
  <c r="C57" i="33"/>
  <c r="Z21" i="33"/>
  <c r="G77" i="33"/>
  <c r="K57" i="33"/>
  <c r="AA409" i="22" s="1"/>
  <c r="W21" i="33"/>
  <c r="Z57" i="33"/>
  <c r="AO430" i="22" s="1"/>
  <c r="AA21" i="33"/>
  <c r="Q77" i="33"/>
  <c r="Y21" i="33"/>
  <c r="X21" i="33"/>
  <c r="AJ57" i="33"/>
  <c r="N57" i="33"/>
  <c r="AK409" i="22" s="1"/>
  <c r="P73" i="33"/>
  <c r="N73" i="33"/>
  <c r="D73" i="33"/>
  <c r="O73" i="33"/>
  <c r="AH53" i="33"/>
  <c r="AC53" i="33"/>
  <c r="N53" i="33"/>
  <c r="AK405" i="22" s="1"/>
  <c r="J53" i="33"/>
  <c r="F53" i="33"/>
  <c r="I405" i="22" s="1"/>
  <c r="O23" i="29"/>
  <c r="AK53" i="33"/>
  <c r="Z53" i="33"/>
  <c r="AO426" i="22" s="1"/>
  <c r="L53" i="33"/>
  <c r="AF405" i="22" s="1"/>
  <c r="C73" i="33"/>
  <c r="X53" i="33"/>
  <c r="AC426" i="22" s="1"/>
  <c r="AI53" i="33"/>
  <c r="W53" i="33"/>
  <c r="W426" i="22" s="1"/>
  <c r="K53" i="33"/>
  <c r="AA405" i="22" s="1"/>
  <c r="C53" i="33"/>
  <c r="Z17" i="33"/>
  <c r="Q73" i="33"/>
  <c r="D53" i="33"/>
  <c r="AA17" i="33"/>
  <c r="G73" i="33"/>
  <c r="AB53" i="33"/>
  <c r="M53" i="33"/>
  <c r="Y17" i="33"/>
  <c r="AA53" i="33"/>
  <c r="I53" i="33"/>
  <c r="V405" i="22" s="1"/>
  <c r="X17" i="33"/>
  <c r="W17" i="33"/>
  <c r="E53" i="33"/>
  <c r="E405" i="22" s="1"/>
  <c r="AJ53" i="33"/>
  <c r="C49" i="33"/>
  <c r="I49" i="33"/>
  <c r="V401" i="22" s="1"/>
  <c r="Z13" i="33"/>
  <c r="Y13" i="33"/>
  <c r="J49" i="33"/>
  <c r="W49" i="33" s="1"/>
  <c r="W422" i="22" s="1"/>
  <c r="N74" i="33"/>
  <c r="D74" i="33"/>
  <c r="P74" i="33"/>
  <c r="Q74" i="33"/>
  <c r="G74" i="33"/>
  <c r="AH54" i="33"/>
  <c r="AC54" i="33"/>
  <c r="N54" i="33"/>
  <c r="AK406" i="22" s="1"/>
  <c r="J54" i="33"/>
  <c r="F54" i="33"/>
  <c r="I406" i="22" s="1"/>
  <c r="AJ54" i="33"/>
  <c r="X54" i="33"/>
  <c r="AC427" i="22" s="1"/>
  <c r="K54" i="33"/>
  <c r="AA406" i="22" s="1"/>
  <c r="E54" i="33"/>
  <c r="E406" i="22" s="1"/>
  <c r="C74" i="33"/>
  <c r="AI54" i="33"/>
  <c r="AA54" i="33"/>
  <c r="I54" i="33"/>
  <c r="V406" i="22" s="1"/>
  <c r="C54" i="33"/>
  <c r="O74" i="33"/>
  <c r="AB54" i="33"/>
  <c r="Y18" i="33"/>
  <c r="AK54" i="33"/>
  <c r="W54" i="33"/>
  <c r="W427" i="22" s="1"/>
  <c r="Z18" i="33"/>
  <c r="D54" i="33"/>
  <c r="X18" i="33"/>
  <c r="O24" i="29"/>
  <c r="M54" i="33"/>
  <c r="W18" i="33"/>
  <c r="Z54" i="33"/>
  <c r="AO427" i="22" s="1"/>
  <c r="L54" i="33"/>
  <c r="AF406" i="22" s="1"/>
  <c r="AA18" i="33"/>
  <c r="M24" i="29"/>
  <c r="W30" i="33"/>
  <c r="AA30" i="33"/>
  <c r="N72" i="33"/>
  <c r="D72" i="33"/>
  <c r="P72" i="33"/>
  <c r="O22" i="29"/>
  <c r="C72" i="33"/>
  <c r="AH52" i="33"/>
  <c r="AC52" i="33"/>
  <c r="N52" i="33"/>
  <c r="AK404" i="22" s="1"/>
  <c r="J52" i="33"/>
  <c r="F52" i="33"/>
  <c r="I404" i="22" s="1"/>
  <c r="Q72" i="33"/>
  <c r="M22" i="29"/>
  <c r="AA52" i="33"/>
  <c r="M52" i="33"/>
  <c r="C52" i="33"/>
  <c r="X52" i="33"/>
  <c r="AC425" i="22" s="1"/>
  <c r="G72" i="33"/>
  <c r="AI52" i="33"/>
  <c r="W52" i="33"/>
  <c r="W425" i="22" s="1"/>
  <c r="K52" i="33"/>
  <c r="AA404" i="22" s="1"/>
  <c r="AA16" i="33"/>
  <c r="W16" i="33"/>
  <c r="D52" i="33"/>
  <c r="Z16" i="33"/>
  <c r="AB52" i="33"/>
  <c r="L52" i="33"/>
  <c r="AF404" i="22" s="1"/>
  <c r="Y16" i="33"/>
  <c r="O72" i="33"/>
  <c r="AK52" i="33"/>
  <c r="Z52" i="33"/>
  <c r="AO425" i="22" s="1"/>
  <c r="I52" i="33"/>
  <c r="V404" i="22" s="1"/>
  <c r="AJ52" i="33"/>
  <c r="E52" i="33"/>
  <c r="E404" i="22" s="1"/>
  <c r="X16" i="33"/>
  <c r="W34" i="33"/>
  <c r="AA34" i="33"/>
  <c r="AA37" i="33"/>
  <c r="W37" i="33"/>
  <c r="O91" i="33"/>
  <c r="Q91" i="33" s="1"/>
  <c r="N91" i="33"/>
  <c r="R91" i="33" s="1"/>
  <c r="S91" i="33" s="1"/>
  <c r="C45" i="33"/>
  <c r="J45" i="33"/>
  <c r="W45" i="33" s="1"/>
  <c r="W418" i="22" s="1"/>
  <c r="E45" i="33"/>
  <c r="E397" i="22" s="1"/>
  <c r="F45" i="33"/>
  <c r="I397" i="22" s="1"/>
  <c r="Y9" i="33"/>
  <c r="I45" i="33"/>
  <c r="V397" i="22" s="1"/>
  <c r="D45" i="33"/>
  <c r="C47" i="33"/>
  <c r="J47" i="33"/>
  <c r="W47" i="33" s="1"/>
  <c r="W420" i="22" s="1"/>
  <c r="I47" i="33"/>
  <c r="V399" i="22" s="1"/>
  <c r="Z11" i="33"/>
  <c r="AA35" i="33"/>
  <c r="W35" i="33"/>
  <c r="AA31" i="33"/>
  <c r="W31" i="33"/>
  <c r="C46" i="33"/>
  <c r="J46" i="33"/>
  <c r="W46" i="33" s="1"/>
  <c r="W419" i="22" s="1"/>
  <c r="Y10" i="33"/>
  <c r="I46" i="33"/>
  <c r="V398" i="22" s="1"/>
  <c r="X10" i="33"/>
  <c r="C50" i="33"/>
  <c r="Y14" i="33"/>
  <c r="AA14" i="33" s="1"/>
  <c r="W50" i="33"/>
  <c r="W423" i="22" s="1"/>
  <c r="J50" i="33"/>
  <c r="X14" i="33"/>
  <c r="I50" i="33"/>
  <c r="V402" i="22" s="1"/>
  <c r="Z14" i="33"/>
  <c r="W38" i="33"/>
  <c r="AA38" i="33"/>
  <c r="P71" i="33"/>
  <c r="N21" i="29"/>
  <c r="N71" i="33"/>
  <c r="D71" i="33"/>
  <c r="AH51" i="33"/>
  <c r="AC51" i="33"/>
  <c r="G71" i="33"/>
  <c r="AI51" i="33"/>
  <c r="AB51" i="33"/>
  <c r="W51" i="33"/>
  <c r="W424" i="22" s="1"/>
  <c r="K51" i="33"/>
  <c r="AA403" i="22" s="1"/>
  <c r="C51" i="33"/>
  <c r="Q71" i="33"/>
  <c r="C71" i="33"/>
  <c r="AK51" i="33"/>
  <c r="M51" i="33"/>
  <c r="AA51" i="33"/>
  <c r="I51" i="33"/>
  <c r="V403" i="22" s="1"/>
  <c r="X15" i="33"/>
  <c r="O71" i="33"/>
  <c r="N51" i="33"/>
  <c r="AK403" i="22" s="1"/>
  <c r="E51" i="33"/>
  <c r="E403" i="22" s="1"/>
  <c r="Y15" i="33"/>
  <c r="O21" i="29"/>
  <c r="Z51" i="33"/>
  <c r="AO424" i="22" s="1"/>
  <c r="L51" i="33"/>
  <c r="AF403" i="22" s="1"/>
  <c r="D51" i="33"/>
  <c r="W15" i="33"/>
  <c r="M21" i="29"/>
  <c r="AJ51" i="33"/>
  <c r="X51" i="33"/>
  <c r="AC424" i="22" s="1"/>
  <c r="J51" i="33"/>
  <c r="AA15" i="33"/>
  <c r="Z15" i="33"/>
  <c r="F51" i="33"/>
  <c r="I403" i="22" s="1"/>
  <c r="C48" i="33"/>
  <c r="J48" i="33"/>
  <c r="I48" i="33"/>
  <c r="V400" i="22" s="1"/>
  <c r="Z12" i="33"/>
  <c r="W48" i="33"/>
  <c r="W421" i="22" s="1"/>
  <c r="Y12" i="33"/>
  <c r="AA33" i="33"/>
  <c r="W33" i="33"/>
  <c r="Q78" i="33"/>
  <c r="O28" i="29"/>
  <c r="G78" i="33"/>
  <c r="C78" i="33"/>
  <c r="P78" i="33"/>
  <c r="O78" i="33"/>
  <c r="M28" i="29"/>
  <c r="AK58" i="33"/>
  <c r="AB58" i="33"/>
  <c r="X58" i="33"/>
  <c r="AC431" i="22" s="1"/>
  <c r="M58" i="33"/>
  <c r="I58" i="33"/>
  <c r="V410" i="22" s="1"/>
  <c r="E58" i="33"/>
  <c r="E410" i="22" s="1"/>
  <c r="AI58" i="33"/>
  <c r="AC58" i="33"/>
  <c r="W58" i="33"/>
  <c r="W431" i="22" s="1"/>
  <c r="J58" i="33"/>
  <c r="D58" i="33"/>
  <c r="D78" i="33"/>
  <c r="AH58" i="33"/>
  <c r="Z58" i="33"/>
  <c r="AO431" i="22" s="1"/>
  <c r="K58" i="33"/>
  <c r="AA410" i="22" s="1"/>
  <c r="AJ58" i="33"/>
  <c r="F58" i="33"/>
  <c r="I410" i="22" s="1"/>
  <c r="Y22" i="33"/>
  <c r="N78" i="33"/>
  <c r="AA58" i="33"/>
  <c r="AA22" i="33"/>
  <c r="C58" i="33"/>
  <c r="Z22" i="33"/>
  <c r="N58" i="33"/>
  <c r="AK410" i="22" s="1"/>
  <c r="L58" i="33"/>
  <c r="AF410" i="22" s="1"/>
  <c r="X22" i="33"/>
  <c r="W22" i="33"/>
  <c r="AA36" i="33"/>
  <c r="W36" i="33"/>
  <c r="P75" i="33"/>
  <c r="N25" i="29"/>
  <c r="N75" i="33"/>
  <c r="D75" i="33"/>
  <c r="AH55" i="33"/>
  <c r="AC55" i="33"/>
  <c r="N55" i="33"/>
  <c r="AK407" i="22" s="1"/>
  <c r="J55" i="33"/>
  <c r="F55" i="33"/>
  <c r="I407" i="22" s="1"/>
  <c r="Q75" i="33"/>
  <c r="M25" i="29"/>
  <c r="AI55" i="33"/>
  <c r="AB55" i="33"/>
  <c r="W55" i="33"/>
  <c r="W428" i="22" s="1"/>
  <c r="I55" i="33"/>
  <c r="V407" i="22" s="1"/>
  <c r="D55" i="33"/>
  <c r="C75" i="33"/>
  <c r="AK55" i="33"/>
  <c r="L55" i="33"/>
  <c r="AF407" i="22" s="1"/>
  <c r="E55" i="33"/>
  <c r="E407" i="22" s="1"/>
  <c r="X55" i="33"/>
  <c r="AC428" i="22" s="1"/>
  <c r="K55" i="33"/>
  <c r="AA407" i="22" s="1"/>
  <c r="X19" i="33"/>
  <c r="O25" i="29"/>
  <c r="Z55" i="33"/>
  <c r="AO428" i="22" s="1"/>
  <c r="Z19" i="33"/>
  <c r="G75" i="33"/>
  <c r="AJ55" i="33"/>
  <c r="Y19" i="33"/>
  <c r="C55" i="33"/>
  <c r="W19" i="33"/>
  <c r="O75" i="33"/>
  <c r="AA55" i="33"/>
  <c r="M55" i="33"/>
  <c r="AA19" i="33"/>
  <c r="AA32" i="33"/>
  <c r="W32" i="33"/>
  <c r="N76" i="33"/>
  <c r="D76" i="33"/>
  <c r="P76" i="33"/>
  <c r="N26" i="29"/>
  <c r="AK56" i="33"/>
  <c r="O26" i="29"/>
  <c r="C76" i="33"/>
  <c r="AI56" i="33"/>
  <c r="AC56" i="33"/>
  <c r="N56" i="33"/>
  <c r="AK408" i="22" s="1"/>
  <c r="J56" i="33"/>
  <c r="F56" i="33"/>
  <c r="I408" i="22" s="1"/>
  <c r="O76" i="33"/>
  <c r="AH56" i="33"/>
  <c r="AA56" i="33"/>
  <c r="M56" i="33"/>
  <c r="C56" i="33"/>
  <c r="M26" i="29"/>
  <c r="X56" i="33"/>
  <c r="AC429" i="22" s="1"/>
  <c r="G76" i="33"/>
  <c r="AB56" i="33"/>
  <c r="E56" i="33"/>
  <c r="E408" i="22" s="1"/>
  <c r="AA20" i="33"/>
  <c r="W20" i="33"/>
  <c r="L56" i="33"/>
  <c r="AF408" i="22" s="1"/>
  <c r="Q76" i="33"/>
  <c r="Z56" i="33"/>
  <c r="AO429" i="22" s="1"/>
  <c r="K56" i="33"/>
  <c r="AA408" i="22" s="1"/>
  <c r="Z20" i="33"/>
  <c r="W56" i="33"/>
  <c r="W429" i="22" s="1"/>
  <c r="I56" i="33"/>
  <c r="V408" i="22" s="1"/>
  <c r="D56" i="33"/>
  <c r="Y20" i="33"/>
  <c r="AJ56" i="33"/>
  <c r="X20" i="33"/>
  <c r="Q38" i="20"/>
  <c r="Q34" i="20"/>
  <c r="Q30" i="20"/>
  <c r="Q26" i="20"/>
  <c r="Q22" i="20"/>
  <c r="Q35" i="20"/>
  <c r="Q29" i="20"/>
  <c r="Q25" i="20"/>
  <c r="Q21" i="20"/>
  <c r="Q17" i="20"/>
  <c r="Q36" i="20"/>
  <c r="Q24" i="20"/>
  <c r="Q23" i="20"/>
  <c r="Q37" i="20"/>
  <c r="Q31" i="20"/>
  <c r="Q20" i="20"/>
  <c r="Q19" i="20"/>
  <c r="Q14" i="20"/>
  <c r="Q10" i="20"/>
  <c r="Q28" i="20"/>
  <c r="Q18" i="20"/>
  <c r="Q15" i="20"/>
  <c r="Q12" i="20"/>
  <c r="Q33" i="20"/>
  <c r="Q16" i="20"/>
  <c r="Q11" i="20"/>
  <c r="Q32" i="20"/>
  <c r="Q13" i="20"/>
  <c r="Q9" i="20"/>
  <c r="Q27" i="20"/>
  <c r="G20" i="20"/>
  <c r="D21" i="3" s="1"/>
  <c r="AK17" i="21"/>
  <c r="AC18" i="21"/>
  <c r="AD18" i="21" s="1"/>
  <c r="AC19" i="21"/>
  <c r="AD19" i="21" s="1"/>
  <c r="AC20" i="21"/>
  <c r="AD20" i="21" s="1"/>
  <c r="AC21" i="21"/>
  <c r="AD21" i="21" s="1"/>
  <c r="AC22" i="21"/>
  <c r="AD22" i="21" s="1"/>
  <c r="AC23" i="21"/>
  <c r="AD23" i="21" s="1"/>
  <c r="AC24" i="21"/>
  <c r="AD24" i="21" s="1"/>
  <c r="AC25" i="21"/>
  <c r="AD25" i="21" s="1"/>
  <c r="AC26" i="21"/>
  <c r="AD26" i="21" s="1"/>
  <c r="AC27" i="21"/>
  <c r="AD27" i="21" s="1"/>
  <c r="AC28" i="21"/>
  <c r="AD28" i="21" s="1"/>
  <c r="AC29" i="21"/>
  <c r="AD29" i="21" s="1"/>
  <c r="AC30" i="21"/>
  <c r="AD30" i="21" s="1"/>
  <c r="AC31" i="21"/>
  <c r="AD31" i="21" s="1"/>
  <c r="AC32" i="21"/>
  <c r="AD32" i="21" s="1"/>
  <c r="AC33" i="21"/>
  <c r="AD33" i="21" s="1"/>
  <c r="AC34" i="21"/>
  <c r="AD34" i="21" s="1"/>
  <c r="AC35" i="21"/>
  <c r="AD35" i="21" s="1"/>
  <c r="AC36" i="21"/>
  <c r="AD36" i="21" s="1"/>
  <c r="AC37" i="21"/>
  <c r="AD37" i="21" s="1"/>
  <c r="AC38" i="21"/>
  <c r="AD38" i="21" s="1"/>
  <c r="AC39" i="21"/>
  <c r="AD39" i="21" s="1"/>
  <c r="AC40" i="21"/>
  <c r="AD40" i="21" s="1"/>
  <c r="AC41" i="21"/>
  <c r="AD41" i="21" s="1"/>
  <c r="AC42" i="21"/>
  <c r="AD42" i="21" s="1"/>
  <c r="AC43" i="21"/>
  <c r="AD43" i="21" s="1"/>
  <c r="AC44" i="21"/>
  <c r="AD44" i="21" s="1"/>
  <c r="AC45" i="21"/>
  <c r="AD45" i="21" s="1"/>
  <c r="AC46" i="21"/>
  <c r="AD46" i="21" s="1"/>
  <c r="AC47" i="21"/>
  <c r="AD47" i="21" s="1"/>
  <c r="AD17" i="21"/>
  <c r="Y46" i="20" l="1"/>
  <c r="AI105" i="22" s="1"/>
  <c r="V46" i="20"/>
  <c r="R46" i="20"/>
  <c r="K105" i="22" s="1"/>
  <c r="U46" i="20"/>
  <c r="S46" i="20"/>
  <c r="Q46" i="20"/>
  <c r="P46" i="20"/>
  <c r="E105" i="22" s="1"/>
  <c r="T46" i="20"/>
  <c r="Q105" i="22" s="1"/>
  <c r="O46" i="20"/>
  <c r="Y47" i="20"/>
  <c r="AI106" i="22" s="1"/>
  <c r="V47" i="20"/>
  <c r="R47" i="20"/>
  <c r="K106" i="22" s="1"/>
  <c r="U47" i="20"/>
  <c r="Q47" i="20"/>
  <c r="O47" i="20"/>
  <c r="T47" i="20"/>
  <c r="Q106" i="22" s="1"/>
  <c r="P47" i="20"/>
  <c r="E106" i="22" s="1"/>
  <c r="S47" i="20"/>
  <c r="Y51" i="20"/>
  <c r="AI110" i="22" s="1"/>
  <c r="V51" i="20"/>
  <c r="R51" i="20"/>
  <c r="K110" i="22" s="1"/>
  <c r="U51" i="20"/>
  <c r="O51" i="20"/>
  <c r="Q51" i="20"/>
  <c r="S51" i="20"/>
  <c r="T51" i="20"/>
  <c r="Q110" i="22" s="1"/>
  <c r="P51" i="20"/>
  <c r="E110" i="22" s="1"/>
  <c r="Y53" i="20"/>
  <c r="AI112" i="22" s="1"/>
  <c r="V53" i="20"/>
  <c r="R53" i="20"/>
  <c r="K112" i="22" s="1"/>
  <c r="Q53" i="20"/>
  <c r="U53" i="20"/>
  <c r="O53" i="20"/>
  <c r="T53" i="20"/>
  <c r="Q112" i="22" s="1"/>
  <c r="P53" i="20"/>
  <c r="E112" i="22" s="1"/>
  <c r="S53" i="20"/>
  <c r="Y45" i="20"/>
  <c r="AI104" i="22" s="1"/>
  <c r="V45" i="20"/>
  <c r="R45" i="20"/>
  <c r="K104" i="22" s="1"/>
  <c r="U45" i="20"/>
  <c r="Q45" i="20"/>
  <c r="T45" i="20"/>
  <c r="Q104" i="22" s="1"/>
  <c r="S45" i="20"/>
  <c r="P45" i="20"/>
  <c r="E104" i="22" s="1"/>
  <c r="O45" i="20"/>
  <c r="Y52" i="20"/>
  <c r="AI111" i="22" s="1"/>
  <c r="V52" i="20"/>
  <c r="R52" i="20"/>
  <c r="K111" i="22" s="1"/>
  <c r="Q52" i="20"/>
  <c r="S52" i="20"/>
  <c r="U52" i="20"/>
  <c r="T52" i="20"/>
  <c r="Q111" i="22" s="1"/>
  <c r="P52" i="20"/>
  <c r="E111" i="22" s="1"/>
  <c r="O52" i="20"/>
  <c r="Y54" i="20"/>
  <c r="AI113" i="22" s="1"/>
  <c r="V54" i="20"/>
  <c r="R54" i="20"/>
  <c r="K113" i="22" s="1"/>
  <c r="U54" i="20"/>
  <c r="O54" i="20"/>
  <c r="Q54" i="20"/>
  <c r="S54" i="20"/>
  <c r="T54" i="20"/>
  <c r="Q113" i="22" s="1"/>
  <c r="P54" i="20"/>
  <c r="E113" i="22" s="1"/>
  <c r="Y55" i="20"/>
  <c r="AI114" i="22" s="1"/>
  <c r="V55" i="20"/>
  <c r="R55" i="20"/>
  <c r="K114" i="22" s="1"/>
  <c r="S55" i="20"/>
  <c r="U55" i="20"/>
  <c r="Q55" i="20"/>
  <c r="T55" i="20"/>
  <c r="Q114" i="22" s="1"/>
  <c r="P55" i="20"/>
  <c r="E114" i="22" s="1"/>
  <c r="O55" i="20"/>
  <c r="Y59" i="20"/>
  <c r="AI118" i="22" s="1"/>
  <c r="V59" i="20"/>
  <c r="R59" i="20"/>
  <c r="K118" i="22" s="1"/>
  <c r="S59" i="20"/>
  <c r="U59" i="20"/>
  <c r="Q59" i="20"/>
  <c r="O59" i="20"/>
  <c r="T59" i="20"/>
  <c r="Q118" i="22" s="1"/>
  <c r="P59" i="20"/>
  <c r="E118" i="22" s="1"/>
  <c r="Y57" i="20"/>
  <c r="AI116" i="22" s="1"/>
  <c r="V57" i="20"/>
  <c r="R57" i="20"/>
  <c r="K116" i="22" s="1"/>
  <c r="O57" i="20"/>
  <c r="U57" i="20"/>
  <c r="Q57" i="20"/>
  <c r="S57" i="20"/>
  <c r="T57" i="20"/>
  <c r="Q116" i="22" s="1"/>
  <c r="P57" i="20"/>
  <c r="E116" i="22" s="1"/>
  <c r="Y58" i="20"/>
  <c r="AI117" i="22" s="1"/>
  <c r="V58" i="20"/>
  <c r="R58" i="20"/>
  <c r="K117" i="22" s="1"/>
  <c r="O58" i="20"/>
  <c r="U58" i="20"/>
  <c r="Q58" i="20"/>
  <c r="T58" i="20"/>
  <c r="Q117" i="22" s="1"/>
  <c r="P58" i="20"/>
  <c r="E117" i="22" s="1"/>
  <c r="S58" i="20"/>
  <c r="Y48" i="20"/>
  <c r="AI107" i="22" s="1"/>
  <c r="V48" i="20"/>
  <c r="R48" i="20"/>
  <c r="K107" i="22" s="1"/>
  <c r="Q48" i="20"/>
  <c r="O48" i="20"/>
  <c r="U48" i="20"/>
  <c r="S48" i="20"/>
  <c r="T48" i="20"/>
  <c r="Q107" i="22" s="1"/>
  <c r="P48" i="20"/>
  <c r="E107" i="22" s="1"/>
  <c r="Y49" i="20"/>
  <c r="AI108" i="22" s="1"/>
  <c r="V49" i="20"/>
  <c r="R49" i="20"/>
  <c r="K108" i="22" s="1"/>
  <c r="Q49" i="20"/>
  <c r="S49" i="20"/>
  <c r="U49" i="20"/>
  <c r="T49" i="20"/>
  <c r="Q108" i="22" s="1"/>
  <c r="P49" i="20"/>
  <c r="E108" i="22" s="1"/>
  <c r="O49" i="20"/>
  <c r="Y56" i="20"/>
  <c r="AI115" i="22" s="1"/>
  <c r="V56" i="20"/>
  <c r="R56" i="20"/>
  <c r="K115" i="22" s="1"/>
  <c r="U56" i="20"/>
  <c r="Q56" i="20"/>
  <c r="O56" i="20"/>
  <c r="T56" i="20"/>
  <c r="Q115" i="22" s="1"/>
  <c r="P56" i="20"/>
  <c r="E115" i="22" s="1"/>
  <c r="S56" i="20"/>
  <c r="Y50" i="20"/>
  <c r="AI109" i="22" s="1"/>
  <c r="V50" i="20"/>
  <c r="R50" i="20"/>
  <c r="K109" i="22" s="1"/>
  <c r="U50" i="20"/>
  <c r="Q50" i="20"/>
  <c r="O50" i="20"/>
  <c r="T50" i="20"/>
  <c r="Q109" i="22" s="1"/>
  <c r="P50" i="20"/>
  <c r="E109" i="22" s="1"/>
  <c r="S50" i="20"/>
  <c r="H624" i="22"/>
  <c r="A19" i="27"/>
  <c r="A18" i="29"/>
  <c r="A19" i="26"/>
  <c r="A17" i="29"/>
  <c r="A18" i="27"/>
  <c r="A18" i="26"/>
  <c r="A22" i="27"/>
  <c r="A21" i="29"/>
  <c r="A22" i="26"/>
  <c r="A21" i="27"/>
  <c r="A20" i="29"/>
  <c r="A21" i="26"/>
  <c r="A24" i="27"/>
  <c r="A23" i="29"/>
  <c r="A24" i="26"/>
  <c r="N8" i="33"/>
  <c r="O8" i="33" s="1"/>
  <c r="T8" i="33" s="1"/>
  <c r="U8" i="33" s="1"/>
  <c r="V8" i="33" s="1"/>
  <c r="W8" i="33" s="1"/>
  <c r="J44" i="33"/>
  <c r="I64" i="33"/>
  <c r="J64" i="33" s="1"/>
  <c r="K64" i="33" s="1"/>
  <c r="A17" i="27"/>
  <c r="A16" i="29"/>
  <c r="A17" i="26"/>
  <c r="A16" i="27"/>
  <c r="A15" i="29"/>
  <c r="A16" i="26"/>
  <c r="A23" i="27"/>
  <c r="A22" i="29"/>
  <c r="A23" i="26"/>
  <c r="A25" i="27"/>
  <c r="A24" i="29"/>
  <c r="A25" i="26"/>
  <c r="A26" i="27"/>
  <c r="A25" i="29"/>
  <c r="A26" i="26"/>
  <c r="A29" i="29"/>
  <c r="A30" i="27"/>
  <c r="A30" i="26"/>
  <c r="A28" i="27"/>
  <c r="A27" i="29"/>
  <c r="A28" i="26"/>
  <c r="A28" i="29"/>
  <c r="A29" i="27"/>
  <c r="A29" i="26"/>
  <c r="A20" i="27"/>
  <c r="A19" i="29"/>
  <c r="A20" i="26"/>
  <c r="A27" i="27"/>
  <c r="A26" i="29"/>
  <c r="A27" i="26"/>
  <c r="M8" i="20"/>
  <c r="G9" i="3"/>
  <c r="AD45" i="20"/>
  <c r="AE45" i="20"/>
  <c r="AE52" i="20"/>
  <c r="AD52" i="20"/>
  <c r="AD54" i="20"/>
  <c r="AE54" i="20"/>
  <c r="AD55" i="20"/>
  <c r="AE55" i="20"/>
  <c r="AE59" i="20"/>
  <c r="AD59" i="20"/>
  <c r="AD57" i="20"/>
  <c r="AE57" i="20"/>
  <c r="AD58" i="20"/>
  <c r="AE58" i="20"/>
  <c r="AD50" i="20"/>
  <c r="AE50" i="20"/>
  <c r="AE47" i="20"/>
  <c r="AD47" i="20"/>
  <c r="AD51" i="20"/>
  <c r="AE51" i="20"/>
  <c r="AE53" i="20"/>
  <c r="AD53" i="20"/>
  <c r="AE49" i="20"/>
  <c r="AD49" i="20"/>
  <c r="AE56" i="20"/>
  <c r="AD56" i="20"/>
  <c r="AE48" i="20"/>
  <c r="AD48" i="20"/>
  <c r="AD46" i="20"/>
  <c r="AE46" i="20"/>
  <c r="AF46" i="20"/>
  <c r="K66" i="20"/>
  <c r="A17" i="11"/>
  <c r="AF47" i="20"/>
  <c r="A18" i="11"/>
  <c r="K67" i="20"/>
  <c r="AF51" i="20"/>
  <c r="K71" i="20"/>
  <c r="A22" i="11"/>
  <c r="AF50" i="20"/>
  <c r="K70" i="20"/>
  <c r="A21" i="11"/>
  <c r="AF53" i="20"/>
  <c r="A24" i="11"/>
  <c r="K73" i="20"/>
  <c r="AF45" i="20"/>
  <c r="K65" i="20"/>
  <c r="A16" i="11"/>
  <c r="AF52" i="20"/>
  <c r="A23" i="11"/>
  <c r="K72" i="20"/>
  <c r="AF54" i="20"/>
  <c r="K74" i="20"/>
  <c r="A25" i="11"/>
  <c r="AF55" i="20"/>
  <c r="K75" i="20"/>
  <c r="A26" i="11"/>
  <c r="AF59" i="20"/>
  <c r="A30" i="11"/>
  <c r="K79" i="20"/>
  <c r="AF57" i="20"/>
  <c r="A28" i="11"/>
  <c r="K77" i="20"/>
  <c r="AF58" i="20"/>
  <c r="K78" i="20"/>
  <c r="A29" i="11"/>
  <c r="AF48" i="20"/>
  <c r="K68" i="20"/>
  <c r="A19" i="11"/>
  <c r="AF49" i="20"/>
  <c r="A20" i="11"/>
  <c r="K69" i="20"/>
  <c r="AF56" i="20"/>
  <c r="K76" i="20"/>
  <c r="A27" i="11"/>
  <c r="AA27" i="33"/>
  <c r="AA28" i="33"/>
  <c r="Z9" i="33"/>
  <c r="X47" i="33"/>
  <c r="AC420" i="22" s="1"/>
  <c r="W24" i="33"/>
  <c r="X49" i="33"/>
  <c r="AC422" i="22" s="1"/>
  <c r="X45" i="33"/>
  <c r="AC418" i="22" s="1"/>
  <c r="X46" i="33"/>
  <c r="AC419" i="22" s="1"/>
  <c r="X50" i="33"/>
  <c r="AC423" i="22" s="1"/>
  <c r="X48" i="33"/>
  <c r="AC421" i="22" s="1"/>
  <c r="AA24" i="33"/>
  <c r="AA25" i="33"/>
  <c r="N46" i="33"/>
  <c r="W25" i="33"/>
  <c r="N49" i="33"/>
  <c r="AA29" i="33"/>
  <c r="M50" i="33" s="1"/>
  <c r="W29" i="33"/>
  <c r="W10" i="33"/>
  <c r="K46" i="33" s="1"/>
  <c r="AA398" i="22" s="1"/>
  <c r="W11" i="33"/>
  <c r="Y11" i="33"/>
  <c r="W13" i="33"/>
  <c r="AA13" i="33"/>
  <c r="N50" i="33"/>
  <c r="W28" i="33"/>
  <c r="W26" i="33"/>
  <c r="W27" i="33"/>
  <c r="N48" i="33"/>
  <c r="W12" i="33"/>
  <c r="X12" i="33"/>
  <c r="AA12" i="33" s="1"/>
  <c r="W14" i="33"/>
  <c r="K50" i="33" s="1"/>
  <c r="AA402" i="22" s="1"/>
  <c r="Z10" i="33"/>
  <c r="AA10" i="33" s="1"/>
  <c r="N47" i="33"/>
  <c r="W9" i="33"/>
  <c r="K45" i="33" s="1"/>
  <c r="AA397" i="22" s="1"/>
  <c r="X11" i="33"/>
  <c r="X9" i="33"/>
  <c r="AA9" i="33" s="1"/>
  <c r="X13" i="33"/>
  <c r="N45" i="33"/>
  <c r="I70" i="20"/>
  <c r="G50" i="20"/>
  <c r="M88" i="22" s="1"/>
  <c r="AG50" i="20"/>
  <c r="J70" i="20"/>
  <c r="H50" i="20"/>
  <c r="R88" i="22" s="1"/>
  <c r="J65" i="20"/>
  <c r="AG45" i="20"/>
  <c r="I65" i="20"/>
  <c r="H45" i="20"/>
  <c r="R83" i="22" s="1"/>
  <c r="G45" i="20"/>
  <c r="M83" i="22" s="1"/>
  <c r="I72" i="20"/>
  <c r="AG52" i="20"/>
  <c r="H52" i="20"/>
  <c r="R90" i="22" s="1"/>
  <c r="G52" i="20"/>
  <c r="M90" i="22" s="1"/>
  <c r="J72" i="20"/>
  <c r="I74" i="20"/>
  <c r="G54" i="20"/>
  <c r="M92" i="22" s="1"/>
  <c r="AG54" i="20"/>
  <c r="H54" i="20"/>
  <c r="R92" i="22" s="1"/>
  <c r="J74" i="20"/>
  <c r="H55" i="20"/>
  <c r="R93" i="22" s="1"/>
  <c r="J75" i="20"/>
  <c r="G55" i="20"/>
  <c r="M93" i="22" s="1"/>
  <c r="I75" i="20"/>
  <c r="AG55" i="20"/>
  <c r="H59" i="20"/>
  <c r="R97" i="22" s="1"/>
  <c r="J79" i="20"/>
  <c r="G59" i="20"/>
  <c r="M97" i="22" s="1"/>
  <c r="I79" i="20"/>
  <c r="AG59" i="20"/>
  <c r="J77" i="20"/>
  <c r="AG57" i="20"/>
  <c r="I77" i="20"/>
  <c r="H57" i="20"/>
  <c r="R95" i="22" s="1"/>
  <c r="G57" i="20"/>
  <c r="M95" i="22" s="1"/>
  <c r="I78" i="20"/>
  <c r="G58" i="20"/>
  <c r="M96" i="22" s="1"/>
  <c r="AG58" i="20"/>
  <c r="J78" i="20"/>
  <c r="H58" i="20"/>
  <c r="R96" i="22" s="1"/>
  <c r="H51" i="20"/>
  <c r="R89" i="22" s="1"/>
  <c r="J71" i="20"/>
  <c r="G51" i="20"/>
  <c r="M89" i="22" s="1"/>
  <c r="I71" i="20"/>
  <c r="AG51" i="20"/>
  <c r="J73" i="20"/>
  <c r="AG53" i="20"/>
  <c r="I73" i="20"/>
  <c r="H53" i="20"/>
  <c r="R91" i="22" s="1"/>
  <c r="G53" i="20"/>
  <c r="M91" i="22" s="1"/>
  <c r="J69" i="20"/>
  <c r="AG49" i="20"/>
  <c r="I69" i="20"/>
  <c r="H49" i="20"/>
  <c r="R87" i="22" s="1"/>
  <c r="G49" i="20"/>
  <c r="M87" i="22" s="1"/>
  <c r="I76" i="20"/>
  <c r="AG56" i="20"/>
  <c r="H56" i="20"/>
  <c r="R94" i="22" s="1"/>
  <c r="G56" i="20"/>
  <c r="M94" i="22" s="1"/>
  <c r="J76" i="20"/>
  <c r="H47" i="20"/>
  <c r="R85" i="22" s="1"/>
  <c r="J67" i="20"/>
  <c r="G47" i="20"/>
  <c r="M85" i="22" s="1"/>
  <c r="I67" i="20"/>
  <c r="AG47" i="20"/>
  <c r="I68" i="20"/>
  <c r="AG48" i="20"/>
  <c r="H48" i="20"/>
  <c r="R86" i="22" s="1"/>
  <c r="G48" i="20"/>
  <c r="M86" i="22" s="1"/>
  <c r="J68" i="20"/>
  <c r="I66" i="20"/>
  <c r="G46" i="20"/>
  <c r="M84" i="22" s="1"/>
  <c r="AG46" i="20"/>
  <c r="J66" i="20"/>
  <c r="H46" i="20"/>
  <c r="R84" i="22" s="1"/>
  <c r="N91" i="20"/>
  <c r="R91" i="20" s="1"/>
  <c r="S91" i="20" s="1"/>
  <c r="O91" i="20"/>
  <c r="Q91" i="20" s="1"/>
  <c r="W47" i="20"/>
  <c r="W106" i="22" s="1"/>
  <c r="C47" i="20"/>
  <c r="J47" i="20"/>
  <c r="I47" i="20"/>
  <c r="V85" i="22" s="1"/>
  <c r="Z11" i="20"/>
  <c r="X11" i="20"/>
  <c r="Y11" i="20"/>
  <c r="O71" i="20"/>
  <c r="E71" i="20"/>
  <c r="N71" i="20"/>
  <c r="D71" i="20"/>
  <c r="F21" i="29" s="1"/>
  <c r="P71" i="20"/>
  <c r="F71" i="20"/>
  <c r="AJ51" i="20"/>
  <c r="AA51" i="20"/>
  <c r="W51" i="20"/>
  <c r="W110" i="22" s="1"/>
  <c r="L71" i="20"/>
  <c r="C71" i="20"/>
  <c r="AI51" i="20"/>
  <c r="Z51" i="20"/>
  <c r="AO110" i="22" s="1"/>
  <c r="AH51" i="20"/>
  <c r="L51" i="20"/>
  <c r="AF89" i="22" s="1"/>
  <c r="D51" i="20"/>
  <c r="Q71" i="20"/>
  <c r="X51" i="20"/>
  <c r="AC110" i="22" s="1"/>
  <c r="K51" i="20"/>
  <c r="AA89" i="22" s="1"/>
  <c r="C51" i="20"/>
  <c r="J51" i="20"/>
  <c r="AK51" i="20"/>
  <c r="I51" i="20"/>
  <c r="V89" i="22" s="1"/>
  <c r="AC51" i="20"/>
  <c r="F51" i="20"/>
  <c r="I89" i="22" s="1"/>
  <c r="Z15" i="20"/>
  <c r="M51" i="20"/>
  <c r="AA15" i="20"/>
  <c r="AB51" i="20"/>
  <c r="X15" i="20"/>
  <c r="N51" i="20"/>
  <c r="AK89" i="22" s="1"/>
  <c r="W15" i="20"/>
  <c r="E51" i="20"/>
  <c r="E89" i="22" s="1"/>
  <c r="G71" i="20"/>
  <c r="Y15" i="20"/>
  <c r="W50" i="20"/>
  <c r="W109" i="22" s="1"/>
  <c r="C50" i="20"/>
  <c r="J50" i="20"/>
  <c r="I50" i="20"/>
  <c r="V88" i="22" s="1"/>
  <c r="W14" i="20"/>
  <c r="Y14" i="20"/>
  <c r="X14" i="20"/>
  <c r="Z14" i="20"/>
  <c r="W37" i="20"/>
  <c r="AA37" i="20"/>
  <c r="O73" i="20"/>
  <c r="E73" i="20"/>
  <c r="N73" i="20"/>
  <c r="D73" i="20"/>
  <c r="F23" i="29" s="1"/>
  <c r="AJ53" i="20"/>
  <c r="AA53" i="20"/>
  <c r="W53" i="20"/>
  <c r="W112" i="22" s="1"/>
  <c r="L53" i="20"/>
  <c r="AF91" i="22" s="1"/>
  <c r="D53" i="20"/>
  <c r="Q73" i="20"/>
  <c r="G73" i="20"/>
  <c r="AI53" i="20"/>
  <c r="Z53" i="20"/>
  <c r="AO112" i="22" s="1"/>
  <c r="K53" i="20"/>
  <c r="AA91" i="22" s="1"/>
  <c r="C53" i="20"/>
  <c r="F73" i="20"/>
  <c r="AH53" i="20"/>
  <c r="N53" i="20"/>
  <c r="AK91" i="22" s="1"/>
  <c r="F53" i="20"/>
  <c r="I91" i="22" s="1"/>
  <c r="C73" i="20"/>
  <c r="X53" i="20"/>
  <c r="AC112" i="22" s="1"/>
  <c r="M53" i="20"/>
  <c r="E53" i="20"/>
  <c r="E91" i="22" s="1"/>
  <c r="P73" i="20"/>
  <c r="AK53" i="20"/>
  <c r="AA17" i="20"/>
  <c r="W17" i="20"/>
  <c r="J53" i="20"/>
  <c r="I53" i="20"/>
  <c r="V91" i="22" s="1"/>
  <c r="AC53" i="20"/>
  <c r="Y17" i="20"/>
  <c r="L73" i="20"/>
  <c r="AB53" i="20"/>
  <c r="X17" i="20"/>
  <c r="Z17" i="20"/>
  <c r="AA35" i="20"/>
  <c r="W35" i="20"/>
  <c r="AA34" i="20"/>
  <c r="W34" i="20"/>
  <c r="J45" i="20"/>
  <c r="F45" i="20"/>
  <c r="I83" i="22" s="1"/>
  <c r="I45" i="20"/>
  <c r="V83" i="22" s="1"/>
  <c r="E45" i="20"/>
  <c r="E83" i="22" s="1"/>
  <c r="C45" i="20"/>
  <c r="X13" i="20"/>
  <c r="Z9" i="20"/>
  <c r="D45" i="20"/>
  <c r="Y9" i="20"/>
  <c r="W45" i="20"/>
  <c r="W104" i="22" s="1"/>
  <c r="Q72" i="20"/>
  <c r="L72" i="20"/>
  <c r="G72" i="20"/>
  <c r="C72" i="20"/>
  <c r="P72" i="20"/>
  <c r="F72" i="20"/>
  <c r="AJ52" i="20"/>
  <c r="AA52" i="20"/>
  <c r="W52" i="20"/>
  <c r="W111" i="22" s="1"/>
  <c r="L52" i="20"/>
  <c r="AF90" i="22" s="1"/>
  <c r="D52" i="20"/>
  <c r="O72" i="20"/>
  <c r="E72" i="20"/>
  <c r="AI52" i="20"/>
  <c r="Z52" i="20"/>
  <c r="AO111" i="22" s="1"/>
  <c r="K52" i="20"/>
  <c r="AA90" i="22" s="1"/>
  <c r="C52" i="20"/>
  <c r="D72" i="20"/>
  <c r="F22" i="29" s="1"/>
  <c r="AH52" i="20"/>
  <c r="N52" i="20"/>
  <c r="AK90" i="22" s="1"/>
  <c r="F52" i="20"/>
  <c r="I90" i="22" s="1"/>
  <c r="X52" i="20"/>
  <c r="AC111" i="22" s="1"/>
  <c r="M52" i="20"/>
  <c r="E52" i="20"/>
  <c r="E90" i="22" s="1"/>
  <c r="AK52" i="20"/>
  <c r="X16" i="20"/>
  <c r="AB52" i="20"/>
  <c r="Z16" i="20"/>
  <c r="N72" i="20"/>
  <c r="I52" i="20"/>
  <c r="V90" i="22" s="1"/>
  <c r="Y16" i="20"/>
  <c r="AC52" i="20"/>
  <c r="J52" i="20"/>
  <c r="AA16" i="20"/>
  <c r="W16" i="20"/>
  <c r="Q74" i="20"/>
  <c r="L74" i="20"/>
  <c r="G74" i="20"/>
  <c r="C74" i="20"/>
  <c r="P74" i="20"/>
  <c r="F74" i="20"/>
  <c r="N74" i="20"/>
  <c r="D74" i="20"/>
  <c r="F24" i="29" s="1"/>
  <c r="AJ54" i="20"/>
  <c r="AA54" i="20"/>
  <c r="W54" i="20"/>
  <c r="W113" i="22" s="1"/>
  <c r="L54" i="20"/>
  <c r="AF92" i="22" s="1"/>
  <c r="D54" i="20"/>
  <c r="AI54" i="20"/>
  <c r="Z54" i="20"/>
  <c r="AO113" i="22" s="1"/>
  <c r="K54" i="20"/>
  <c r="AA92" i="22" s="1"/>
  <c r="C54" i="20"/>
  <c r="AH54" i="20"/>
  <c r="N54" i="20"/>
  <c r="AK92" i="22" s="1"/>
  <c r="F54" i="20"/>
  <c r="I92" i="22" s="1"/>
  <c r="E74" i="20"/>
  <c r="X54" i="20"/>
  <c r="AC113" i="22" s="1"/>
  <c r="M54" i="20"/>
  <c r="E54" i="20"/>
  <c r="E92" i="22" s="1"/>
  <c r="O74" i="20"/>
  <c r="AK54" i="20"/>
  <c r="Z18" i="20"/>
  <c r="I54" i="20"/>
  <c r="V92" i="22" s="1"/>
  <c r="W18" i="20"/>
  <c r="J54" i="20"/>
  <c r="AC54" i="20"/>
  <c r="Y18" i="20"/>
  <c r="AB54" i="20"/>
  <c r="X18" i="20"/>
  <c r="AA18" i="20"/>
  <c r="O75" i="20"/>
  <c r="E75" i="20"/>
  <c r="N75" i="20"/>
  <c r="D75" i="20"/>
  <c r="F25" i="29" s="1"/>
  <c r="P75" i="20"/>
  <c r="F75" i="20"/>
  <c r="AJ55" i="20"/>
  <c r="AA55" i="20"/>
  <c r="W55" i="20"/>
  <c r="W114" i="22" s="1"/>
  <c r="L55" i="20"/>
  <c r="AF93" i="22" s="1"/>
  <c r="D55" i="20"/>
  <c r="L75" i="20"/>
  <c r="C75" i="20"/>
  <c r="AI55" i="20"/>
  <c r="Z55" i="20"/>
  <c r="AO114" i="22" s="1"/>
  <c r="K55" i="20"/>
  <c r="AA93" i="22" s="1"/>
  <c r="C55" i="20"/>
  <c r="AH55" i="20"/>
  <c r="N55" i="20"/>
  <c r="AK93" i="22" s="1"/>
  <c r="F55" i="20"/>
  <c r="I93" i="22" s="1"/>
  <c r="G75" i="20"/>
  <c r="X55" i="20"/>
  <c r="AC114" i="22" s="1"/>
  <c r="M55" i="20"/>
  <c r="E55" i="20"/>
  <c r="E93" i="22" s="1"/>
  <c r="AK55" i="20"/>
  <c r="Y19" i="20"/>
  <c r="AC55" i="20"/>
  <c r="AA19" i="20"/>
  <c r="I55" i="20"/>
  <c r="V93" i="22" s="1"/>
  <c r="Z19" i="20"/>
  <c r="AB55" i="20"/>
  <c r="W19" i="20"/>
  <c r="J55" i="20"/>
  <c r="Q75" i="20"/>
  <c r="X19" i="20"/>
  <c r="Q79" i="20"/>
  <c r="L79" i="20"/>
  <c r="G79" i="20"/>
  <c r="C79" i="20"/>
  <c r="AH59" i="20"/>
  <c r="AC59" i="20"/>
  <c r="N59" i="20"/>
  <c r="AK97" i="22" s="1"/>
  <c r="J59" i="20"/>
  <c r="F59" i="20"/>
  <c r="I97" i="22" s="1"/>
  <c r="P79" i="20"/>
  <c r="F79" i="20"/>
  <c r="AK59" i="20"/>
  <c r="AB59" i="20"/>
  <c r="X59" i="20"/>
  <c r="AC118" i="22" s="1"/>
  <c r="M59" i="20"/>
  <c r="I59" i="20"/>
  <c r="V97" i="22" s="1"/>
  <c r="E59" i="20"/>
  <c r="E97" i="22" s="1"/>
  <c r="N79" i="20"/>
  <c r="D79" i="20"/>
  <c r="F29" i="29" s="1"/>
  <c r="AI59" i="20"/>
  <c r="Z59" i="20"/>
  <c r="AO118" i="22" s="1"/>
  <c r="W59" i="20"/>
  <c r="W118" i="22" s="1"/>
  <c r="L59" i="20"/>
  <c r="AF97" i="22" s="1"/>
  <c r="D59" i="20"/>
  <c r="O79" i="20"/>
  <c r="C59" i="20"/>
  <c r="AJ59" i="20"/>
  <c r="AA59" i="20"/>
  <c r="Z23" i="20"/>
  <c r="K59" i="20"/>
  <c r="AA97" i="22" s="1"/>
  <c r="Y23" i="20"/>
  <c r="AA23" i="20"/>
  <c r="E79" i="20"/>
  <c r="X23" i="20"/>
  <c r="W23" i="20"/>
  <c r="O77" i="20"/>
  <c r="E77" i="20"/>
  <c r="AH57" i="20"/>
  <c r="AC57" i="20"/>
  <c r="N57" i="20"/>
  <c r="AK95" i="22" s="1"/>
  <c r="J57" i="20"/>
  <c r="F57" i="20"/>
  <c r="I95" i="22" s="1"/>
  <c r="N77" i="20"/>
  <c r="D77" i="20"/>
  <c r="F27" i="29" s="1"/>
  <c r="AK57" i="20"/>
  <c r="AB57" i="20"/>
  <c r="X57" i="20"/>
  <c r="AC116" i="22" s="1"/>
  <c r="M57" i="20"/>
  <c r="I57" i="20"/>
  <c r="V95" i="22" s="1"/>
  <c r="E57" i="20"/>
  <c r="E95" i="22" s="1"/>
  <c r="K57" i="20"/>
  <c r="AA95" i="22" s="1"/>
  <c r="C57" i="20"/>
  <c r="Q77" i="20"/>
  <c r="G77" i="20"/>
  <c r="AJ57" i="20"/>
  <c r="AA57" i="20"/>
  <c r="L77" i="20"/>
  <c r="L57" i="20"/>
  <c r="AF95" i="22" s="1"/>
  <c r="F77" i="20"/>
  <c r="Z57" i="20"/>
  <c r="AO116" i="22" s="1"/>
  <c r="D57" i="20"/>
  <c r="X21" i="20"/>
  <c r="AI57" i="20"/>
  <c r="AA21" i="20"/>
  <c r="W21" i="20"/>
  <c r="P77" i="20"/>
  <c r="W57" i="20"/>
  <c r="W116" i="22" s="1"/>
  <c r="Z21" i="20"/>
  <c r="C77" i="20"/>
  <c r="Y21" i="20"/>
  <c r="P78" i="20"/>
  <c r="F78" i="20"/>
  <c r="AH58" i="20"/>
  <c r="AC58" i="20"/>
  <c r="N58" i="20"/>
  <c r="AK96" i="22" s="1"/>
  <c r="J58" i="20"/>
  <c r="F58" i="20"/>
  <c r="I96" i="22" s="1"/>
  <c r="O78" i="20"/>
  <c r="E78" i="20"/>
  <c r="AK58" i="20"/>
  <c r="AB58" i="20"/>
  <c r="X58" i="20"/>
  <c r="AC117" i="22" s="1"/>
  <c r="M58" i="20"/>
  <c r="I58" i="20"/>
  <c r="V96" i="22" s="1"/>
  <c r="E58" i="20"/>
  <c r="E96" i="22" s="1"/>
  <c r="L78" i="20"/>
  <c r="C78" i="20"/>
  <c r="AJ58" i="20"/>
  <c r="AA58" i="20"/>
  <c r="AI58" i="20"/>
  <c r="Z58" i="20"/>
  <c r="AO117" i="22" s="1"/>
  <c r="N78" i="20"/>
  <c r="W58" i="20"/>
  <c r="W117" i="22" s="1"/>
  <c r="D58" i="20"/>
  <c r="G78" i="20"/>
  <c r="C58" i="20"/>
  <c r="Q78" i="20"/>
  <c r="AA22" i="20"/>
  <c r="W22" i="20"/>
  <c r="D78" i="20"/>
  <c r="F28" i="29" s="1"/>
  <c r="Z22" i="20"/>
  <c r="K58" i="20"/>
  <c r="AA96" i="22" s="1"/>
  <c r="X22" i="20"/>
  <c r="L58" i="20"/>
  <c r="AF96" i="22" s="1"/>
  <c r="Y22" i="20"/>
  <c r="AA38" i="20"/>
  <c r="W38" i="20"/>
  <c r="C49" i="20"/>
  <c r="J49" i="20"/>
  <c r="W49" i="20" s="1"/>
  <c r="W108" i="22" s="1"/>
  <c r="I49" i="20"/>
  <c r="V87" i="22" s="1"/>
  <c r="Z13" i="20"/>
  <c r="Y13" i="20"/>
  <c r="AA13" i="20" s="1"/>
  <c r="AA33" i="20"/>
  <c r="W33" i="20"/>
  <c r="Q76" i="20"/>
  <c r="L76" i="20"/>
  <c r="G76" i="20"/>
  <c r="C76" i="20"/>
  <c r="AH56" i="20"/>
  <c r="P76" i="20"/>
  <c r="F76" i="20"/>
  <c r="AK56" i="20"/>
  <c r="AA56" i="20"/>
  <c r="W56" i="20"/>
  <c r="W115" i="22" s="1"/>
  <c r="L56" i="20"/>
  <c r="AF94" i="22" s="1"/>
  <c r="D56" i="20"/>
  <c r="O76" i="20"/>
  <c r="E76" i="20"/>
  <c r="Z56" i="20"/>
  <c r="AO115" i="22" s="1"/>
  <c r="K56" i="20"/>
  <c r="AA94" i="22" s="1"/>
  <c r="C56" i="20"/>
  <c r="N76" i="20"/>
  <c r="AJ56" i="20"/>
  <c r="N56" i="20"/>
  <c r="AK94" i="22" s="1"/>
  <c r="F56" i="20"/>
  <c r="I94" i="22" s="1"/>
  <c r="AI56" i="20"/>
  <c r="X56" i="20"/>
  <c r="AC115" i="22" s="1"/>
  <c r="M56" i="20"/>
  <c r="E56" i="20"/>
  <c r="E94" i="22" s="1"/>
  <c r="D76" i="20"/>
  <c r="F26" i="29" s="1"/>
  <c r="X20" i="20"/>
  <c r="AB56" i="20"/>
  <c r="AA20" i="20"/>
  <c r="I56" i="20"/>
  <c r="V94" i="22" s="1"/>
  <c r="Z20" i="20"/>
  <c r="AC56" i="20"/>
  <c r="W20" i="20"/>
  <c r="J56" i="20"/>
  <c r="Y20" i="20"/>
  <c r="W32" i="20"/>
  <c r="AA32" i="20"/>
  <c r="C48" i="20"/>
  <c r="J48" i="20"/>
  <c r="W48" i="20" s="1"/>
  <c r="W107" i="22" s="1"/>
  <c r="I48" i="20"/>
  <c r="V86" i="22" s="1"/>
  <c r="Y12" i="20"/>
  <c r="Z12" i="20"/>
  <c r="W46" i="20"/>
  <c r="W105" i="22" s="1"/>
  <c r="J46" i="20"/>
  <c r="I46" i="20"/>
  <c r="V84" i="22" s="1"/>
  <c r="C46" i="20"/>
  <c r="Y10" i="20"/>
  <c r="X10" i="20"/>
  <c r="W10" i="20"/>
  <c r="W31" i="20"/>
  <c r="AA31" i="20"/>
  <c r="AA36" i="20"/>
  <c r="W36" i="20"/>
  <c r="AA30" i="20"/>
  <c r="W30" i="20"/>
  <c r="AF18" i="21"/>
  <c r="D34" i="26" l="1"/>
  <c r="D34" i="11"/>
  <c r="Z49" i="33"/>
  <c r="AO422" i="22" s="1"/>
  <c r="AK401" i="22"/>
  <c r="Z47" i="33"/>
  <c r="AO420" i="22" s="1"/>
  <c r="AK399" i="22"/>
  <c r="Z48" i="33"/>
  <c r="AO421" i="22" s="1"/>
  <c r="AK400" i="22"/>
  <c r="Z46" i="33"/>
  <c r="AO419" i="22" s="1"/>
  <c r="AK398" i="22"/>
  <c r="Z45" i="33"/>
  <c r="AO418" i="22" s="1"/>
  <c r="AK397" i="22"/>
  <c r="Z50" i="33"/>
  <c r="AO423" i="22" s="1"/>
  <c r="AK402" i="22"/>
  <c r="H310" i="22"/>
  <c r="X8" i="33"/>
  <c r="Y8" i="33" s="1"/>
  <c r="Z8" i="33" s="1"/>
  <c r="AA8" i="33" s="1"/>
  <c r="K44" i="33"/>
  <c r="N8" i="20"/>
  <c r="O8" i="20" s="1"/>
  <c r="T8" i="20" s="1"/>
  <c r="U8" i="20" s="1"/>
  <c r="V8" i="20" s="1"/>
  <c r="W8" i="20" s="1"/>
  <c r="I64" i="20"/>
  <c r="J64" i="20" s="1"/>
  <c r="K64" i="20" s="1"/>
  <c r="J44" i="20"/>
  <c r="H29" i="11"/>
  <c r="K28" i="29"/>
  <c r="H29" i="26"/>
  <c r="G28" i="11"/>
  <c r="J27" i="29"/>
  <c r="F28" i="27"/>
  <c r="G28" i="26"/>
  <c r="G26" i="11"/>
  <c r="F26" i="27"/>
  <c r="J25" i="29"/>
  <c r="G26" i="26"/>
  <c r="H25" i="11"/>
  <c r="K24" i="29"/>
  <c r="H25" i="26"/>
  <c r="I24" i="11"/>
  <c r="I24" i="26"/>
  <c r="Q23" i="29"/>
  <c r="G18" i="27"/>
  <c r="H17" i="29"/>
  <c r="I26" i="11"/>
  <c r="I26" i="26"/>
  <c r="Q25" i="29"/>
  <c r="H26" i="27"/>
  <c r="L25" i="29"/>
  <c r="G28" i="27"/>
  <c r="H27" i="29"/>
  <c r="G23" i="27"/>
  <c r="H22" i="29"/>
  <c r="G16" i="27"/>
  <c r="H15" i="29"/>
  <c r="I29" i="11"/>
  <c r="I29" i="26"/>
  <c r="Q28" i="29"/>
  <c r="H26" i="11"/>
  <c r="K25" i="29"/>
  <c r="H26" i="26"/>
  <c r="H23" i="11"/>
  <c r="K22" i="29"/>
  <c r="H23" i="26"/>
  <c r="L23" i="29"/>
  <c r="H24" i="27"/>
  <c r="G19" i="27"/>
  <c r="H18" i="29"/>
  <c r="G26" i="27"/>
  <c r="H25" i="29"/>
  <c r="G17" i="27"/>
  <c r="H16" i="29"/>
  <c r="H28" i="11"/>
  <c r="K27" i="29"/>
  <c r="H28" i="26"/>
  <c r="G25" i="11"/>
  <c r="F25" i="27"/>
  <c r="J24" i="29"/>
  <c r="G25" i="26"/>
  <c r="H24" i="11"/>
  <c r="K23" i="29"/>
  <c r="H24" i="26"/>
  <c r="G27" i="11"/>
  <c r="F27" i="27"/>
  <c r="J26" i="29"/>
  <c r="G27" i="26"/>
  <c r="H27" i="11"/>
  <c r="K26" i="29"/>
  <c r="H27" i="26"/>
  <c r="I27" i="11"/>
  <c r="I27" i="26"/>
  <c r="Q26" i="29"/>
  <c r="G24" i="11"/>
  <c r="F24" i="27"/>
  <c r="J23" i="29"/>
  <c r="G24" i="26"/>
  <c r="I22" i="11"/>
  <c r="I22" i="26"/>
  <c r="Q21" i="29"/>
  <c r="L21" i="29"/>
  <c r="H22" i="27"/>
  <c r="G27" i="27"/>
  <c r="H26" i="29"/>
  <c r="G22" i="27"/>
  <c r="H21" i="29"/>
  <c r="G32" i="26"/>
  <c r="F32" i="11"/>
  <c r="H31" i="29"/>
  <c r="G30" i="11"/>
  <c r="F30" i="27"/>
  <c r="J29" i="29"/>
  <c r="G30" i="26"/>
  <c r="H30" i="27"/>
  <c r="L29" i="29"/>
  <c r="L24" i="29"/>
  <c r="H25" i="27"/>
  <c r="G23" i="11"/>
  <c r="F23" i="27"/>
  <c r="J22" i="29"/>
  <c r="G23" i="26"/>
  <c r="H23" i="27"/>
  <c r="L22" i="29"/>
  <c r="G20" i="27"/>
  <c r="H19" i="29"/>
  <c r="G30" i="27"/>
  <c r="H29" i="29"/>
  <c r="H30" i="11"/>
  <c r="K29" i="29"/>
  <c r="H30" i="26"/>
  <c r="H27" i="27"/>
  <c r="L26" i="29"/>
  <c r="L28" i="29"/>
  <c r="H29" i="27"/>
  <c r="G29" i="11"/>
  <c r="F29" i="27"/>
  <c r="J28" i="29"/>
  <c r="G29" i="26"/>
  <c r="L27" i="29"/>
  <c r="H28" i="27"/>
  <c r="I28" i="11"/>
  <c r="I28" i="26"/>
  <c r="Q27" i="29"/>
  <c r="I30" i="11"/>
  <c r="I30" i="26"/>
  <c r="Q29" i="29"/>
  <c r="I25" i="11"/>
  <c r="I25" i="26"/>
  <c r="Q24" i="29"/>
  <c r="I23" i="11"/>
  <c r="I23" i="26"/>
  <c r="Q22" i="29"/>
  <c r="H22" i="11"/>
  <c r="K21" i="29"/>
  <c r="H22" i="26"/>
  <c r="G22" i="11"/>
  <c r="F22" i="27"/>
  <c r="J21" i="29"/>
  <c r="G22" i="26"/>
  <c r="G29" i="27"/>
  <c r="H28" i="29"/>
  <c r="G25" i="27"/>
  <c r="H24" i="29"/>
  <c r="G24" i="27"/>
  <c r="H23" i="29"/>
  <c r="G21" i="27"/>
  <c r="H20" i="29"/>
  <c r="K47" i="33"/>
  <c r="AA399" i="22" s="1"/>
  <c r="AA26" i="33"/>
  <c r="T583" i="22" s="1"/>
  <c r="M46" i="33"/>
  <c r="K49" i="33"/>
  <c r="AA401" i="22" s="1"/>
  <c r="L45" i="33"/>
  <c r="AF397" i="22" s="1"/>
  <c r="M48" i="33"/>
  <c r="AA11" i="33"/>
  <c r="M47" i="33" s="1"/>
  <c r="M45" i="33"/>
  <c r="K48" i="33"/>
  <c r="AA400" i="22" s="1"/>
  <c r="M49" i="33"/>
  <c r="W26" i="20"/>
  <c r="W27" i="20"/>
  <c r="X48" i="20"/>
  <c r="AC107" i="22" s="1"/>
  <c r="AA26" i="20"/>
  <c r="W25" i="20"/>
  <c r="X49" i="20"/>
  <c r="AC108" i="22" s="1"/>
  <c r="N47" i="20"/>
  <c r="N50" i="20"/>
  <c r="X47" i="20"/>
  <c r="AC106" i="22" s="1"/>
  <c r="AA14" i="20"/>
  <c r="AA11" i="20"/>
  <c r="W29" i="20"/>
  <c r="W12" i="20"/>
  <c r="N46" i="20"/>
  <c r="AA25" i="20"/>
  <c r="N49" i="20"/>
  <c r="W9" i="20"/>
  <c r="X9" i="20"/>
  <c r="AA9" i="20" s="1"/>
  <c r="AA27" i="20"/>
  <c r="Z10" i="20"/>
  <c r="AA10" i="20" s="1"/>
  <c r="X46" i="20"/>
  <c r="AC105" i="22" s="1"/>
  <c r="X12" i="20"/>
  <c r="AA12" i="20" s="1"/>
  <c r="N48" i="20"/>
  <c r="W24" i="20"/>
  <c r="W28" i="20"/>
  <c r="W13" i="20"/>
  <c r="X45" i="20"/>
  <c r="AC104" i="22" s="1"/>
  <c r="W11" i="20"/>
  <c r="AA29" i="20"/>
  <c r="AA28" i="20"/>
  <c r="M49" i="20" s="1"/>
  <c r="N45" i="20"/>
  <c r="X50" i="20"/>
  <c r="AC109" i="22" s="1"/>
  <c r="AF19" i="21"/>
  <c r="Z48" i="20" l="1"/>
  <c r="AO107" i="22" s="1"/>
  <c r="AK86" i="22"/>
  <c r="Z49" i="20"/>
  <c r="AO108" i="22" s="1"/>
  <c r="AK87" i="22"/>
  <c r="Z50" i="20"/>
  <c r="AO109" i="22" s="1"/>
  <c r="AK88" i="22"/>
  <c r="T581" i="22"/>
  <c r="Z47" i="20"/>
  <c r="AO106" i="22" s="1"/>
  <c r="AK85" i="22"/>
  <c r="T267" i="22"/>
  <c r="Z46" i="20"/>
  <c r="AO105" i="22" s="1"/>
  <c r="AK84" i="22"/>
  <c r="Z45" i="20"/>
  <c r="AO104" i="22" s="1"/>
  <c r="AK83" i="22"/>
  <c r="X8" i="20"/>
  <c r="Y8" i="20" s="1"/>
  <c r="Z8" i="20" s="1"/>
  <c r="AA8" i="20" s="1"/>
  <c r="K44" i="20"/>
  <c r="E64" i="33"/>
  <c r="L44" i="33"/>
  <c r="AA48" i="33"/>
  <c r="AB48" i="33" s="1"/>
  <c r="M48" i="20"/>
  <c r="M47" i="20"/>
  <c r="AA24" i="20"/>
  <c r="M46" i="20"/>
  <c r="AA48" i="20"/>
  <c r="AB48" i="20" s="1"/>
  <c r="M50" i="20"/>
  <c r="AF20" i="21"/>
  <c r="M45" i="20" l="1"/>
  <c r="T269" i="22"/>
  <c r="N44" i="33"/>
  <c r="M44" i="33" s="1"/>
  <c r="F64" i="33"/>
  <c r="E64" i="20"/>
  <c r="L44" i="20"/>
  <c r="AA45" i="33"/>
  <c r="AB45" i="33" s="1"/>
  <c r="AA47" i="33"/>
  <c r="AB47" i="33" s="1"/>
  <c r="AA50" i="33"/>
  <c r="AB50" i="33" s="1"/>
  <c r="AA49" i="33"/>
  <c r="AB49" i="33" s="1"/>
  <c r="AA46" i="33"/>
  <c r="AB46" i="33"/>
  <c r="AA46" i="20"/>
  <c r="AB46" i="20" s="1"/>
  <c r="AA45" i="20"/>
  <c r="AA47" i="20"/>
  <c r="AB47" i="20" s="1"/>
  <c r="AA49" i="20"/>
  <c r="AB49" i="20" s="1"/>
  <c r="AF21" i="21"/>
  <c r="X44" i="33" l="1"/>
  <c r="Y44" i="33" s="1"/>
  <c r="Z44" i="33" s="1"/>
  <c r="N44" i="20"/>
  <c r="M44" i="20" s="1"/>
  <c r="F64" i="20"/>
  <c r="AB45" i="20"/>
  <c r="AA50" i="20"/>
  <c r="AB50" i="20" s="1"/>
  <c r="AF22" i="21"/>
  <c r="AA44" i="33" l="1"/>
  <c r="AC44" i="33" s="1"/>
  <c r="AF44" i="33" s="1"/>
  <c r="AJ44" i="33" s="1"/>
  <c r="AG44" i="33" s="1"/>
  <c r="AH44" i="33" s="1"/>
  <c r="G64" i="33" s="1"/>
  <c r="H15" i="26"/>
  <c r="H15" i="11"/>
  <c r="X44" i="20"/>
  <c r="Y44" i="20" s="1"/>
  <c r="Z44" i="20" s="1"/>
  <c r="AF23" i="21"/>
  <c r="AA44" i="20" l="1"/>
  <c r="AC44" i="20" s="1"/>
  <c r="AF44" i="20" s="1"/>
  <c r="AJ44" i="20" s="1"/>
  <c r="AG44" i="20" s="1"/>
  <c r="AH44" i="20" s="1"/>
  <c r="G64" i="20" s="1"/>
  <c r="AF24" i="21"/>
  <c r="M7" i="3"/>
  <c r="I15" i="11" l="1"/>
  <c r="I15" i="26"/>
  <c r="AF25" i="21"/>
  <c r="AF26" i="21" l="1"/>
  <c r="F9" i="29"/>
  <c r="F8" i="29"/>
  <c r="F7" i="29"/>
  <c r="F6" i="29"/>
  <c r="A4" i="29"/>
  <c r="AF27" i="21" l="1"/>
  <c r="AF28" i="21" l="1"/>
  <c r="AF29" i="21" l="1"/>
  <c r="AF30" i="21" l="1"/>
  <c r="D9" i="23"/>
  <c r="D8" i="23"/>
  <c r="D7" i="23"/>
  <c r="D6" i="23"/>
  <c r="F32" i="29" l="1"/>
  <c r="D33" i="26"/>
  <c r="D33" i="11"/>
  <c r="AF31" i="21"/>
  <c r="A6" i="26"/>
  <c r="G12" i="26"/>
  <c r="F47" i="21"/>
  <c r="F46" i="21"/>
  <c r="F45" i="21"/>
  <c r="E44" i="21"/>
  <c r="F43" i="21"/>
  <c r="F42" i="21"/>
  <c r="E41" i="21"/>
  <c r="F40" i="21"/>
  <c r="F39" i="21"/>
  <c r="F38" i="21"/>
  <c r="F37" i="21"/>
  <c r="F36" i="21"/>
  <c r="F35" i="21"/>
  <c r="F34" i="21"/>
  <c r="E33" i="21"/>
  <c r="F32" i="21"/>
  <c r="F31" i="21"/>
  <c r="F30" i="21"/>
  <c r="F29" i="21"/>
  <c r="F28" i="21"/>
  <c r="B18" i="21"/>
  <c r="F41" i="21"/>
  <c r="I10" i="21"/>
  <c r="E10" i="21"/>
  <c r="I9" i="21"/>
  <c r="E9" i="21"/>
  <c r="I8" i="21"/>
  <c r="E8" i="21"/>
  <c r="D8" i="21" s="1"/>
  <c r="I7" i="21"/>
  <c r="E7" i="21"/>
  <c r="I6" i="21"/>
  <c r="E6" i="21"/>
  <c r="I5" i="21"/>
  <c r="E5" i="21"/>
  <c r="I4" i="21"/>
  <c r="E4" i="21"/>
  <c r="I3" i="21"/>
  <c r="E3" i="21"/>
  <c r="F18" i="21" l="1"/>
  <c r="D18" i="2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G41" i="21"/>
  <c r="C8" i="21"/>
  <c r="E37" i="21"/>
  <c r="G37" i="21" s="1"/>
  <c r="E45" i="21"/>
  <c r="G45" i="21" s="1"/>
  <c r="AG19" i="21"/>
  <c r="AG20" i="21" s="1"/>
  <c r="AG21" i="21" s="1"/>
  <c r="AG22" i="21" s="1"/>
  <c r="AG23" i="21" s="1"/>
  <c r="AG24" i="21" s="1"/>
  <c r="AG25" i="21" s="1"/>
  <c r="AG26" i="21" s="1"/>
  <c r="AG27" i="21" s="1"/>
  <c r="AG28" i="21" s="1"/>
  <c r="AG29" i="21" s="1"/>
  <c r="AG30" i="21" s="1"/>
  <c r="AG31" i="21" s="1"/>
  <c r="AG32" i="21" s="1"/>
  <c r="AG33" i="21" s="1"/>
  <c r="AF32" i="21"/>
  <c r="E34" i="21"/>
  <c r="G34" i="21" s="1"/>
  <c r="E38" i="21"/>
  <c r="G38" i="21" s="1"/>
  <c r="E42" i="21"/>
  <c r="G42" i="21" s="1"/>
  <c r="E46" i="21"/>
  <c r="G46" i="21" s="1"/>
  <c r="E30" i="21"/>
  <c r="G30" i="21" s="1"/>
  <c r="G4" i="21"/>
  <c r="H4" i="21"/>
  <c r="G6" i="21"/>
  <c r="H6" i="21"/>
  <c r="G9" i="21"/>
  <c r="H9" i="21"/>
  <c r="G7" i="21"/>
  <c r="H7" i="21"/>
  <c r="G3" i="21"/>
  <c r="H3" i="21"/>
  <c r="G5" i="21"/>
  <c r="H5" i="21"/>
  <c r="G8" i="21"/>
  <c r="H8" i="21"/>
  <c r="G10" i="21"/>
  <c r="H10" i="21"/>
  <c r="G19" i="29"/>
  <c r="G23" i="29"/>
  <c r="G27" i="29"/>
  <c r="G18" i="29"/>
  <c r="G26" i="29"/>
  <c r="G15" i="29"/>
  <c r="G16" i="29"/>
  <c r="G20" i="29"/>
  <c r="G24" i="29"/>
  <c r="G28" i="29"/>
  <c r="G29" i="29"/>
  <c r="G22" i="29"/>
  <c r="G17" i="29"/>
  <c r="G21" i="29"/>
  <c r="G25" i="29"/>
  <c r="F15" i="11"/>
  <c r="F15" i="26"/>
  <c r="E15" i="27"/>
  <c r="C6" i="21"/>
  <c r="D6" i="21"/>
  <c r="C5" i="21"/>
  <c r="D5" i="21"/>
  <c r="C3" i="21"/>
  <c r="D3" i="21"/>
  <c r="C10" i="21"/>
  <c r="D10" i="21"/>
  <c r="C4" i="21"/>
  <c r="D4" i="21"/>
  <c r="C7" i="21"/>
  <c r="D7" i="21"/>
  <c r="E29" i="21"/>
  <c r="G29" i="21" s="1"/>
  <c r="F33" i="21"/>
  <c r="G33" i="21" s="1"/>
  <c r="C9" i="21"/>
  <c r="D9" i="21"/>
  <c r="A7" i="26"/>
  <c r="A8" i="26" s="1"/>
  <c r="A9" i="26" s="1"/>
  <c r="A10" i="26" s="1"/>
  <c r="A11" i="26" s="1"/>
  <c r="A12" i="26" s="1"/>
  <c r="A13" i="26" s="1"/>
  <c r="A14" i="26" s="1"/>
  <c r="A15" i="26" s="1"/>
  <c r="E28" i="21"/>
  <c r="G28" i="21" s="1"/>
  <c r="E32" i="21"/>
  <c r="G32" i="21" s="1"/>
  <c r="E36" i="21"/>
  <c r="G36" i="21" s="1"/>
  <c r="E40" i="21"/>
  <c r="G40" i="21" s="1"/>
  <c r="E18" i="21"/>
  <c r="G18" i="21" s="1"/>
  <c r="E27" i="21"/>
  <c r="G27" i="21" s="1"/>
  <c r="E31" i="21"/>
  <c r="G31" i="21" s="1"/>
  <c r="E35" i="21"/>
  <c r="G35" i="21" s="1"/>
  <c r="E39" i="21"/>
  <c r="G39" i="21" s="1"/>
  <c r="E43" i="21"/>
  <c r="G43" i="21" s="1"/>
  <c r="F44" i="21"/>
  <c r="G44" i="21" s="1"/>
  <c r="E47" i="21"/>
  <c r="G47" i="21" s="1"/>
  <c r="G21" i="21"/>
  <c r="G24" i="21" l="1"/>
  <c r="AH29" i="21"/>
  <c r="AI29" i="21" s="1"/>
  <c r="AJ29" i="21" s="1"/>
  <c r="AK29" i="21" s="1"/>
  <c r="AH18" i="21"/>
  <c r="AI18" i="21" s="1"/>
  <c r="AJ18" i="21" s="1"/>
  <c r="AK18" i="21" s="1"/>
  <c r="AH31" i="21"/>
  <c r="AI31" i="21" s="1"/>
  <c r="AJ31" i="21" s="1"/>
  <c r="AK31" i="21" s="1"/>
  <c r="AH30" i="21"/>
  <c r="AI30" i="21" s="1"/>
  <c r="AJ30" i="21" s="1"/>
  <c r="AK30" i="21" s="1"/>
  <c r="F8" i="20"/>
  <c r="C44" i="20" s="1"/>
  <c r="E10" i="22"/>
  <c r="E46" i="22" s="1"/>
  <c r="J3" i="20"/>
  <c r="E44" i="20"/>
  <c r="AH27" i="21"/>
  <c r="AI27" i="21" s="1"/>
  <c r="AH28" i="21"/>
  <c r="AI28" i="21" s="1"/>
  <c r="F8" i="33"/>
  <c r="E324" i="22"/>
  <c r="E360" i="22" s="1"/>
  <c r="J3" i="33"/>
  <c r="E44" i="33"/>
  <c r="AH32" i="21"/>
  <c r="AI32" i="21" s="1"/>
  <c r="AH21" i="21"/>
  <c r="AI21" i="21" s="1"/>
  <c r="T319" i="22"/>
  <c r="T5" i="22"/>
  <c r="AH33" i="21"/>
  <c r="AG34" i="21"/>
  <c r="AF33" i="21"/>
  <c r="E22" i="26"/>
  <c r="E22" i="11"/>
  <c r="F22" i="26"/>
  <c r="F22" i="11"/>
  <c r="E22" i="27"/>
  <c r="G19" i="21"/>
  <c r="AH24" i="21"/>
  <c r="AI24" i="21" s="1"/>
  <c r="A6" i="23"/>
  <c r="G26" i="21" l="1"/>
  <c r="AH26" i="21" s="1"/>
  <c r="AI26" i="21" s="1"/>
  <c r="AJ26" i="21" s="1"/>
  <c r="AK26" i="21" s="1"/>
  <c r="AH19" i="21"/>
  <c r="AI19" i="21" s="1"/>
  <c r="AJ19" i="21" s="1"/>
  <c r="AK19" i="21" s="1"/>
  <c r="G20" i="21"/>
  <c r="AH20" i="21" s="1"/>
  <c r="AI20" i="21" s="1"/>
  <c r="AJ20" i="21" s="1"/>
  <c r="AK20" i="21" s="1"/>
  <c r="G25" i="21"/>
  <c r="AH25" i="21" s="1"/>
  <c r="AI25" i="21" s="1"/>
  <c r="AJ25" i="21" s="1"/>
  <c r="AK25" i="21" s="1"/>
  <c r="G22" i="21"/>
  <c r="AH22" i="21" s="1"/>
  <c r="AI22" i="21" s="1"/>
  <c r="AJ22" i="21" s="1"/>
  <c r="AK22" i="21" s="1"/>
  <c r="G23" i="21"/>
  <c r="AH23" i="21" s="1"/>
  <c r="AI23" i="21" s="1"/>
  <c r="AJ23" i="21" s="1"/>
  <c r="AK23" i="21" s="1"/>
  <c r="AJ32" i="21"/>
  <c r="AK32" i="21" s="1"/>
  <c r="K9" i="3"/>
  <c r="C44" i="33"/>
  <c r="E396" i="22"/>
  <c r="N463" i="22"/>
  <c r="C64" i="33"/>
  <c r="G44" i="33"/>
  <c r="AJ24" i="21"/>
  <c r="AK24" i="21" s="1"/>
  <c r="AI33" i="21"/>
  <c r="AJ27" i="21"/>
  <c r="AK27" i="21" s="1"/>
  <c r="AJ28" i="21"/>
  <c r="AK28" i="21" s="1"/>
  <c r="AJ21" i="21"/>
  <c r="AK21" i="21" s="1"/>
  <c r="E82" i="22"/>
  <c r="N149" i="22"/>
  <c r="G44" i="20"/>
  <c r="C64" i="20"/>
  <c r="AF34" i="21"/>
  <c r="AG35" i="21"/>
  <c r="AH34" i="21"/>
  <c r="F25" i="26"/>
  <c r="E25" i="27"/>
  <c r="F25" i="11"/>
  <c r="E28" i="27"/>
  <c r="F28" i="11"/>
  <c r="F28" i="26"/>
  <c r="E23" i="11"/>
  <c r="E23" i="26"/>
  <c r="E27" i="11"/>
  <c r="E27" i="26"/>
  <c r="E24" i="11"/>
  <c r="E24" i="26"/>
  <c r="F30" i="26"/>
  <c r="F30" i="11"/>
  <c r="E30" i="27"/>
  <c r="E29" i="26"/>
  <c r="E29" i="11"/>
  <c r="E26" i="26"/>
  <c r="E26" i="11"/>
  <c r="F24" i="11"/>
  <c r="E24" i="27"/>
  <c r="F24" i="26"/>
  <c r="E29" i="27"/>
  <c r="F29" i="26"/>
  <c r="F29" i="11"/>
  <c r="F26" i="11"/>
  <c r="E26" i="27"/>
  <c r="F26" i="26"/>
  <c r="F23" i="26"/>
  <c r="F23" i="11"/>
  <c r="E23" i="27"/>
  <c r="E27" i="27"/>
  <c r="F27" i="26"/>
  <c r="F27" i="11"/>
  <c r="E25" i="11"/>
  <c r="E25" i="26"/>
  <c r="E28" i="26"/>
  <c r="E28" i="11"/>
  <c r="E30" i="11"/>
  <c r="E30" i="26"/>
  <c r="A8" i="23"/>
  <c r="A9" i="23"/>
  <c r="A7" i="23"/>
  <c r="B14" i="21"/>
  <c r="M14" i="21" l="1"/>
  <c r="U18" i="21" s="1"/>
  <c r="K14" i="21"/>
  <c r="P18" i="21" s="1"/>
  <c r="M82" i="22"/>
  <c r="R182" i="22"/>
  <c r="W182" i="22" s="1"/>
  <c r="S164" i="22"/>
  <c r="Y165" i="22" s="1"/>
  <c r="Y199" i="22"/>
  <c r="L180" i="22"/>
  <c r="Y215" i="22"/>
  <c r="AI34" i="21"/>
  <c r="R496" i="22"/>
  <c r="W496" i="22" s="1"/>
  <c r="M396" i="22"/>
  <c r="Y529" i="22"/>
  <c r="Y513" i="22"/>
  <c r="S478" i="22"/>
  <c r="Y479" i="22" s="1"/>
  <c r="L494" i="22"/>
  <c r="AJ33" i="21"/>
  <c r="AK33" i="21" s="1"/>
  <c r="AH35" i="21"/>
  <c r="AG36" i="21"/>
  <c r="AF35" i="21"/>
  <c r="E15" i="11"/>
  <c r="E15" i="26"/>
  <c r="D14" i="21"/>
  <c r="L14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I14" i="21"/>
  <c r="J18" i="21" s="1"/>
  <c r="L18" i="21" s="1"/>
  <c r="F14" i="21"/>
  <c r="E14" i="21"/>
  <c r="G14" i="21"/>
  <c r="V18" i="21" l="1"/>
  <c r="W18" i="21"/>
  <c r="X18" i="21" s="1"/>
  <c r="U19" i="21"/>
  <c r="Q18" i="21"/>
  <c r="R18" i="21"/>
  <c r="S18" i="21" s="1"/>
  <c r="J19" i="21"/>
  <c r="L19" i="21" s="1"/>
  <c r="AJ34" i="21"/>
  <c r="AK34" i="21" s="1"/>
  <c r="AI35" i="21"/>
  <c r="P19" i="21"/>
  <c r="J14" i="21"/>
  <c r="O18" i="21" s="1"/>
  <c r="H14" i="2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AF36" i="21"/>
  <c r="AG37" i="21"/>
  <c r="AH36" i="21"/>
  <c r="K18" i="2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G15" i="27"/>
  <c r="G12" i="11"/>
  <c r="E7" i="3"/>
  <c r="F12" i="27"/>
  <c r="W19" i="21" l="1"/>
  <c r="X19" i="21" s="1"/>
  <c r="V19" i="21"/>
  <c r="U20" i="21"/>
  <c r="Q19" i="21"/>
  <c r="R19" i="21"/>
  <c r="S19" i="21" s="1"/>
  <c r="J20" i="21"/>
  <c r="L20" i="21" s="1"/>
  <c r="AJ35" i="21"/>
  <c r="AK35" i="21" s="1"/>
  <c r="AI36" i="21"/>
  <c r="P20" i="21"/>
  <c r="O19" i="21"/>
  <c r="Y18" i="21"/>
  <c r="N5" i="22"/>
  <c r="N319" i="22"/>
  <c r="AH37" i="21"/>
  <c r="AG38" i="21"/>
  <c r="AF37" i="21"/>
  <c r="W20" i="21" l="1"/>
  <c r="X20" i="21" s="1"/>
  <c r="V20" i="21"/>
  <c r="U21" i="21"/>
  <c r="Q20" i="21"/>
  <c r="R20" i="21"/>
  <c r="S20" i="21" s="1"/>
  <c r="J21" i="21"/>
  <c r="L21" i="21" s="1"/>
  <c r="AI37" i="21"/>
  <c r="AJ37" i="21" s="1"/>
  <c r="AK37" i="21" s="1"/>
  <c r="P21" i="21"/>
  <c r="AJ36" i="21"/>
  <c r="AK36" i="21" s="1"/>
  <c r="O20" i="21"/>
  <c r="Y19" i="21"/>
  <c r="G15" i="26"/>
  <c r="G15" i="11"/>
  <c r="AF38" i="21"/>
  <c r="AG39" i="21"/>
  <c r="AH38" i="21"/>
  <c r="W21" i="21" l="1"/>
  <c r="X21" i="21" s="1"/>
  <c r="V21" i="21"/>
  <c r="U22" i="21"/>
  <c r="Q21" i="21"/>
  <c r="R21" i="21"/>
  <c r="S21" i="21" s="1"/>
  <c r="J22" i="21"/>
  <c r="L22" i="21" s="1"/>
  <c r="AI38" i="21"/>
  <c r="AJ38" i="21" s="1"/>
  <c r="AK38" i="21" s="1"/>
  <c r="P22" i="21"/>
  <c r="O21" i="21"/>
  <c r="Y20" i="21"/>
  <c r="AH39" i="21"/>
  <c r="AG40" i="21"/>
  <c r="AF39" i="21"/>
  <c r="V22" i="21" l="1"/>
  <c r="W22" i="21"/>
  <c r="X22" i="21" s="1"/>
  <c r="U23" i="21"/>
  <c r="Q22" i="21"/>
  <c r="R22" i="21"/>
  <c r="S22" i="21" s="1"/>
  <c r="J23" i="21"/>
  <c r="L23" i="21" s="1"/>
  <c r="P23" i="21"/>
  <c r="AI39" i="21"/>
  <c r="O22" i="21"/>
  <c r="Y21" i="21"/>
  <c r="AF40" i="21"/>
  <c r="AG41" i="21"/>
  <c r="AH40" i="21"/>
  <c r="F15" i="27"/>
  <c r="W23" i="21" l="1"/>
  <c r="X23" i="21" s="1"/>
  <c r="V23" i="21"/>
  <c r="U24" i="21"/>
  <c r="Q23" i="21"/>
  <c r="R23" i="21"/>
  <c r="S23" i="21" s="1"/>
  <c r="J24" i="21"/>
  <c r="L24" i="21" s="1"/>
  <c r="AJ39" i="21"/>
  <c r="AK39" i="21" s="1"/>
  <c r="AI40" i="21"/>
  <c r="P24" i="21"/>
  <c r="O23" i="21"/>
  <c r="Y22" i="21"/>
  <c r="AH41" i="21"/>
  <c r="AG42" i="21"/>
  <c r="AF41" i="21"/>
  <c r="A48" i="13"/>
  <c r="W24" i="21" l="1"/>
  <c r="X24" i="21" s="1"/>
  <c r="V24" i="21"/>
  <c r="U25" i="21"/>
  <c r="Q24" i="21"/>
  <c r="R24" i="21"/>
  <c r="S24" i="21" s="1"/>
  <c r="J25" i="21"/>
  <c r="L25" i="21" s="1"/>
  <c r="AJ40" i="21"/>
  <c r="AK40" i="21" s="1"/>
  <c r="AI41" i="21"/>
  <c r="P25" i="21"/>
  <c r="O24" i="21"/>
  <c r="Y23" i="21"/>
  <c r="AF42" i="21"/>
  <c r="AG43" i="21"/>
  <c r="AH42" i="21"/>
  <c r="C39" i="3"/>
  <c r="C38" i="3"/>
  <c r="C37" i="3"/>
  <c r="C36" i="3"/>
  <c r="C35" i="3"/>
  <c r="C32" i="3"/>
  <c r="C31" i="3"/>
  <c r="C9" i="3"/>
  <c r="H4" i="3"/>
  <c r="E4" i="3"/>
  <c r="C4" i="3"/>
  <c r="H3" i="3"/>
  <c r="E3" i="3"/>
  <c r="C3" i="3"/>
  <c r="W25" i="21" l="1"/>
  <c r="X25" i="21" s="1"/>
  <c r="V25" i="21"/>
  <c r="U26" i="21"/>
  <c r="Q25" i="21"/>
  <c r="R25" i="21"/>
  <c r="S25" i="21" s="1"/>
  <c r="J26" i="21"/>
  <c r="L26" i="21" s="1"/>
  <c r="AI42" i="21"/>
  <c r="AJ42" i="21" s="1"/>
  <c r="AK42" i="21" s="1"/>
  <c r="AJ41" i="21"/>
  <c r="AK41" i="21" s="1"/>
  <c r="P26" i="21"/>
  <c r="O25" i="21"/>
  <c r="Y24" i="21"/>
  <c r="AH43" i="21"/>
  <c r="AG44" i="21"/>
  <c r="AF43" i="21"/>
  <c r="C10" i="3"/>
  <c r="C33" i="3"/>
  <c r="C34" i="3"/>
  <c r="W26" i="21" l="1"/>
  <c r="X26" i="21" s="1"/>
  <c r="V26" i="21"/>
  <c r="U27" i="21"/>
  <c r="Q26" i="21"/>
  <c r="R26" i="21"/>
  <c r="S26" i="21" s="1"/>
  <c r="J27" i="21"/>
  <c r="L27" i="21" s="1"/>
  <c r="AI43" i="21"/>
  <c r="P27" i="21"/>
  <c r="O26" i="21"/>
  <c r="Y25" i="21"/>
  <c r="AF44" i="21"/>
  <c r="AG45" i="21"/>
  <c r="AH44" i="21"/>
  <c r="A6" i="27"/>
  <c r="W27" i="21" l="1"/>
  <c r="X27" i="21" s="1"/>
  <c r="V27" i="21"/>
  <c r="U28" i="21"/>
  <c r="Q27" i="21"/>
  <c r="R27" i="21"/>
  <c r="S27" i="21" s="1"/>
  <c r="J28" i="21"/>
  <c r="L28" i="21" s="1"/>
  <c r="P28" i="21"/>
  <c r="AI44" i="21"/>
  <c r="AJ43" i="21"/>
  <c r="AK43" i="21" s="1"/>
  <c r="O27" i="21"/>
  <c r="Y26" i="21"/>
  <c r="AH45" i="21"/>
  <c r="AG46" i="21"/>
  <c r="AF45" i="21"/>
  <c r="A7" i="27"/>
  <c r="A8" i="27" s="1"/>
  <c r="A9" i="27" s="1"/>
  <c r="A10" i="27" s="1"/>
  <c r="A11" i="27" s="1"/>
  <c r="A12" i="27" s="1"/>
  <c r="A13" i="27" s="1"/>
  <c r="A14" i="27" s="1"/>
  <c r="A15" i="27" s="1"/>
  <c r="V28" i="21" l="1"/>
  <c r="W28" i="21"/>
  <c r="X28" i="21" s="1"/>
  <c r="U29" i="21"/>
  <c r="Q28" i="21"/>
  <c r="R28" i="21"/>
  <c r="S28" i="21" s="1"/>
  <c r="J29" i="21"/>
  <c r="L29" i="21" s="1"/>
  <c r="AJ44" i="21"/>
  <c r="AK44" i="21" s="1"/>
  <c r="P29" i="21"/>
  <c r="AI45" i="21"/>
  <c r="O28" i="21"/>
  <c r="Y27" i="21"/>
  <c r="AG47" i="21"/>
  <c r="AH47" i="21" s="1"/>
  <c r="AH46" i="21"/>
  <c r="AF46" i="2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W29" i="21" l="1"/>
  <c r="X29" i="21" s="1"/>
  <c r="V29" i="21"/>
  <c r="U30" i="21"/>
  <c r="Q29" i="21"/>
  <c r="R29" i="21"/>
  <c r="S29" i="21" s="1"/>
  <c r="J30" i="21"/>
  <c r="L30" i="21" s="1"/>
  <c r="P30" i="21"/>
  <c r="AI46" i="21"/>
  <c r="AJ45" i="21"/>
  <c r="AK45" i="21" s="1"/>
  <c r="O29" i="21"/>
  <c r="Y28" i="21"/>
  <c r="AF47" i="21"/>
  <c r="AI47" i="21" s="1"/>
  <c r="W30" i="21" l="1"/>
  <c r="X30" i="21" s="1"/>
  <c r="V30" i="21"/>
  <c r="U31" i="21"/>
  <c r="Q30" i="21"/>
  <c r="R30" i="21"/>
  <c r="S30" i="21" s="1"/>
  <c r="J31" i="21"/>
  <c r="L31" i="21" s="1"/>
  <c r="AJ47" i="21"/>
  <c r="AK47" i="21" s="1"/>
  <c r="AJ46" i="21"/>
  <c r="AK46" i="21" s="1"/>
  <c r="P31" i="21"/>
  <c r="O30" i="21"/>
  <c r="Y29" i="21"/>
  <c r="A4" i="26"/>
  <c r="W31" i="21" l="1"/>
  <c r="X31" i="21" s="1"/>
  <c r="V31" i="21"/>
  <c r="U32" i="21"/>
  <c r="Q31" i="21"/>
  <c r="R31" i="21"/>
  <c r="S31" i="21" s="1"/>
  <c r="J32" i="21"/>
  <c r="L32" i="21" s="1"/>
  <c r="P32" i="21"/>
  <c r="O31" i="21"/>
  <c r="Y30" i="21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9" i="11"/>
  <c r="D8" i="11"/>
  <c r="D7" i="11"/>
  <c r="D6" i="11"/>
  <c r="V32" i="21" l="1"/>
  <c r="W32" i="21"/>
  <c r="X32" i="21" s="1"/>
  <c r="U33" i="21"/>
  <c r="Q32" i="21"/>
  <c r="R32" i="21"/>
  <c r="S32" i="21" s="1"/>
  <c r="J33" i="21"/>
  <c r="L33" i="21" s="1"/>
  <c r="P33" i="21"/>
  <c r="O32" i="21"/>
  <c r="Y31" i="21"/>
  <c r="D9" i="27"/>
  <c r="D8" i="27"/>
  <c r="D7" i="27"/>
  <c r="D6" i="27"/>
  <c r="D9" i="26"/>
  <c r="D8" i="26"/>
  <c r="D7" i="26"/>
  <c r="D6" i="26"/>
  <c r="W33" i="21" l="1"/>
  <c r="X33" i="21" s="1"/>
  <c r="V33" i="21"/>
  <c r="U34" i="21"/>
  <c r="Q33" i="21"/>
  <c r="R33" i="21"/>
  <c r="S33" i="21" s="1"/>
  <c r="J34" i="21"/>
  <c r="L34" i="21" s="1"/>
  <c r="P34" i="21"/>
  <c r="O33" i="21"/>
  <c r="Y32" i="21"/>
  <c r="A4" i="11"/>
  <c r="W34" i="21" l="1"/>
  <c r="X34" i="21" s="1"/>
  <c r="V34" i="21"/>
  <c r="U35" i="21"/>
  <c r="Q34" i="21"/>
  <c r="R34" i="21"/>
  <c r="S34" i="21" s="1"/>
  <c r="J35" i="21"/>
  <c r="L35" i="21" s="1"/>
  <c r="P35" i="21"/>
  <c r="O34" i="21"/>
  <c r="Y33" i="21"/>
  <c r="C19" i="3"/>
  <c r="W35" i="21" l="1"/>
  <c r="X35" i="21" s="1"/>
  <c r="V35" i="21"/>
  <c r="U36" i="21"/>
  <c r="Q35" i="21"/>
  <c r="R35" i="21"/>
  <c r="S35" i="21" s="1"/>
  <c r="J36" i="21"/>
  <c r="L36" i="21" s="1"/>
  <c r="P36" i="21"/>
  <c r="O35" i="21"/>
  <c r="Y34" i="21"/>
  <c r="C20" i="3"/>
  <c r="W36" i="21" l="1"/>
  <c r="X36" i="21" s="1"/>
  <c r="V36" i="21"/>
  <c r="U37" i="21"/>
  <c r="Q36" i="21"/>
  <c r="R36" i="21"/>
  <c r="S36" i="21" s="1"/>
  <c r="J37" i="21"/>
  <c r="L37" i="21" s="1"/>
  <c r="P37" i="21"/>
  <c r="O36" i="21"/>
  <c r="Y35" i="21"/>
  <c r="C21" i="3"/>
  <c r="W37" i="21" l="1"/>
  <c r="X37" i="21" s="1"/>
  <c r="V37" i="21"/>
  <c r="U38" i="21"/>
  <c r="Q37" i="21"/>
  <c r="R37" i="21"/>
  <c r="S37" i="21" s="1"/>
  <c r="J38" i="21"/>
  <c r="L38" i="21" s="1"/>
  <c r="P38" i="21"/>
  <c r="O37" i="21"/>
  <c r="Y36" i="21"/>
  <c r="C22" i="3"/>
  <c r="V38" i="21" l="1"/>
  <c r="W38" i="21"/>
  <c r="X38" i="21" s="1"/>
  <c r="U39" i="21"/>
  <c r="Q38" i="21"/>
  <c r="R38" i="21"/>
  <c r="S38" i="21" s="1"/>
  <c r="J39" i="21"/>
  <c r="L39" i="21" s="1"/>
  <c r="P39" i="21"/>
  <c r="O38" i="21"/>
  <c r="Y37" i="21"/>
  <c r="C23" i="3"/>
  <c r="W39" i="21" l="1"/>
  <c r="X39" i="21" s="1"/>
  <c r="V39" i="21"/>
  <c r="U40" i="21"/>
  <c r="Q39" i="21"/>
  <c r="R39" i="21"/>
  <c r="S39" i="21" s="1"/>
  <c r="J40" i="21"/>
  <c r="L40" i="21" s="1"/>
  <c r="P40" i="21"/>
  <c r="O39" i="21"/>
  <c r="Y38" i="21"/>
  <c r="C24" i="3"/>
  <c r="W40" i="21" l="1"/>
  <c r="X40" i="21" s="1"/>
  <c r="V40" i="21"/>
  <c r="U41" i="21"/>
  <c r="Q40" i="21"/>
  <c r="R40" i="21"/>
  <c r="S40" i="21" s="1"/>
  <c r="J41" i="21"/>
  <c r="L41" i="21" s="1"/>
  <c r="P41" i="21"/>
  <c r="O40" i="21"/>
  <c r="Y39" i="21"/>
  <c r="C25" i="3"/>
  <c r="W41" i="21" l="1"/>
  <c r="X41" i="21" s="1"/>
  <c r="V41" i="21"/>
  <c r="U42" i="21"/>
  <c r="Q41" i="21"/>
  <c r="R41" i="21"/>
  <c r="S41" i="21" s="1"/>
  <c r="J42" i="21"/>
  <c r="L42" i="21" s="1"/>
  <c r="P42" i="21"/>
  <c r="O41" i="21"/>
  <c r="Y40" i="21"/>
  <c r="C26" i="3"/>
  <c r="V42" i="21" l="1"/>
  <c r="W42" i="21"/>
  <c r="X42" i="21" s="1"/>
  <c r="U43" i="21"/>
  <c r="Q42" i="21"/>
  <c r="R42" i="21"/>
  <c r="S42" i="21" s="1"/>
  <c r="J43" i="21"/>
  <c r="L43" i="21" s="1"/>
  <c r="P43" i="21"/>
  <c r="O42" i="21"/>
  <c r="Y41" i="21"/>
  <c r="C27" i="3"/>
  <c r="W43" i="21" l="1"/>
  <c r="X43" i="21" s="1"/>
  <c r="V43" i="21"/>
  <c r="U44" i="21"/>
  <c r="Q43" i="21"/>
  <c r="R43" i="21"/>
  <c r="S43" i="21" s="1"/>
  <c r="J44" i="21"/>
  <c r="L44" i="21" s="1"/>
  <c r="P44" i="21"/>
  <c r="O43" i="21"/>
  <c r="Y42" i="21"/>
  <c r="C28" i="3"/>
  <c r="W44" i="21" l="1"/>
  <c r="X44" i="21" s="1"/>
  <c r="V44" i="21"/>
  <c r="U45" i="21"/>
  <c r="Q44" i="21"/>
  <c r="R44" i="21"/>
  <c r="S44" i="21" s="1"/>
  <c r="J45" i="21"/>
  <c r="L45" i="21" s="1"/>
  <c r="P45" i="21"/>
  <c r="O44" i="21"/>
  <c r="Y43" i="21"/>
  <c r="C29" i="3"/>
  <c r="W45" i="21" l="1"/>
  <c r="X45" i="21" s="1"/>
  <c r="V45" i="21"/>
  <c r="U46" i="21"/>
  <c r="Q45" i="21"/>
  <c r="R45" i="21"/>
  <c r="S45" i="21" s="1"/>
  <c r="J46" i="21"/>
  <c r="L46" i="21" s="1"/>
  <c r="P46" i="21"/>
  <c r="O45" i="21"/>
  <c r="Y44" i="21"/>
  <c r="C30" i="3"/>
  <c r="V46" i="21" l="1"/>
  <c r="W46" i="21"/>
  <c r="X46" i="21" s="1"/>
  <c r="U47" i="21"/>
  <c r="Q46" i="21"/>
  <c r="R46" i="21"/>
  <c r="S46" i="21" s="1"/>
  <c r="J47" i="21"/>
  <c r="L47" i="21" s="1"/>
  <c r="P47" i="21"/>
  <c r="R47" i="21" s="1"/>
  <c r="S47" i="21" s="1"/>
  <c r="O46" i="21"/>
  <c r="Y45" i="21"/>
  <c r="C15" i="3"/>
  <c r="C13" i="3"/>
  <c r="C11" i="3"/>
  <c r="C18" i="3"/>
  <c r="C12" i="3"/>
  <c r="C14" i="3"/>
  <c r="C16" i="3"/>
  <c r="C17" i="3"/>
  <c r="W47" i="21" l="1"/>
  <c r="X47" i="21" s="1"/>
  <c r="V47" i="21"/>
  <c r="Q47" i="21"/>
  <c r="O47" i="21"/>
  <c r="Y46" i="21"/>
  <c r="C43" i="13"/>
  <c r="Y47" i="21" l="1"/>
  <c r="AC45" i="20"/>
  <c r="E48" i="20" l="1"/>
  <c r="E86" i="22" s="1"/>
  <c r="E50" i="20"/>
  <c r="E88" i="22" s="1"/>
  <c r="E47" i="20"/>
  <c r="E85" i="22" s="1"/>
  <c r="E49" i="20"/>
  <c r="E87" i="22" s="1"/>
  <c r="G16" i="20"/>
  <c r="D17" i="3" s="1"/>
  <c r="E46" i="20"/>
  <c r="E84" i="22" s="1"/>
  <c r="AH45" i="20"/>
  <c r="AK45" i="20" s="1"/>
  <c r="I16" i="20" l="1"/>
  <c r="L18" i="22" s="1"/>
  <c r="N65" i="20"/>
  <c r="G11" i="20" l="1"/>
  <c r="I11" i="20"/>
  <c r="L13" i="22" s="1"/>
  <c r="G13" i="20"/>
  <c r="I13" i="20"/>
  <c r="L15" i="22" s="1"/>
  <c r="G17" i="20"/>
  <c r="D18" i="3" s="1"/>
  <c r="I17" i="20"/>
  <c r="L19" i="22" s="1"/>
  <c r="G12" i="20"/>
  <c r="I12" i="20"/>
  <c r="L14" i="22" s="1"/>
  <c r="G15" i="20"/>
  <c r="D16" i="3" s="1"/>
  <c r="I15" i="20"/>
  <c r="L17" i="22" s="1"/>
  <c r="G10" i="20"/>
  <c r="I10" i="20"/>
  <c r="L12" i="22" s="1"/>
  <c r="G14" i="20"/>
  <c r="I14" i="20"/>
  <c r="L16" i="22" s="1"/>
  <c r="G18" i="20"/>
  <c r="D19" i="3" s="1"/>
  <c r="I18" i="20"/>
  <c r="L20" i="22" s="1"/>
  <c r="G19" i="20"/>
  <c r="D20" i="3" s="1"/>
  <c r="I19" i="20"/>
  <c r="L21" i="22" s="1"/>
  <c r="D50" i="20" l="1"/>
  <c r="D15" i="3"/>
  <c r="D48" i="20"/>
  <c r="D13" i="3"/>
  <c r="D47" i="20"/>
  <c r="D12" i="3"/>
  <c r="D46" i="20"/>
  <c r="D11" i="3"/>
  <c r="D49" i="20"/>
  <c r="D14" i="3"/>
  <c r="F46" i="20"/>
  <c r="I84" i="22" s="1"/>
  <c r="F47" i="20"/>
  <c r="I85" i="22" s="1"/>
  <c r="AC49" i="20"/>
  <c r="AC46" i="20"/>
  <c r="F49" i="20"/>
  <c r="I87" i="22" s="1"/>
  <c r="AC47" i="20"/>
  <c r="F50" i="20"/>
  <c r="I88" i="22" s="1"/>
  <c r="F48" i="20"/>
  <c r="I86" i="22" s="1"/>
  <c r="AH46" i="20" l="1"/>
  <c r="AK46" i="20" s="1"/>
  <c r="AC48" i="20"/>
  <c r="AH47" i="20"/>
  <c r="AH49" i="20"/>
  <c r="N69" i="20" l="1"/>
  <c r="AK49" i="20"/>
  <c r="AC50" i="20"/>
  <c r="N67" i="20"/>
  <c r="AH48" i="20"/>
  <c r="AK48" i="20"/>
  <c r="AK47" i="20"/>
  <c r="N66" i="20"/>
  <c r="N68" i="20" l="1"/>
  <c r="AH50" i="20"/>
  <c r="N70" i="20" l="1"/>
  <c r="N64" i="20" s="1"/>
  <c r="AK50" i="20"/>
  <c r="K3" i="20" s="1"/>
  <c r="O64" i="20" l="1"/>
  <c r="K46" i="20"/>
  <c r="AA84" i="22" s="1"/>
  <c r="K48" i="20"/>
  <c r="K45" i="20"/>
  <c r="AA83" i="22" s="1"/>
  <c r="K50" i="20"/>
  <c r="K47" i="20"/>
  <c r="AA85" i="22" s="1"/>
  <c r="K49" i="20"/>
  <c r="AI45" i="20"/>
  <c r="AJ45" i="20" s="1"/>
  <c r="L47" i="20"/>
  <c r="AF85" i="22" s="1"/>
  <c r="AI47" i="20"/>
  <c r="AJ47" i="20" s="1"/>
  <c r="AI46" i="20"/>
  <c r="AJ46" i="20" s="1"/>
  <c r="AI49" i="20"/>
  <c r="AJ49" i="20" s="1"/>
  <c r="AI48" i="20"/>
  <c r="AJ48" i="20" s="1"/>
  <c r="AI50" i="20"/>
  <c r="AJ50" i="20" s="1"/>
  <c r="L48" i="20" l="1"/>
  <c r="AF86" i="22" s="1"/>
  <c r="AA86" i="22"/>
  <c r="L49" i="20"/>
  <c r="AF87" i="22" s="1"/>
  <c r="AA87" i="22"/>
  <c r="L50" i="20"/>
  <c r="AF88" i="22" s="1"/>
  <c r="AA88" i="22"/>
  <c r="T77" i="20"/>
  <c r="T78" i="20"/>
  <c r="L65" i="20"/>
  <c r="L67" i="20"/>
  <c r="L70" i="20"/>
  <c r="L66" i="20"/>
  <c r="L46" i="20"/>
  <c r="AF84" i="22" s="1"/>
  <c r="L45" i="20"/>
  <c r="AF83" i="22" s="1"/>
  <c r="L69" i="20"/>
  <c r="L68" i="20"/>
  <c r="P64" i="20"/>
  <c r="O65" i="20"/>
  <c r="C65" i="20" s="1"/>
  <c r="E16" i="11" s="1"/>
  <c r="O66" i="20"/>
  <c r="C66" i="20" s="1"/>
  <c r="O69" i="20"/>
  <c r="C69" i="20" s="1"/>
  <c r="O68" i="20"/>
  <c r="C68" i="20" s="1"/>
  <c r="O70" i="20"/>
  <c r="C70" i="20" s="1"/>
  <c r="O67" i="20"/>
  <c r="C67" i="20" s="1"/>
  <c r="H18" i="27" l="1"/>
  <c r="L17" i="29"/>
  <c r="H16" i="27"/>
  <c r="L15" i="29"/>
  <c r="H19" i="27"/>
  <c r="L18" i="29"/>
  <c r="L16" i="29"/>
  <c r="H17" i="27"/>
  <c r="L19" i="29"/>
  <c r="H20" i="27"/>
  <c r="L20" i="29"/>
  <c r="H21" i="27"/>
  <c r="L64" i="20"/>
  <c r="E21" i="26"/>
  <c r="E21" i="11"/>
  <c r="E17" i="26"/>
  <c r="E17" i="11"/>
  <c r="E16" i="26"/>
  <c r="E19" i="11"/>
  <c r="E19" i="26"/>
  <c r="Q64" i="20"/>
  <c r="P65" i="20"/>
  <c r="P66" i="20"/>
  <c r="P67" i="20"/>
  <c r="P68" i="20"/>
  <c r="P70" i="20"/>
  <c r="P69" i="20"/>
  <c r="E18" i="26"/>
  <c r="E18" i="11"/>
  <c r="E20" i="26"/>
  <c r="E20" i="11"/>
  <c r="D69" i="20" l="1"/>
  <c r="F19" i="29" s="1"/>
  <c r="E69" i="20"/>
  <c r="D70" i="20"/>
  <c r="F20" i="29" s="1"/>
  <c r="E70" i="20"/>
  <c r="D65" i="20"/>
  <c r="F15" i="29" s="1"/>
  <c r="E65" i="20"/>
  <c r="D68" i="20"/>
  <c r="F18" i="29" s="1"/>
  <c r="E68" i="20"/>
  <c r="Q68" i="20"/>
  <c r="Q66" i="20"/>
  <c r="Q65" i="20"/>
  <c r="Q69" i="20"/>
  <c r="Q67" i="20"/>
  <c r="Q70" i="20"/>
  <c r="D66" i="20"/>
  <c r="F16" i="29" s="1"/>
  <c r="E66" i="20"/>
  <c r="D67" i="20"/>
  <c r="F17" i="29" s="1"/>
  <c r="E67" i="20"/>
  <c r="G17" i="11" l="1"/>
  <c r="F17" i="27"/>
  <c r="J16" i="29"/>
  <c r="G17" i="26"/>
  <c r="G19" i="11"/>
  <c r="F19" i="27"/>
  <c r="J18" i="29"/>
  <c r="G19" i="26"/>
  <c r="G18" i="11"/>
  <c r="F18" i="27"/>
  <c r="J17" i="29"/>
  <c r="G18" i="26"/>
  <c r="G16" i="11"/>
  <c r="J15" i="29"/>
  <c r="F16" i="27"/>
  <c r="G16" i="26"/>
  <c r="G20" i="11"/>
  <c r="J19" i="29"/>
  <c r="F20" i="27"/>
  <c r="G20" i="26"/>
  <c r="G21" i="11"/>
  <c r="F21" i="27"/>
  <c r="J20" i="29"/>
  <c r="G21" i="26"/>
  <c r="F18" i="26"/>
  <c r="F18" i="11"/>
  <c r="E18" i="27"/>
  <c r="F69" i="20"/>
  <c r="G69" i="20"/>
  <c r="G67" i="20"/>
  <c r="F67" i="20"/>
  <c r="F20" i="26"/>
  <c r="F20" i="11"/>
  <c r="E20" i="27"/>
  <c r="E17" i="27"/>
  <c r="F17" i="11"/>
  <c r="F17" i="26"/>
  <c r="G65" i="20"/>
  <c r="F65" i="20"/>
  <c r="F19" i="11"/>
  <c r="E19" i="27"/>
  <c r="F19" i="26"/>
  <c r="F21" i="11"/>
  <c r="F21" i="26"/>
  <c r="E21" i="27"/>
  <c r="F68" i="20"/>
  <c r="G68" i="20"/>
  <c r="E16" i="27"/>
  <c r="F16" i="26"/>
  <c r="F16" i="11"/>
  <c r="F70" i="20"/>
  <c r="G70" i="20"/>
  <c r="G66" i="20"/>
  <c r="F66" i="20"/>
  <c r="I21" i="11" l="1"/>
  <c r="I21" i="26"/>
  <c r="Q20" i="29"/>
  <c r="H20" i="11"/>
  <c r="K19" i="29"/>
  <c r="H20" i="26"/>
  <c r="I19" i="11"/>
  <c r="I19" i="26"/>
  <c r="Q18" i="29"/>
  <c r="H16" i="11"/>
  <c r="K15" i="29"/>
  <c r="H16" i="26"/>
  <c r="H17" i="11"/>
  <c r="K16" i="29"/>
  <c r="H17" i="26"/>
  <c r="H19" i="11"/>
  <c r="K18" i="29"/>
  <c r="H19" i="26"/>
  <c r="I16" i="11"/>
  <c r="I16" i="26"/>
  <c r="Q15" i="29"/>
  <c r="I18" i="11"/>
  <c r="I18" i="26"/>
  <c r="Q17" i="29"/>
  <c r="H21" i="11"/>
  <c r="K20" i="29"/>
  <c r="H21" i="26"/>
  <c r="H18" i="11"/>
  <c r="K17" i="29"/>
  <c r="H18" i="26"/>
  <c r="I17" i="11"/>
  <c r="I17" i="26"/>
  <c r="Q16" i="29"/>
  <c r="I20" i="11"/>
  <c r="I20" i="26"/>
  <c r="Q19" i="29"/>
  <c r="AC45" i="33"/>
  <c r="E49" i="33" l="1"/>
  <c r="E401" i="22" s="1"/>
  <c r="E46" i="33"/>
  <c r="E398" i="22" s="1"/>
  <c r="E47" i="33"/>
  <c r="E399" i="22" s="1"/>
  <c r="AH45" i="33"/>
  <c r="E48" i="33"/>
  <c r="E400" i="22" s="1"/>
  <c r="E50" i="33"/>
  <c r="E402" i="22" s="1"/>
  <c r="I16" i="33"/>
  <c r="L332" i="22" s="1"/>
  <c r="T78" i="33" l="1"/>
  <c r="T77" i="33"/>
  <c r="N65" i="33"/>
  <c r="G16" i="33"/>
  <c r="L17" i="3" s="1"/>
  <c r="AK45" i="33"/>
  <c r="G14" i="33" l="1"/>
  <c r="L15" i="3" s="1"/>
  <c r="I14" i="33"/>
  <c r="L330" i="22" s="1"/>
  <c r="G19" i="33"/>
  <c r="L20" i="3" s="1"/>
  <c r="I19" i="33"/>
  <c r="L335" i="22" s="1"/>
  <c r="G17" i="33"/>
  <c r="L18" i="3" s="1"/>
  <c r="I17" i="33"/>
  <c r="L333" i="22" s="1"/>
  <c r="G13" i="33"/>
  <c r="L14" i="3" s="1"/>
  <c r="I13" i="33"/>
  <c r="L329" i="22" s="1"/>
  <c r="G10" i="33"/>
  <c r="L11" i="3" s="1"/>
  <c r="I10" i="33"/>
  <c r="L326" i="22" s="1"/>
  <c r="G11" i="33"/>
  <c r="L12" i="3" s="1"/>
  <c r="I11" i="33"/>
  <c r="L327" i="22" s="1"/>
  <c r="G15" i="33"/>
  <c r="L16" i="3" s="1"/>
  <c r="I15" i="33"/>
  <c r="L331" i="22" s="1"/>
  <c r="G18" i="33"/>
  <c r="L19" i="3" s="1"/>
  <c r="I18" i="33"/>
  <c r="L334" i="22" s="1"/>
  <c r="G12" i="33"/>
  <c r="L13" i="3" s="1"/>
  <c r="I12" i="33"/>
  <c r="L328" i="22" s="1"/>
  <c r="AC48" i="33" l="1"/>
  <c r="F47" i="33"/>
  <c r="I399" i="22" s="1"/>
  <c r="D47" i="33"/>
  <c r="AC46" i="33"/>
  <c r="F46" i="33"/>
  <c r="I398" i="22" s="1"/>
  <c r="D46" i="33"/>
  <c r="F49" i="33"/>
  <c r="I401" i="22" s="1"/>
  <c r="D49" i="33"/>
  <c r="F48" i="33"/>
  <c r="I400" i="22" s="1"/>
  <c r="D48" i="33"/>
  <c r="AH48" i="33" s="1"/>
  <c r="AC47" i="33"/>
  <c r="F50" i="33"/>
  <c r="I402" i="22" s="1"/>
  <c r="D50" i="33"/>
  <c r="AC49" i="33"/>
  <c r="N68" i="33" l="1"/>
  <c r="AK48" i="33"/>
  <c r="L50" i="33"/>
  <c r="AF402" i="22" s="1"/>
  <c r="AH49" i="33"/>
  <c r="AK49" i="33" s="1"/>
  <c r="AH47" i="33"/>
  <c r="AK47" i="33" s="1"/>
  <c r="L49" i="33"/>
  <c r="AF401" i="22" s="1"/>
  <c r="AH46" i="33"/>
  <c r="AK46" i="33" s="1"/>
  <c r="L48" i="33"/>
  <c r="AF400" i="22" s="1"/>
  <c r="L46" i="33"/>
  <c r="AF398" i="22" s="1"/>
  <c r="L47" i="33"/>
  <c r="AF399" i="22" s="1"/>
  <c r="AC50" i="33" l="1"/>
  <c r="N66" i="33"/>
  <c r="N67" i="33"/>
  <c r="N69" i="33"/>
  <c r="AH50" i="33" l="1"/>
  <c r="N70" i="33" l="1"/>
  <c r="AK50" i="33"/>
  <c r="K3" i="33" s="1"/>
  <c r="N64" i="33" l="1"/>
  <c r="O64" i="33" l="1"/>
  <c r="A50" i="13"/>
  <c r="AI45" i="33"/>
  <c r="AJ45" i="33" s="1"/>
  <c r="AI48" i="33"/>
  <c r="AJ48" i="33" s="1"/>
  <c r="AI49" i="33"/>
  <c r="AI46" i="33"/>
  <c r="AJ49" i="33"/>
  <c r="AI47" i="33"/>
  <c r="AJ47" i="33" s="1"/>
  <c r="AJ46" i="33"/>
  <c r="AI50" i="33"/>
  <c r="AJ50" i="33" s="1"/>
  <c r="O20" i="29" l="1"/>
  <c r="O19" i="29"/>
  <c r="O17" i="29"/>
  <c r="O18" i="29"/>
  <c r="O16" i="29"/>
  <c r="O15" i="29"/>
  <c r="P64" i="33"/>
  <c r="O65" i="33"/>
  <c r="C65" i="33" s="1"/>
  <c r="O66" i="33"/>
  <c r="C66" i="33" s="1"/>
  <c r="O68" i="33"/>
  <c r="C68" i="33" s="1"/>
  <c r="O67" i="33"/>
  <c r="C67" i="33" s="1"/>
  <c r="O70" i="33"/>
  <c r="C70" i="33" s="1"/>
  <c r="O69" i="33"/>
  <c r="C69" i="33" s="1"/>
  <c r="L64" i="33" l="1"/>
  <c r="Q64" i="33"/>
  <c r="P65" i="33"/>
  <c r="P69" i="33"/>
  <c r="P70" i="33"/>
  <c r="P68" i="33"/>
  <c r="P66" i="33"/>
  <c r="P67" i="33"/>
  <c r="M20" i="29" l="1"/>
  <c r="D70" i="33"/>
  <c r="M19" i="29"/>
  <c r="D69" i="33"/>
  <c r="M17" i="29"/>
  <c r="D67" i="33"/>
  <c r="M16" i="29"/>
  <c r="D66" i="33"/>
  <c r="M15" i="29"/>
  <c r="D65" i="33"/>
  <c r="M18" i="29"/>
  <c r="D68" i="33"/>
  <c r="Q67" i="33"/>
  <c r="Q65" i="33"/>
  <c r="Q68" i="33"/>
  <c r="Q69" i="33"/>
  <c r="Q70" i="33"/>
  <c r="Q66" i="33"/>
  <c r="N19" i="29" l="1"/>
  <c r="G69" i="33"/>
  <c r="N18" i="29"/>
  <c r="G68" i="33"/>
  <c r="N16" i="29"/>
  <c r="G66" i="33"/>
  <c r="N15" i="29"/>
  <c r="G65" i="33"/>
  <c r="N20" i="29"/>
  <c r="G70" i="33"/>
  <c r="N17" i="29"/>
  <c r="G67" i="33"/>
  <c r="AK584" i="22" l="1"/>
  <c r="Q586" i="22" s="1"/>
  <c r="AK270" i="22"/>
  <c r="Q272" i="22" s="1"/>
  <c r="AN21" i="22" l="1"/>
  <c r="E57" i="22"/>
  <c r="AN19" i="22"/>
  <c r="E55" i="22"/>
  <c r="AN17" i="22"/>
  <c r="E53" i="22"/>
  <c r="E56" i="22"/>
  <c r="AN20" i="22"/>
  <c r="E367" i="22"/>
  <c r="AN331" i="22"/>
  <c r="AN328" i="22"/>
  <c r="E364" i="22"/>
  <c r="AN326" i="22"/>
  <c r="E362" i="22"/>
  <c r="AN334" i="22"/>
  <c r="E370" i="22"/>
  <c r="AN13" i="22"/>
  <c r="E49" i="22"/>
  <c r="AN18" i="22"/>
  <c r="E54" i="22"/>
  <c r="AN15" i="22"/>
  <c r="E51" i="22"/>
  <c r="E50" i="22"/>
  <c r="AN14" i="22"/>
  <c r="AN332" i="22"/>
  <c r="E368" i="22"/>
  <c r="AN330" i="22"/>
  <c r="E366" i="22"/>
  <c r="E371" i="22"/>
  <c r="AN335" i="22"/>
  <c r="E369" i="22"/>
  <c r="AN333" i="22"/>
  <c r="E365" i="22"/>
  <c r="AN329" i="22"/>
  <c r="AN16" i="22"/>
  <c r="E52" i="22"/>
  <c r="AL5" i="22"/>
  <c r="E48" i="22"/>
  <c r="AN12" i="22"/>
  <c r="J193" i="22" l="1"/>
  <c r="P182" i="22"/>
  <c r="AT152" i="22"/>
  <c r="I152" i="22"/>
  <c r="AD150" i="22"/>
  <c r="I150" i="22"/>
  <c r="Q148" i="22"/>
  <c r="V283" i="22"/>
  <c r="Q285" i="22" s="1"/>
  <c r="V285" i="22" s="1"/>
  <c r="O290" i="22" s="1"/>
  <c r="U290" i="22" s="1"/>
  <c r="T225" i="22"/>
  <c r="AT157" i="22"/>
  <c r="Q156" i="22"/>
  <c r="Q154" i="22"/>
  <c r="AD151" i="22"/>
  <c r="AD149" i="22"/>
  <c r="I149" i="22"/>
  <c r="N225" i="22"/>
  <c r="Q152" i="22"/>
  <c r="Q151" i="22"/>
  <c r="Q150" i="22"/>
  <c r="AT148" i="22"/>
  <c r="I148" i="22"/>
  <c r="I194" i="22"/>
  <c r="I157" i="22"/>
  <c r="Q155" i="22"/>
  <c r="Q153" i="22"/>
  <c r="Q149" i="22"/>
  <c r="S58" i="22"/>
  <c r="S47" i="22"/>
  <c r="E363" i="22"/>
  <c r="AN327" i="22"/>
  <c r="AL319" i="22"/>
  <c r="J507" i="22" l="1"/>
  <c r="P496" i="22"/>
  <c r="AT466" i="22"/>
  <c r="I466" i="22"/>
  <c r="G538" i="22" s="1"/>
  <c r="AD464" i="22"/>
  <c r="I464" i="22"/>
  <c r="Q462" i="22"/>
  <c r="I508" i="22"/>
  <c r="P510" i="22" s="1"/>
  <c r="W510" i="22" s="1"/>
  <c r="T515" i="22" s="1"/>
  <c r="Q467" i="22"/>
  <c r="Q463" i="22"/>
  <c r="V597" i="22"/>
  <c r="T539" i="22"/>
  <c r="AT471" i="22"/>
  <c r="Q470" i="22"/>
  <c r="Q468" i="22"/>
  <c r="AD465" i="22"/>
  <c r="AD463" i="22"/>
  <c r="I463" i="22"/>
  <c r="N539" i="22"/>
  <c r="Q466" i="22"/>
  <c r="Q465" i="22"/>
  <c r="Q464" i="22"/>
  <c r="AT462" i="22"/>
  <c r="I462" i="22"/>
  <c r="I471" i="22"/>
  <c r="Q469" i="22"/>
  <c r="V272" i="22"/>
  <c r="O277" i="22" s="1"/>
  <c r="U277" i="22" s="1"/>
  <c r="AL155" i="22"/>
  <c r="X229" i="22"/>
  <c r="AB235" i="22" s="1"/>
  <c r="X255" i="22"/>
  <c r="S229" i="22"/>
  <c r="W235" i="22" s="1"/>
  <c r="AL154" i="22"/>
  <c r="R302" i="22"/>
  <c r="AL234" i="22"/>
  <c r="AC229" i="22"/>
  <c r="AG235" i="22" s="1"/>
  <c r="AL156" i="22"/>
  <c r="G195" i="22"/>
  <c r="R166" i="22"/>
  <c r="Q186" i="22"/>
  <c r="AF185" i="22" s="1"/>
  <c r="K187" i="22" s="1"/>
  <c r="R200" i="22"/>
  <c r="H192" i="22"/>
  <c r="Q216" i="22"/>
  <c r="Q599" i="22"/>
  <c r="V599" i="22" s="1"/>
  <c r="O604" i="22" s="1"/>
  <c r="U604" i="22" s="1"/>
  <c r="S361" i="22"/>
  <c r="S372" i="22"/>
  <c r="AH229" i="22"/>
  <c r="AL152" i="22"/>
  <c r="M296" i="22" s="1"/>
  <c r="R301" i="22" s="1"/>
  <c r="N229" i="22"/>
  <c r="R235" i="22" s="1"/>
  <c r="AL153" i="22"/>
  <c r="P196" i="22"/>
  <c r="W196" i="22" s="1"/>
  <c r="T201" i="22" s="1"/>
  <c r="Z225" i="22"/>
  <c r="Z539" i="22" l="1"/>
  <c r="X543" i="22"/>
  <c r="AB549" i="22" s="1"/>
  <c r="AL469" i="22"/>
  <c r="V586" i="22"/>
  <c r="O591" i="22" s="1"/>
  <c r="U591" i="22" s="1"/>
  <c r="X569" i="22"/>
  <c r="AL468" i="22"/>
  <c r="S543" i="22"/>
  <c r="W549" i="22" s="1"/>
  <c r="N543" i="22"/>
  <c r="R549" i="22" s="1"/>
  <c r="AL467" i="22"/>
  <c r="AL470" i="22"/>
  <c r="AC543" i="22"/>
  <c r="AG549" i="22" s="1"/>
  <c r="S255" i="22"/>
  <c r="I253" i="22" s="1"/>
  <c r="O260" i="22"/>
  <c r="U260" i="22" s="1"/>
  <c r="Q530" i="22"/>
  <c r="R480" i="22"/>
  <c r="H506" i="22"/>
  <c r="R514" i="22"/>
  <c r="Q500" i="22"/>
  <c r="AF499" i="22" s="1"/>
  <c r="K501" i="22" s="1"/>
  <c r="G509" i="22"/>
  <c r="AL466" i="22"/>
  <c r="M610" i="22" s="1"/>
  <c r="R615" i="22" s="1"/>
  <c r="AH543" i="22"/>
  <c r="O233" i="22"/>
  <c r="T233" i="22" s="1"/>
  <c r="R234" i="22"/>
  <c r="R616" i="22"/>
  <c r="AL548" i="22"/>
  <c r="R548" i="22" l="1"/>
  <c r="O547" i="22"/>
  <c r="T547" i="22" s="1"/>
  <c r="S569" i="22"/>
  <c r="I567" i="22" s="1"/>
  <c r="O574" i="22"/>
  <c r="U574" i="22" s="1"/>
  <c r="I495" i="22" l="1"/>
  <c r="U496" i="22"/>
  <c r="AL463" i="22" l="1"/>
  <c r="Z496" i="22"/>
  <c r="U501" i="22" s="1"/>
  <c r="AA501" i="22" s="1"/>
  <c r="N483" i="22" s="1"/>
  <c r="R489" i="22" s="1"/>
  <c r="U182" i="22"/>
  <c r="I181" i="22"/>
  <c r="AL149" i="22" l="1"/>
  <c r="Z182" i="22"/>
  <c r="U187" i="22" s="1"/>
  <c r="AA187" i="22" s="1"/>
  <c r="N169" i="22" s="1"/>
  <c r="R175" i="22" s="1"/>
  <c r="L54" i="22" l="1"/>
  <c r="AG54" i="22" l="1"/>
  <c r="Z54" i="22"/>
  <c r="AN54" i="22" s="1"/>
  <c r="AP90" i="22" s="1"/>
  <c r="S54" i="22"/>
  <c r="AH215" i="22"/>
  <c r="K217" i="22" s="1"/>
  <c r="Z217" i="22" s="1"/>
  <c r="X169" i="22" s="1"/>
  <c r="AB175" i="22" s="1"/>
  <c r="AL151" i="22"/>
  <c r="Q199" i="22"/>
  <c r="Q215" i="22"/>
  <c r="O164" i="22"/>
  <c r="R165" i="22" s="1"/>
  <c r="G180" i="22"/>
  <c r="AH199" i="22"/>
  <c r="K201" i="22" s="1"/>
  <c r="AA201" i="22" s="1"/>
  <c r="S169" i="22" s="1"/>
  <c r="W175" i="22" s="1"/>
  <c r="AL150" i="22"/>
  <c r="L49" i="22"/>
  <c r="L51" i="22"/>
  <c r="L55" i="22"/>
  <c r="L50" i="22"/>
  <c r="L53" i="22"/>
  <c r="L48" i="22"/>
  <c r="L52" i="22"/>
  <c r="L56" i="22"/>
  <c r="L57" i="22"/>
  <c r="AG48" i="22" l="1"/>
  <c r="Z48" i="22"/>
  <c r="AN48" i="22" s="1"/>
  <c r="AP84" i="22" s="1"/>
  <c r="S48" i="22"/>
  <c r="Z55" i="22"/>
  <c r="S55" i="22"/>
  <c r="AG55" i="22"/>
  <c r="AG50" i="22"/>
  <c r="Z50" i="22"/>
  <c r="S50" i="22"/>
  <c r="Z53" i="22"/>
  <c r="AN53" i="22" s="1"/>
  <c r="AP89" i="22" s="1"/>
  <c r="S53" i="22"/>
  <c r="AG53" i="22"/>
  <c r="AG56" i="22"/>
  <c r="Z56" i="22"/>
  <c r="AN56" i="22" s="1"/>
  <c r="AP92" i="22" s="1"/>
  <c r="S56" i="22"/>
  <c r="Z57" i="22"/>
  <c r="AN57" i="22" s="1"/>
  <c r="AP93" i="22" s="1"/>
  <c r="S57" i="22"/>
  <c r="AG57" i="22"/>
  <c r="AG52" i="22"/>
  <c r="Z52" i="22"/>
  <c r="AN52" i="22" s="1"/>
  <c r="AP88" i="22" s="1"/>
  <c r="S52" i="22"/>
  <c r="Z51" i="22"/>
  <c r="AN51" i="22" s="1"/>
  <c r="AP87" i="22" s="1"/>
  <c r="S51" i="22"/>
  <c r="AG51" i="22"/>
  <c r="Z49" i="22"/>
  <c r="AN49" i="22" s="1"/>
  <c r="AP85" i="22" s="1"/>
  <c r="S49" i="22"/>
  <c r="AG49" i="22"/>
  <c r="AN50" i="22" l="1"/>
  <c r="AP86" i="22" s="1"/>
  <c r="AN55" i="22"/>
  <c r="AP91" i="22" s="1"/>
  <c r="AC169" i="22"/>
  <c r="AL148" i="22"/>
  <c r="AG174" i="22" l="1"/>
  <c r="L302" i="22"/>
  <c r="G163" i="22"/>
  <c r="AG165" i="22"/>
  <c r="G296" i="22"/>
  <c r="L301" i="22" s="1"/>
  <c r="AL157" i="22"/>
  <c r="F297" i="22" s="1"/>
  <c r="O173" i="22"/>
  <c r="T173" i="22" s="1"/>
  <c r="R174" i="22"/>
  <c r="K310" i="22" l="1"/>
  <c r="L300" i="22"/>
  <c r="X300" i="22" l="1"/>
  <c r="Q310" i="22" l="1"/>
  <c r="G224" i="22" l="1"/>
  <c r="L368" i="22" l="1"/>
  <c r="G494" i="22" l="1"/>
  <c r="O478" i="22"/>
  <c r="R479" i="22" s="1"/>
  <c r="Q513" i="22"/>
  <c r="Q529" i="22"/>
  <c r="Z368" i="22"/>
  <c r="AN368" i="22" s="1"/>
  <c r="AP404" i="22" s="1"/>
  <c r="S368" i="22"/>
  <c r="AG368" i="22"/>
  <c r="L370" i="22" l="1"/>
  <c r="L371" i="22"/>
  <c r="AH529" i="22"/>
  <c r="K531" i="22" s="1"/>
  <c r="Z531" i="22" s="1"/>
  <c r="X483" i="22" s="1"/>
  <c r="AB489" i="22" s="1"/>
  <c r="AL465" i="22"/>
  <c r="L363" i="22"/>
  <c r="L365" i="22"/>
  <c r="AH513" i="22"/>
  <c r="K515" i="22" s="1"/>
  <c r="AA515" i="22" s="1"/>
  <c r="S483" i="22" s="1"/>
  <c r="W489" i="22" s="1"/>
  <c r="AL464" i="22"/>
  <c r="L364" i="22"/>
  <c r="L367" i="22"/>
  <c r="L362" i="22"/>
  <c r="L369" i="22"/>
  <c r="L366" i="22"/>
  <c r="Z366" i="22" l="1"/>
  <c r="AN366" i="22" s="1"/>
  <c r="AP402" i="22" s="1"/>
  <c r="S366" i="22"/>
  <c r="AG366" i="22"/>
  <c r="Z362" i="22"/>
  <c r="AN362" i="22" s="1"/>
  <c r="AP398" i="22" s="1"/>
  <c r="S362" i="22"/>
  <c r="AG362" i="22"/>
  <c r="Z364" i="22"/>
  <c r="S364" i="22"/>
  <c r="AG364" i="22"/>
  <c r="AG365" i="22"/>
  <c r="Z365" i="22"/>
  <c r="AN365" i="22" s="1"/>
  <c r="AP401" i="22" s="1"/>
  <c r="S365" i="22"/>
  <c r="Z370" i="22"/>
  <c r="AN370" i="22" s="1"/>
  <c r="AP406" i="22" s="1"/>
  <c r="S370" i="22"/>
  <c r="AG370" i="22"/>
  <c r="AG369" i="22"/>
  <c r="Z369" i="22"/>
  <c r="AN369" i="22" s="1"/>
  <c r="AP405" i="22" s="1"/>
  <c r="S369" i="22"/>
  <c r="AG367" i="22"/>
  <c r="Z367" i="22"/>
  <c r="AN367" i="22" s="1"/>
  <c r="AP403" i="22" s="1"/>
  <c r="S367" i="22"/>
  <c r="AG363" i="22"/>
  <c r="Z363" i="22"/>
  <c r="AN363" i="22" s="1"/>
  <c r="AP399" i="22" s="1"/>
  <c r="S363" i="22"/>
  <c r="AG371" i="22"/>
  <c r="Z371" i="22"/>
  <c r="AN371" i="22" s="1"/>
  <c r="AP407" i="22" s="1"/>
  <c r="S371" i="22"/>
  <c r="G477" i="22" l="1"/>
  <c r="AG479" i="22"/>
  <c r="AN364" i="22"/>
  <c r="AP400" i="22" s="1"/>
  <c r="AC483" i="22"/>
  <c r="AL462" i="22"/>
  <c r="AG488" i="22" l="1"/>
  <c r="L616" i="22"/>
  <c r="G610" i="22"/>
  <c r="L615" i="22" s="1"/>
  <c r="AL471" i="22"/>
  <c r="F611" i="22" s="1"/>
  <c r="O487" i="22"/>
  <c r="T487" i="22" s="1"/>
  <c r="R488" i="22"/>
  <c r="L614" i="22" l="1"/>
  <c r="K624" i="22"/>
  <c r="X614" i="22"/>
  <c r="Q624" i="22" l="1"/>
</calcChain>
</file>

<file path=xl/sharedStrings.xml><?xml version="1.0" encoding="utf-8"?>
<sst xmlns="http://schemas.openxmlformats.org/spreadsheetml/2006/main" count="1586" uniqueCount="1029">
  <si>
    <r>
      <t>3회</t>
    </r>
    <r>
      <rPr>
        <b/>
        <sz val="9"/>
        <color indexed="9"/>
        <rFont val="굴림"/>
        <family val="3"/>
        <charset val="129"/>
      </rPr>
      <t/>
    </r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</si>
  <si>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5" type="noConversion"/>
  </si>
  <si>
    <t>등록번호</t>
    <phoneticPr fontId="5" type="noConversion"/>
  </si>
  <si>
    <r>
      <rPr>
        <sz val="8"/>
        <rFont val="맑은 고딕"/>
        <family val="3"/>
        <charset val="129"/>
      </rPr>
      <t>접수번호</t>
    </r>
    <phoneticPr fontId="5" type="noConversion"/>
  </si>
  <si>
    <r>
      <rPr>
        <sz val="8"/>
        <rFont val="맑은 고딕"/>
        <family val="3"/>
        <charset val="129"/>
      </rPr>
      <t>의뢰기관</t>
    </r>
    <phoneticPr fontId="5" type="noConversion"/>
  </si>
  <si>
    <r>
      <rPr>
        <sz val="8"/>
        <rFont val="맑은 고딕"/>
        <family val="3"/>
        <charset val="129"/>
      </rPr>
      <t>교정일자</t>
    </r>
    <phoneticPr fontId="5" type="noConversion"/>
  </si>
  <si>
    <r>
      <rPr>
        <sz val="8"/>
        <rFont val="맑은 고딕"/>
        <family val="3"/>
        <charset val="129"/>
      </rPr>
      <t>기기명</t>
    </r>
    <phoneticPr fontId="5" type="noConversion"/>
  </si>
  <si>
    <t>교정절차서1</t>
    <phoneticPr fontId="5" type="noConversion"/>
  </si>
  <si>
    <r>
      <rPr>
        <sz val="8"/>
        <rFont val="맑은 고딕"/>
        <family val="3"/>
        <charset val="129"/>
      </rPr>
      <t>제작회사</t>
    </r>
    <phoneticPr fontId="5" type="noConversion"/>
  </si>
  <si>
    <t>교정절차서2</t>
    <phoneticPr fontId="5" type="noConversion"/>
  </si>
  <si>
    <r>
      <rPr>
        <sz val="8"/>
        <rFont val="맑은 고딕"/>
        <family val="3"/>
        <charset val="129"/>
      </rPr>
      <t>형식</t>
    </r>
    <phoneticPr fontId="5" type="noConversion"/>
  </si>
  <si>
    <t>접수확인자</t>
    <phoneticPr fontId="5" type="noConversion"/>
  </si>
  <si>
    <r>
      <rPr>
        <sz val="8"/>
        <rFont val="맑은 고딕"/>
        <family val="3"/>
        <charset val="129"/>
      </rPr>
      <t>기기번호</t>
    </r>
    <phoneticPr fontId="5" type="noConversion"/>
  </si>
  <si>
    <t>인증교정자</t>
    <phoneticPr fontId="5" type="noConversion"/>
  </si>
  <si>
    <t>기술책임자</t>
    <phoneticPr fontId="5" type="noConversion"/>
  </si>
  <si>
    <r>
      <rPr>
        <sz val="8"/>
        <rFont val="맑은 고딕"/>
        <family val="3"/>
        <charset val="129"/>
      </rPr>
      <t>교정주기</t>
    </r>
    <phoneticPr fontId="5" type="noConversion"/>
  </si>
  <si>
    <r>
      <t>KOLAS</t>
    </r>
    <r>
      <rPr>
        <sz val="8"/>
        <rFont val="맑은 고딕"/>
        <family val="3"/>
        <charset val="129"/>
      </rPr>
      <t>유무</t>
    </r>
    <phoneticPr fontId="5" type="noConversion"/>
  </si>
  <si>
    <t>1: KOLAS 성적서
0: 비공인성적서</t>
    <phoneticPr fontId="5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</si>
  <si>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</si>
  <si>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최저온도</t>
    </r>
    <phoneticPr fontId="5" type="noConversion"/>
  </si>
  <si>
    <t>최저습도</t>
    <phoneticPr fontId="5" type="noConversion"/>
  </si>
  <si>
    <t>최저기압</t>
    <phoneticPr fontId="5" type="noConversion"/>
  </si>
  <si>
    <t>교정장소</t>
    <phoneticPr fontId="5" type="noConversion"/>
  </si>
  <si>
    <t>0: KC00-011 고정표준실
1: 현장교정
4: KC10-244 고정표준실</t>
    <phoneticPr fontId="5" type="noConversion"/>
  </si>
  <si>
    <r>
      <rPr>
        <sz val="8"/>
        <rFont val="맑은 고딕"/>
        <family val="3"/>
        <charset val="129"/>
      </rPr>
      <t>최고온도</t>
    </r>
    <phoneticPr fontId="5" type="noConversion"/>
  </si>
  <si>
    <r>
      <rPr>
        <sz val="8"/>
        <rFont val="맑은 고딕"/>
        <family val="3"/>
        <charset val="129"/>
      </rPr>
      <t>최고습도</t>
    </r>
    <phoneticPr fontId="5" type="noConversion"/>
  </si>
  <si>
    <t>최고기압</t>
    <phoneticPr fontId="5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</si>
  <si>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5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</si>
  <si>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</si>
  <si>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등록번호</t>
    </r>
    <phoneticPr fontId="5" type="noConversion"/>
  </si>
  <si>
    <t>기기명</t>
    <phoneticPr fontId="5" type="noConversion"/>
  </si>
  <si>
    <t>제작회사</t>
    <phoneticPr fontId="5" type="noConversion"/>
  </si>
  <si>
    <t>기기번호</t>
    <phoneticPr fontId="5" type="noConversion"/>
  </si>
  <si>
    <t>차기교정예정일자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</si>
  <si>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</si>
  <si>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>세부분류코드</t>
    <phoneticPr fontId="5" type="noConversion"/>
  </si>
  <si>
    <t xml:space="preserve"> 성적서발급번호(Certificate No) :</t>
    <phoneticPr fontId="5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</si>
  <si>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5" type="noConversion"/>
  </si>
  <si>
    <t>전체</t>
    <phoneticPr fontId="5" type="noConversion"/>
  </si>
  <si>
    <t>특이사항</t>
    <phoneticPr fontId="5" type="noConversion"/>
  </si>
  <si>
    <t>PASS</t>
    <phoneticPr fontId="5" type="noConversion"/>
  </si>
  <si>
    <t>FIAL</t>
    <phoneticPr fontId="5" type="noConversion"/>
  </si>
  <si>
    <t>교정자 확인</t>
    <phoneticPr fontId="5" type="noConversion"/>
  </si>
  <si>
    <t>확인전</t>
  </si>
  <si>
    <t>CONDITION</t>
    <phoneticPr fontId="5" type="noConversion"/>
  </si>
  <si>
    <t>MEASURED VALUE</t>
    <phoneticPr fontId="5" type="noConversion"/>
  </si>
  <si>
    <t>번호</t>
    <phoneticPr fontId="5" type="noConversion"/>
  </si>
  <si>
    <t>명목압력
(SI단위)</t>
    <phoneticPr fontId="5" type="noConversion"/>
  </si>
  <si>
    <t>표준기압력
(SI단위)</t>
    <phoneticPr fontId="5" type="noConversion"/>
  </si>
  <si>
    <t>SI단위</t>
    <phoneticPr fontId="5" type="noConversion"/>
  </si>
  <si>
    <t>CMC</t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</si>
  <si>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</si>
  <si>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지시값
평균</t>
    <phoneticPr fontId="5" type="noConversion"/>
  </si>
  <si>
    <t>[Pressure Calibration]</t>
    <phoneticPr fontId="5" type="noConversion"/>
  </si>
  <si>
    <t>CMC 검토</t>
    <phoneticPr fontId="5" type="noConversion"/>
  </si>
  <si>
    <t>측정점
번호</t>
    <phoneticPr fontId="5" type="noConversion"/>
  </si>
  <si>
    <t>번호</t>
  </si>
  <si>
    <t>등록번호</t>
  </si>
  <si>
    <t>단위</t>
  </si>
  <si>
    <t>확장불확도</t>
  </si>
  <si>
    <t>k</t>
  </si>
  <si>
    <t>기준기교정일</t>
  </si>
  <si>
    <t>표준압력</t>
    <phoneticPr fontId="5" type="noConversion"/>
  </si>
  <si>
    <t>1회</t>
    <phoneticPr fontId="5" type="noConversion"/>
  </si>
  <si>
    <t>2회</t>
    <phoneticPr fontId="5" type="noConversion"/>
  </si>
  <si>
    <t>표준기</t>
    <phoneticPr fontId="5" type="noConversion"/>
  </si>
  <si>
    <t>단위</t>
    <phoneticPr fontId="5" type="noConversion"/>
  </si>
  <si>
    <t>부록</t>
    <phoneticPr fontId="5" type="noConversion"/>
  </si>
  <si>
    <t>Spec</t>
    <phoneticPr fontId="5" type="noConversion"/>
  </si>
  <si>
    <t>● 교정결과</t>
    <phoneticPr fontId="5" type="noConversion"/>
  </si>
  <si>
    <t>기준기명(종류)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</si>
  <si>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</si>
  <si>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</si>
  <si>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</si>
  <si>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</si>
  <si>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</si>
  <si>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</si>
  <si>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</si>
  <si>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최소눈금</t>
  </si>
  <si>
    <t>적용단위</t>
  </si>
  <si>
    <t>a</t>
  </si>
  <si>
    <t>b</t>
  </si>
  <si>
    <t>교정일자</t>
  </si>
  <si>
    <t>Resolution</t>
    <phoneticPr fontId="5" type="noConversion"/>
  </si>
  <si>
    <t>Display</t>
    <phoneticPr fontId="5" type="noConversion"/>
  </si>
  <si>
    <t>SPEC</t>
    <phoneticPr fontId="5" type="noConversion"/>
  </si>
  <si>
    <t>MIN</t>
    <phoneticPr fontId="5" type="noConversion"/>
  </si>
  <si>
    <t>MAX</t>
    <phoneticPr fontId="5" type="noConversion"/>
  </si>
  <si>
    <t>UNIT</t>
    <phoneticPr fontId="5" type="noConversion"/>
  </si>
  <si>
    <t>3회</t>
    <phoneticPr fontId="5" type="noConversion"/>
  </si>
  <si>
    <t>STD Name</t>
    <phoneticPr fontId="5" type="noConversion"/>
  </si>
  <si>
    <t>최대압력</t>
    <phoneticPr fontId="5" type="noConversion"/>
  </si>
  <si>
    <t>DUT단위</t>
    <phoneticPr fontId="5" type="noConversion"/>
  </si>
  <si>
    <t>Nominal</t>
    <phoneticPr fontId="5" type="noConversion"/>
  </si>
  <si>
    <t>Standard</t>
    <phoneticPr fontId="5" type="noConversion"/>
  </si>
  <si>
    <t>Measured</t>
    <phoneticPr fontId="5" type="noConversion"/>
  </si>
  <si>
    <t>Unit</t>
    <phoneticPr fontId="5" type="noConversion"/>
  </si>
  <si>
    <t>Correction</t>
    <phoneticPr fontId="5" type="noConversion"/>
  </si>
  <si>
    <t>● Calibration Result</t>
    <phoneticPr fontId="5" type="noConversion"/>
  </si>
  <si>
    <t>판정결과</t>
  </si>
  <si>
    <t>교정번호</t>
    <phoneticPr fontId="5" type="noConversion"/>
  </si>
  <si>
    <t>kgf/㎡</t>
  </si>
  <si>
    <t>Format</t>
  </si>
  <si>
    <t>#</t>
  </si>
  <si>
    <t>##</t>
  </si>
  <si>
    <t># ##</t>
  </si>
  <si>
    <t>## ##</t>
  </si>
  <si>
    <t>### ##</t>
  </si>
  <si>
    <t># ### ##</t>
  </si>
  <si>
    <t>## ### ##</t>
  </si>
  <si>
    <t>● 교정결과</t>
    <phoneticPr fontId="5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</si>
  <si>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5" type="noConversion"/>
  </si>
  <si>
    <t>교정자</t>
    <phoneticPr fontId="5" type="noConversion"/>
  </si>
  <si>
    <t>기기번호</t>
    <phoneticPr fontId="5" type="noConversion"/>
  </si>
  <si>
    <t>교정일자</t>
    <phoneticPr fontId="5" type="noConversion"/>
  </si>
  <si>
    <t>기술책임자</t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</si>
  <si>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5" type="noConversion"/>
  </si>
  <si>
    <r>
      <rPr>
        <b/>
        <sz val="9"/>
        <color indexed="9"/>
        <rFont val="돋움"/>
        <family val="3"/>
        <charset val="129"/>
      </rPr>
      <t>측정점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번호</t>
    </r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</si>
  <si>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</si>
  <si>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STANDARD CALIBRATION DATA</t>
    <phoneticPr fontId="5" type="noConversion"/>
  </si>
  <si>
    <t>명목압력</t>
    <phoneticPr fontId="5" type="noConversion"/>
  </si>
  <si>
    <t>N.F</t>
    <phoneticPr fontId="5" type="noConversion"/>
  </si>
  <si>
    <t>CALIBRATION RESULT</t>
    <phoneticPr fontId="5" type="noConversion"/>
  </si>
  <si>
    <t>Coefficient 1</t>
  </si>
  <si>
    <t>Coefficient 2</t>
  </si>
  <si>
    <t>Coefficient 3</t>
  </si>
  <si>
    <t>Coefficient 4</t>
  </si>
  <si>
    <t>분해능단위</t>
    <phoneticPr fontId="5" type="noConversion"/>
  </si>
  <si>
    <t>소수점 자리수</t>
    <phoneticPr fontId="5" type="noConversion"/>
  </si>
  <si>
    <t>cmH2O</t>
    <phoneticPr fontId="5" type="noConversion"/>
  </si>
  <si>
    <t>hPa abs.</t>
    <phoneticPr fontId="5" type="noConversion"/>
  </si>
  <si>
    <t>측정기명</t>
    <phoneticPr fontId="5" type="noConversion"/>
  </si>
  <si>
    <t>기본, 표준교정시 교정점 1 Point 추가시 측정점수가 2점 증가하며 종합교정시 측정점수가 6점 증가함.</t>
    <phoneticPr fontId="5" type="noConversion"/>
  </si>
  <si>
    <t>표준, 종합 교정시 실비 이므로 위와 같이 계산해도 무방할것으로 보임.</t>
    <phoneticPr fontId="5" type="noConversion"/>
  </si>
  <si>
    <t>측정점
번호</t>
  </si>
  <si>
    <t>기준수심</t>
    <phoneticPr fontId="5" type="noConversion"/>
  </si>
  <si>
    <t>수심단위</t>
    <phoneticPr fontId="5" type="noConversion"/>
  </si>
  <si>
    <t>최소눈금</t>
    <phoneticPr fontId="5" type="noConversion"/>
  </si>
  <si>
    <t>분해능</t>
    <phoneticPr fontId="5" type="noConversion"/>
  </si>
  <si>
    <t>hPa abs.</t>
    <phoneticPr fontId="5" type="noConversion"/>
  </si>
  <si>
    <t>kPa abs.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</si>
  <si>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기준기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정보</t>
    </r>
    <phoneticPr fontId="5" type="noConversion"/>
  </si>
  <si>
    <t>a</t>
    <phoneticPr fontId="5" type="noConversion"/>
  </si>
  <si>
    <t>b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</si>
  <si>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표준압력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</si>
  <si>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a</t>
    <phoneticPr fontId="5" type="noConversion"/>
  </si>
  <si>
    <t>b</t>
    <phoneticPr fontId="5" type="noConversion"/>
  </si>
  <si>
    <t>환산계수</t>
    <phoneticPr fontId="5" type="noConversion"/>
  </si>
  <si>
    <t>단위</t>
    <phoneticPr fontId="5" type="noConversion"/>
  </si>
  <si>
    <t>Pa</t>
    <phoneticPr fontId="5" type="noConversion"/>
  </si>
  <si>
    <t>kPa</t>
    <phoneticPr fontId="5" type="noConversion"/>
  </si>
  <si>
    <t>MPa</t>
    <phoneticPr fontId="5" type="noConversion"/>
  </si>
  <si>
    <t>Pa abs.</t>
    <phoneticPr fontId="5" type="noConversion"/>
  </si>
  <si>
    <t>MPa abs.</t>
    <phoneticPr fontId="5" type="noConversion"/>
  </si>
  <si>
    <t>MPa abs.</t>
    <phoneticPr fontId="5" type="noConversion"/>
  </si>
  <si>
    <t>hPa</t>
    <phoneticPr fontId="5" type="noConversion"/>
  </si>
  <si>
    <t>kPa</t>
    <phoneticPr fontId="5" type="noConversion"/>
  </si>
  <si>
    <t>MPa</t>
    <phoneticPr fontId="5" type="noConversion"/>
  </si>
  <si>
    <t>교정점 수</t>
    <phoneticPr fontId="5" type="noConversion"/>
  </si>
  <si>
    <r>
      <t>중력가속도(m/s</t>
    </r>
    <r>
      <rPr>
        <b/>
        <vertAlign val="superscript"/>
        <sz val="9"/>
        <color indexed="9"/>
        <rFont val="맑은 고딕"/>
        <family val="3"/>
        <charset val="129"/>
        <scheme val="minor"/>
      </rPr>
      <t>2</t>
    </r>
    <r>
      <rPr>
        <b/>
        <sz val="9"/>
        <color indexed="9"/>
        <rFont val="맑은 고딕"/>
        <family val="3"/>
        <charset val="129"/>
        <scheme val="minor"/>
      </rPr>
      <t>)</t>
    </r>
    <phoneticPr fontId="5" type="noConversion"/>
  </si>
  <si>
    <t>분해능</t>
    <phoneticPr fontId="5" type="noConversion"/>
  </si>
  <si>
    <t>CMC검토</t>
    <phoneticPr fontId="5" type="noConversion"/>
  </si>
  <si>
    <t>측정점 번호</t>
    <phoneticPr fontId="5" type="noConversion"/>
  </si>
  <si>
    <t>사용?</t>
    <phoneticPr fontId="5" type="noConversion"/>
  </si>
  <si>
    <t>수심계 지시값</t>
    <phoneticPr fontId="5" type="noConversion"/>
  </si>
  <si>
    <t>kgf/㎠</t>
    <phoneticPr fontId="5" type="noConversion"/>
  </si>
  <si>
    <t>inHg</t>
    <phoneticPr fontId="5" type="noConversion"/>
  </si>
  <si>
    <t>mmHg</t>
    <phoneticPr fontId="5" type="noConversion"/>
  </si>
  <si>
    <t>mmH2O</t>
    <phoneticPr fontId="5" type="noConversion"/>
  </si>
  <si>
    <t>atm</t>
    <phoneticPr fontId="5" type="noConversion"/>
  </si>
  <si>
    <t>CMC
검토</t>
    <phoneticPr fontId="5" type="noConversion"/>
  </si>
  <si>
    <t>평균값</t>
    <phoneticPr fontId="5" type="noConversion"/>
  </si>
  <si>
    <t>보정값</t>
    <phoneticPr fontId="5" type="noConversion"/>
  </si>
  <si>
    <t>히스테리시스</t>
    <phoneticPr fontId="5" type="noConversion"/>
  </si>
  <si>
    <t>반복도</t>
    <phoneticPr fontId="5" type="noConversion"/>
  </si>
  <si>
    <t>영점</t>
    <phoneticPr fontId="5" type="noConversion"/>
  </si>
  <si>
    <t>합성</t>
    <phoneticPr fontId="5" type="noConversion"/>
  </si>
  <si>
    <t>계산값</t>
    <phoneticPr fontId="5" type="noConversion"/>
  </si>
  <si>
    <t>선택</t>
    <phoneticPr fontId="5" type="noConversion"/>
  </si>
  <si>
    <t>불확도</t>
    <phoneticPr fontId="5" type="noConversion"/>
  </si>
  <si>
    <t>0.000 000 0</t>
    <phoneticPr fontId="5" type="noConversion"/>
  </si>
  <si>
    <t>세부분류번호</t>
    <phoneticPr fontId="5" type="noConversion"/>
  </si>
  <si>
    <t>영문명</t>
    <phoneticPr fontId="5" type="noConversion"/>
  </si>
  <si>
    <t>기준기3</t>
    <phoneticPr fontId="5" type="noConversion"/>
  </si>
  <si>
    <t>20414-0</t>
    <phoneticPr fontId="5" type="noConversion"/>
  </si>
  <si>
    <t>조건1</t>
    <phoneticPr fontId="5" type="noConversion"/>
  </si>
  <si>
    <t>항목</t>
    <phoneticPr fontId="5" type="noConversion"/>
  </si>
  <si>
    <t>측정점수</t>
    <phoneticPr fontId="5" type="noConversion"/>
  </si>
  <si>
    <t>기준수심</t>
    <phoneticPr fontId="5" type="noConversion"/>
  </si>
  <si>
    <t>지시값 평균</t>
    <phoneticPr fontId="5" type="noConversion"/>
  </si>
  <si>
    <t>No.</t>
    <phoneticPr fontId="5" type="noConversion"/>
  </si>
  <si>
    <t>Indication</t>
    <phoneticPr fontId="5" type="noConversion"/>
  </si>
  <si>
    <t>Correction</t>
    <phoneticPr fontId="5" type="noConversion"/>
  </si>
  <si>
    <t>자리수</t>
    <phoneticPr fontId="5" type="noConversion"/>
  </si>
  <si>
    <t>● 교정료 계산</t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</si>
  <si>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</si>
  <si>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3회</t>
    <phoneticPr fontId="5" type="noConversion"/>
  </si>
  <si>
    <t>자유도</t>
    <phoneticPr fontId="5" type="noConversion"/>
  </si>
  <si>
    <t>=</t>
    <phoneticPr fontId="5" type="noConversion"/>
  </si>
  <si>
    <t>Decision</t>
    <phoneticPr fontId="5" type="noConversion"/>
  </si>
  <si>
    <r>
      <rPr>
        <b/>
        <sz val="9"/>
        <color indexed="9"/>
        <rFont val="돋움"/>
        <family val="3"/>
        <charset val="129"/>
      </rPr>
      <t>판정</t>
    </r>
    <phoneticPr fontId="5" type="noConversion"/>
  </si>
  <si>
    <t>사용중지?</t>
  </si>
  <si>
    <t>psi abs.</t>
    <phoneticPr fontId="5" type="noConversion"/>
  </si>
  <si>
    <t>COID</t>
    <phoneticPr fontId="5" type="noConversion"/>
  </si>
  <si>
    <r>
      <t>U+</t>
    </r>
    <r>
      <rPr>
        <sz val="9"/>
        <rFont val="돋움"/>
        <family val="3"/>
        <charset val="129"/>
      </rPr>
      <t>α</t>
    </r>
    <phoneticPr fontId="5" type="noConversion"/>
  </si>
  <si>
    <t>hPa</t>
    <phoneticPr fontId="5" type="noConversion"/>
  </si>
  <si>
    <t>hPa abs.</t>
    <phoneticPr fontId="5" type="noConversion"/>
  </si>
  <si>
    <t>kgf/㎠ abs.</t>
    <phoneticPr fontId="5" type="noConversion"/>
  </si>
  <si>
    <t>fees</t>
    <phoneticPr fontId="5" type="noConversion"/>
  </si>
  <si>
    <t>P/F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</si>
  <si>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</si>
  <si>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 xml:space="preserve"> 성적서발급번호(Certificate No) :</t>
    <phoneticPr fontId="5" type="noConversion"/>
  </si>
  <si>
    <t>● 교정결과</t>
    <phoneticPr fontId="5" type="noConversion"/>
  </si>
  <si>
    <t>Standard Value</t>
    <phoneticPr fontId="5" type="noConversion"/>
  </si>
  <si>
    <t>Unit</t>
    <phoneticPr fontId="5" type="noConversion"/>
  </si>
  <si>
    <t>조정 전</t>
    <phoneticPr fontId="5" type="noConversion"/>
  </si>
  <si>
    <t>조정 후</t>
    <phoneticPr fontId="5" type="noConversion"/>
  </si>
  <si>
    <t>Measurement Uncertainty</t>
    <phoneticPr fontId="5" type="noConversion"/>
  </si>
  <si>
    <t>Measured
Value</t>
    <phoneticPr fontId="5" type="noConversion"/>
  </si>
  <si>
    <t>Correction
Value</t>
    <phoneticPr fontId="5" type="noConversion"/>
  </si>
  <si>
    <t>Pass
/Fail</t>
    <phoneticPr fontId="5" type="noConversion"/>
  </si>
  <si>
    <t>Pass
/Fail</t>
    <phoneticPr fontId="5" type="noConversion"/>
  </si>
  <si>
    <t>Measured
Value</t>
    <phoneticPr fontId="5" type="noConversion"/>
  </si>
  <si>
    <t>Correction
Value</t>
    <phoneticPr fontId="5" type="noConversion"/>
  </si>
  <si>
    <t>MEASURED VALUE (조정후)</t>
    <phoneticPr fontId="5" type="noConversion"/>
  </si>
  <si>
    <t>※ 신뢰수준 약 95 %,</t>
  </si>
  <si>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5" type="noConversion"/>
  </si>
  <si>
    <t>U &amp; r</t>
  </si>
  <si>
    <r>
      <rPr>
        <i/>
        <sz val="9"/>
        <rFont val="맑은 고딕"/>
        <family val="3"/>
        <charset val="129"/>
        <scheme val="minor"/>
      </rPr>
      <t>ρ</t>
    </r>
    <r>
      <rPr>
        <vertAlign val="subscript"/>
        <sz val="9"/>
        <rFont val="맑은 고딕"/>
        <family val="3"/>
        <charset val="129"/>
        <scheme val="minor"/>
      </rPr>
      <t>0</t>
    </r>
    <phoneticPr fontId="5" type="noConversion"/>
  </si>
  <si>
    <t>:</t>
    <phoneticPr fontId="5" type="noConversion"/>
  </si>
  <si>
    <t>물의 초기 밀도 (0 ℃ 일 때 물의 밀도 : 999.8 kg/㎥)</t>
    <phoneticPr fontId="5" type="noConversion"/>
  </si>
  <si>
    <t>β</t>
    <phoneticPr fontId="5" type="noConversion"/>
  </si>
  <si>
    <t>물의 체적 온도 팽창 계수</t>
    <phoneticPr fontId="5" type="noConversion"/>
  </si>
  <si>
    <t>[10 ℃에서 0.000 088 ㎥/(㎥·℃); 0 ℃와 20 ℃의 평균값]</t>
    <phoneticPr fontId="5" type="noConversion"/>
  </si>
  <si>
    <t>0 ℃ 일 때 β = -0.000 038 ㎥/(㎥·℃)</t>
    <phoneticPr fontId="5" type="noConversion"/>
  </si>
  <si>
    <t>20 ℃ 일 때 β = 0.000 214 ㎥/(㎥·℃)</t>
    <phoneticPr fontId="5" type="noConversion"/>
  </si>
  <si>
    <t>E</t>
    <phoneticPr fontId="5" type="noConversion"/>
  </si>
  <si>
    <r>
      <t>물의 체적 탄성률 (2.15×10</t>
    </r>
    <r>
      <rPr>
        <vertAlign val="superscript"/>
        <sz val="9"/>
        <rFont val="맑은 고딕"/>
        <family val="3"/>
        <charset val="129"/>
        <scheme val="minor"/>
      </rPr>
      <t>9</t>
    </r>
    <r>
      <rPr>
        <sz val="9"/>
        <rFont val="맑은 고딕"/>
        <family val="3"/>
        <charset val="129"/>
        <scheme val="minor"/>
      </rPr>
      <t xml:space="preserve"> N/㎡)</t>
    </r>
    <phoneticPr fontId="5" type="noConversion"/>
  </si>
  <si>
    <r>
      <rPr>
        <i/>
        <sz val="9"/>
        <rFont val="맑은 고딕"/>
        <family val="3"/>
        <charset val="129"/>
        <scheme val="minor"/>
      </rPr>
      <t>t</t>
    </r>
    <r>
      <rPr>
        <vertAlign val="subscript"/>
        <sz val="9"/>
        <rFont val="맑은 고딕"/>
        <family val="3"/>
        <charset val="129"/>
        <scheme val="minor"/>
      </rPr>
      <t>1</t>
    </r>
    <phoneticPr fontId="5" type="noConversion"/>
  </si>
  <si>
    <t>:</t>
    <phoneticPr fontId="5" type="noConversion"/>
  </si>
  <si>
    <t>물의 온도 변화</t>
    <phoneticPr fontId="5" type="noConversion"/>
  </si>
  <si>
    <r>
      <rPr>
        <i/>
        <sz val="9"/>
        <rFont val="맑은 고딕"/>
        <family val="3"/>
        <charset val="129"/>
        <scheme val="minor"/>
      </rPr>
      <t>t</t>
    </r>
    <r>
      <rPr>
        <vertAlign val="subscript"/>
        <sz val="9"/>
        <rFont val="맑은 고딕"/>
        <family val="3"/>
        <charset val="129"/>
        <scheme val="minor"/>
      </rPr>
      <t>0</t>
    </r>
    <phoneticPr fontId="5" type="noConversion"/>
  </si>
  <si>
    <t>물의 온도(0 ℃)</t>
    <phoneticPr fontId="5" type="noConversion"/>
  </si>
  <si>
    <r>
      <rPr>
        <i/>
        <sz val="9"/>
        <rFont val="맑은 고딕"/>
        <family val="3"/>
        <charset val="129"/>
        <scheme val="minor"/>
      </rPr>
      <t>p</t>
    </r>
    <r>
      <rPr>
        <vertAlign val="subscript"/>
        <sz val="9"/>
        <rFont val="맑은 고딕"/>
        <family val="3"/>
        <charset val="129"/>
        <scheme val="minor"/>
      </rPr>
      <t>1</t>
    </r>
    <phoneticPr fontId="5" type="noConversion"/>
  </si>
  <si>
    <t>변화한 압력</t>
    <phoneticPr fontId="5" type="noConversion"/>
  </si>
  <si>
    <r>
      <rPr>
        <i/>
        <sz val="9"/>
        <rFont val="맑은 고딕"/>
        <family val="3"/>
        <charset val="129"/>
        <scheme val="minor"/>
      </rPr>
      <t>p</t>
    </r>
    <r>
      <rPr>
        <vertAlign val="subscript"/>
        <sz val="9"/>
        <rFont val="맑은 고딕"/>
        <family val="3"/>
        <charset val="129"/>
        <scheme val="minor"/>
      </rPr>
      <t>0</t>
    </r>
    <phoneticPr fontId="5" type="noConversion"/>
  </si>
  <si>
    <r>
      <t>변화하기 전의 압력(1×10</t>
    </r>
    <r>
      <rPr>
        <vertAlign val="superscript"/>
        <sz val="9"/>
        <rFont val="맑은 고딕"/>
        <family val="3"/>
        <charset val="129"/>
        <scheme val="minor"/>
      </rPr>
      <t>5</t>
    </r>
    <r>
      <rPr>
        <sz val="9"/>
        <rFont val="맑은 고딕"/>
        <family val="3"/>
        <charset val="129"/>
        <scheme val="minor"/>
      </rPr>
      <t xml:space="preserve"> Pa)</t>
    </r>
    <phoneticPr fontId="5" type="noConversion"/>
  </si>
  <si>
    <t>유체정보</t>
    <phoneticPr fontId="5" type="noConversion"/>
  </si>
  <si>
    <t>구분</t>
    <phoneticPr fontId="5" type="noConversion"/>
  </si>
  <si>
    <t>기준온도</t>
    <phoneticPr fontId="5" type="noConversion"/>
  </si>
  <si>
    <t>환산</t>
    <phoneticPr fontId="5" type="noConversion"/>
  </si>
  <si>
    <t>변화한 압력</t>
    <phoneticPr fontId="5" type="noConversion"/>
  </si>
  <si>
    <t>밀도</t>
    <phoneticPr fontId="5" type="noConversion"/>
  </si>
  <si>
    <r>
      <rPr>
        <b/>
        <i/>
        <sz val="9"/>
        <color theme="0"/>
        <rFont val="맑은 고딕"/>
        <family val="3"/>
        <charset val="129"/>
        <scheme val="minor"/>
      </rPr>
      <t>p</t>
    </r>
    <r>
      <rPr>
        <b/>
        <vertAlign val="subscript"/>
        <sz val="9"/>
        <color theme="0"/>
        <rFont val="맑은 고딕"/>
        <family val="3"/>
        <charset val="129"/>
        <scheme val="minor"/>
      </rPr>
      <t>2</t>
    </r>
    <phoneticPr fontId="5" type="noConversion"/>
  </si>
  <si>
    <r>
      <rPr>
        <b/>
        <i/>
        <sz val="9"/>
        <color theme="0"/>
        <rFont val="맑은 고딕"/>
        <family val="3"/>
        <charset val="129"/>
        <scheme val="minor"/>
      </rPr>
      <t>t</t>
    </r>
    <r>
      <rPr>
        <b/>
        <vertAlign val="subscript"/>
        <sz val="9"/>
        <color theme="0"/>
        <rFont val="맑은 고딕"/>
        <family val="3"/>
        <charset val="129"/>
        <scheme val="minor"/>
      </rPr>
      <t>1</t>
    </r>
    <phoneticPr fontId="5" type="noConversion"/>
  </si>
  <si>
    <t>계수</t>
    <phoneticPr fontId="5" type="noConversion"/>
  </si>
  <si>
    <r>
      <t>p</t>
    </r>
    <r>
      <rPr>
        <b/>
        <vertAlign val="subscript"/>
        <sz val="9"/>
        <color theme="0"/>
        <rFont val="맑은 고딕"/>
        <family val="3"/>
        <charset val="129"/>
        <scheme val="minor"/>
      </rPr>
      <t>1</t>
    </r>
    <phoneticPr fontId="5" type="noConversion"/>
  </si>
  <si>
    <t>Δp</t>
    <phoneticPr fontId="5" type="noConversion"/>
  </si>
  <si>
    <t>℃</t>
    <phoneticPr fontId="5" type="noConversion"/>
  </si>
  <si>
    <t>Pa</t>
    <phoneticPr fontId="5" type="noConversion"/>
  </si>
  <si>
    <t>%</t>
    <phoneticPr fontId="5" type="noConversion"/>
  </si>
  <si>
    <t>변화량</t>
    <phoneticPr fontId="5" type="noConversion"/>
  </si>
  <si>
    <t>※ 담수밀도</t>
    <phoneticPr fontId="5" type="noConversion"/>
  </si>
  <si>
    <t>환산계수(Pa)</t>
    <phoneticPr fontId="5" type="noConversion"/>
  </si>
  <si>
    <t>※ 해수밀도</t>
    <phoneticPr fontId="5" type="noConversion"/>
  </si>
  <si>
    <r>
      <rPr>
        <b/>
        <i/>
        <sz val="9"/>
        <color theme="0"/>
        <rFont val="맑은 고딕"/>
        <family val="3"/>
        <charset val="129"/>
        <scheme val="minor"/>
      </rPr>
      <t>p</t>
    </r>
    <r>
      <rPr>
        <b/>
        <vertAlign val="subscript"/>
        <sz val="9"/>
        <color theme="0"/>
        <rFont val="맑은 고딕"/>
        <family val="3"/>
        <charset val="129"/>
        <scheme val="minor"/>
      </rPr>
      <t>2</t>
    </r>
    <phoneticPr fontId="5" type="noConversion"/>
  </si>
  <si>
    <t>kg/m³</t>
    <phoneticPr fontId="5" type="noConversion"/>
  </si>
  <si>
    <t>유체종류</t>
    <phoneticPr fontId="5" type="noConversion"/>
  </si>
  <si>
    <r>
      <t>중력가속도(m/s</t>
    </r>
    <r>
      <rPr>
        <b/>
        <vertAlign val="superscript"/>
        <sz val="9"/>
        <color indexed="9"/>
        <rFont val="맑은 고딕"/>
        <family val="3"/>
        <charset val="129"/>
        <scheme val="minor"/>
      </rPr>
      <t>2</t>
    </r>
    <r>
      <rPr>
        <b/>
        <sz val="9"/>
        <color indexed="9"/>
        <rFont val="맑은 고딕"/>
        <family val="3"/>
        <charset val="129"/>
        <scheme val="minor"/>
      </rPr>
      <t>)</t>
    </r>
    <phoneticPr fontId="5" type="noConversion"/>
  </si>
  <si>
    <t>소수점 자리수</t>
    <phoneticPr fontId="5" type="noConversion"/>
  </si>
  <si>
    <t>HCT</t>
    <phoneticPr fontId="5" type="noConversion"/>
  </si>
  <si>
    <t>U+α</t>
    <phoneticPr fontId="5" type="noConversion"/>
  </si>
  <si>
    <t>1. 교정결과</t>
    <phoneticPr fontId="5" type="noConversion"/>
  </si>
  <si>
    <t>2. 결과계산</t>
    <phoneticPr fontId="5" type="noConversion"/>
  </si>
  <si>
    <t>사용?</t>
    <phoneticPr fontId="5" type="noConversion"/>
  </si>
  <si>
    <t>반복측정?</t>
    <phoneticPr fontId="5" type="noConversion"/>
  </si>
  <si>
    <t>측정점 번호</t>
    <phoneticPr fontId="5" type="noConversion"/>
  </si>
  <si>
    <t>물밀도 (ρ)</t>
    <phoneticPr fontId="5" type="noConversion"/>
  </si>
  <si>
    <t>명목압력</t>
    <phoneticPr fontId="5" type="noConversion"/>
  </si>
  <si>
    <t>명목수심</t>
    <phoneticPr fontId="5" type="noConversion"/>
  </si>
  <si>
    <t>기준압력</t>
    <phoneticPr fontId="5" type="noConversion"/>
  </si>
  <si>
    <t>기준수심</t>
    <phoneticPr fontId="5" type="noConversion"/>
  </si>
  <si>
    <t>수심계 지시값</t>
    <phoneticPr fontId="5" type="noConversion"/>
  </si>
  <si>
    <t>구분</t>
    <phoneticPr fontId="5" type="noConversion"/>
  </si>
  <si>
    <t>측정점 번호</t>
    <phoneticPr fontId="5" type="noConversion"/>
  </si>
  <si>
    <t>수심계 지시값 (영점보정)</t>
    <phoneticPr fontId="5" type="noConversion"/>
  </si>
  <si>
    <t>단위</t>
    <phoneticPr fontId="5" type="noConversion"/>
  </si>
  <si>
    <t>Pa</t>
    <phoneticPr fontId="5" type="noConversion"/>
  </si>
  <si>
    <t>hPa</t>
    <phoneticPr fontId="5" type="noConversion"/>
  </si>
  <si>
    <t>kPa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</si>
  <si>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</si>
  <si>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</si>
  <si>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</si>
  <si>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</si>
  <si>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</si>
  <si>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</si>
  <si>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</si>
  <si>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평균값</t>
    <phoneticPr fontId="5" type="noConversion"/>
  </si>
  <si>
    <t>2회</t>
    <phoneticPr fontId="5" type="noConversion"/>
  </si>
  <si>
    <t>반복성</t>
    <phoneticPr fontId="5" type="noConversion"/>
  </si>
  <si>
    <t>가압</t>
    <phoneticPr fontId="5" type="noConversion"/>
  </si>
  <si>
    <t>mbar</t>
    <phoneticPr fontId="5" type="noConversion"/>
  </si>
  <si>
    <t>bar</t>
    <phoneticPr fontId="5" type="noConversion"/>
  </si>
  <si>
    <t>psi</t>
    <phoneticPr fontId="5" type="noConversion"/>
  </si>
  <si>
    <t>cmHg</t>
    <phoneticPr fontId="5" type="noConversion"/>
  </si>
  <si>
    <t>inH2O</t>
    <phoneticPr fontId="5" type="noConversion"/>
  </si>
  <si>
    <t>cmH2O</t>
    <phoneticPr fontId="5" type="noConversion"/>
  </si>
  <si>
    <t>N/㎠</t>
    <phoneticPr fontId="5" type="noConversion"/>
  </si>
  <si>
    <t>Pa abs.</t>
    <phoneticPr fontId="5" type="noConversion"/>
  </si>
  <si>
    <t>감압</t>
    <phoneticPr fontId="5" type="noConversion"/>
  </si>
  <si>
    <t>hPa abs.</t>
    <phoneticPr fontId="5" type="noConversion"/>
  </si>
  <si>
    <t>kPa abs.</t>
    <phoneticPr fontId="5" type="noConversion"/>
  </si>
  <si>
    <t>mbar abs.</t>
    <phoneticPr fontId="5" type="noConversion"/>
  </si>
  <si>
    <t>bar abs.</t>
    <phoneticPr fontId="5" type="noConversion"/>
  </si>
  <si>
    <t>psi abs.</t>
    <phoneticPr fontId="5" type="noConversion"/>
  </si>
  <si>
    <t>kgf/㎠ abs.</t>
    <phoneticPr fontId="5" type="noConversion"/>
  </si>
  <si>
    <t>atm</t>
    <phoneticPr fontId="5" type="noConversion"/>
  </si>
  <si>
    <t>2. 불확도계산</t>
    <phoneticPr fontId="5" type="noConversion"/>
  </si>
  <si>
    <t>측정점번호</t>
    <phoneticPr fontId="5" type="noConversion"/>
  </si>
  <si>
    <t>표준기</t>
    <phoneticPr fontId="5" type="noConversion"/>
  </si>
  <si>
    <t>수심계 특성</t>
    <phoneticPr fontId="5" type="noConversion"/>
  </si>
  <si>
    <r>
      <t>수심계 불확도 성분의 표준불확도 (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=1)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</si>
  <si>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</si>
  <si>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t>포함인자</t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</si>
  <si>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</si>
  <si>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</si>
  <si>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명목압력</t>
    <phoneticPr fontId="5" type="noConversion"/>
  </si>
  <si>
    <t>명목수심</t>
    <phoneticPr fontId="5" type="noConversion"/>
  </si>
  <si>
    <t>기준압력</t>
    <phoneticPr fontId="5" type="noConversion"/>
  </si>
  <si>
    <t>기준수심</t>
    <phoneticPr fontId="5" type="noConversion"/>
  </si>
  <si>
    <r>
      <t xml:space="preserve">측정불확도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</si>
  <si>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중력가속도</t>
    <phoneticPr fontId="5" type="noConversion"/>
  </si>
  <si>
    <t>분해능</t>
    <phoneticPr fontId="5" type="noConversion"/>
  </si>
  <si>
    <t>평균값</t>
    <phoneticPr fontId="5" type="noConversion"/>
  </si>
  <si>
    <t>보정값</t>
    <phoneticPr fontId="5" type="noConversion"/>
  </si>
  <si>
    <t>반복도</t>
    <phoneticPr fontId="5" type="noConversion"/>
  </si>
  <si>
    <t>히스테리시스</t>
    <phoneticPr fontId="5" type="noConversion"/>
  </si>
  <si>
    <t>합성</t>
    <phoneticPr fontId="5" type="noConversion"/>
  </si>
  <si>
    <t>자유도</t>
    <phoneticPr fontId="5" type="noConversion"/>
  </si>
  <si>
    <t>분해능</t>
    <phoneticPr fontId="5" type="noConversion"/>
  </si>
  <si>
    <t>영점</t>
    <phoneticPr fontId="5" type="noConversion"/>
  </si>
  <si>
    <t>계산값</t>
    <phoneticPr fontId="5" type="noConversion"/>
  </si>
  <si>
    <t>CMC</t>
    <phoneticPr fontId="5" type="noConversion"/>
  </si>
  <si>
    <t>선택</t>
    <phoneticPr fontId="5" type="noConversion"/>
  </si>
  <si>
    <t>5%rule?</t>
    <phoneticPr fontId="5" type="noConversion"/>
  </si>
  <si>
    <t>자리수맞춤</t>
    <phoneticPr fontId="5" type="noConversion"/>
  </si>
  <si>
    <r>
      <t>m/s</t>
    </r>
    <r>
      <rPr>
        <b/>
        <vertAlign val="superscript"/>
        <sz val="9"/>
        <color indexed="9"/>
        <rFont val="맑은 고딕"/>
        <family val="3"/>
        <charset val="129"/>
        <scheme val="minor"/>
      </rPr>
      <t>2</t>
    </r>
    <phoneticPr fontId="5" type="noConversion"/>
  </si>
  <si>
    <t>3. 성적서용</t>
    <phoneticPr fontId="5" type="noConversion"/>
  </si>
  <si>
    <t>4. 합불판정</t>
    <phoneticPr fontId="5" type="noConversion"/>
  </si>
  <si>
    <t>교정대상기기(수심계)</t>
    <phoneticPr fontId="5" type="noConversion"/>
  </si>
  <si>
    <t>Spec</t>
    <phoneticPr fontId="5" type="noConversion"/>
  </si>
  <si>
    <r>
      <rPr>
        <b/>
        <sz val="9"/>
        <color indexed="9"/>
        <rFont val="돋움"/>
        <family val="3"/>
        <charset val="129"/>
      </rPr>
      <t>판정</t>
    </r>
    <phoneticPr fontId="5" type="noConversion"/>
  </si>
  <si>
    <t>소수점</t>
    <phoneticPr fontId="5" type="noConversion"/>
  </si>
  <si>
    <t>Number Format</t>
    <phoneticPr fontId="5" type="noConversion"/>
  </si>
  <si>
    <t>값</t>
    <phoneticPr fontId="5" type="noConversion"/>
  </si>
  <si>
    <t>Number</t>
    <phoneticPr fontId="5" type="noConversion"/>
  </si>
  <si>
    <t>자유도</t>
  </si>
  <si>
    <t>신뢰수준(%)</t>
    <phoneticPr fontId="5" type="noConversion"/>
  </si>
  <si>
    <t>지시값 평균</t>
    <phoneticPr fontId="5" type="noConversion"/>
  </si>
  <si>
    <t>측정불확도</t>
    <phoneticPr fontId="5" type="noConversion"/>
  </si>
  <si>
    <t>하한</t>
    <phoneticPr fontId="5" type="noConversion"/>
  </si>
  <si>
    <t>상한</t>
    <phoneticPr fontId="5" type="noConversion"/>
  </si>
  <si>
    <t>범위</t>
    <phoneticPr fontId="5" type="noConversion"/>
  </si>
  <si>
    <t>자리수</t>
    <phoneticPr fontId="5" type="noConversion"/>
  </si>
  <si>
    <t>수심</t>
    <phoneticPr fontId="5" type="noConversion"/>
  </si>
  <si>
    <t>불확도</t>
    <phoneticPr fontId="5" type="noConversion"/>
  </si>
  <si>
    <t>0.000 000 0</t>
    <phoneticPr fontId="5" type="noConversion"/>
  </si>
  <si>
    <t>0.000 000</t>
    <phoneticPr fontId="5" type="noConversion"/>
  </si>
  <si>
    <t>0.000 00</t>
    <phoneticPr fontId="5" type="noConversion"/>
  </si>
  <si>
    <t>0.000 0</t>
    <phoneticPr fontId="5" type="noConversion"/>
  </si>
  <si>
    <t>0.000</t>
    <phoneticPr fontId="5" type="noConversion"/>
  </si>
  <si>
    <t>0.00</t>
    <phoneticPr fontId="5" type="noConversion"/>
  </si>
  <si>
    <t>0.0</t>
    <phoneticPr fontId="5" type="noConversion"/>
  </si>
  <si>
    <t>∞</t>
  </si>
  <si>
    <t>4. 기타정보</t>
    <phoneticPr fontId="5" type="noConversion"/>
  </si>
  <si>
    <t>선형보정계수</t>
    <phoneticPr fontId="5" type="noConversion"/>
  </si>
  <si>
    <t>a</t>
    <phoneticPr fontId="68" type="noConversion"/>
  </si>
  <si>
    <t>b</t>
    <phoneticPr fontId="68" type="noConversion"/>
  </si>
  <si>
    <t>세부분류번호</t>
    <phoneticPr fontId="5" type="noConversion"/>
  </si>
  <si>
    <t>측정기명</t>
    <phoneticPr fontId="5" type="noConversion"/>
  </si>
  <si>
    <t>영문명</t>
    <phoneticPr fontId="5" type="noConversion"/>
  </si>
  <si>
    <t>기준기1</t>
    <phoneticPr fontId="5" type="noConversion"/>
  </si>
  <si>
    <t>기준기2</t>
    <phoneticPr fontId="5" type="noConversion"/>
  </si>
  <si>
    <t>기준기3</t>
    <phoneticPr fontId="5" type="noConversion"/>
  </si>
  <si>
    <t>세부분류번호</t>
    <phoneticPr fontId="5" type="noConversion"/>
  </si>
  <si>
    <t>영문명</t>
    <phoneticPr fontId="5" type="noConversion"/>
  </si>
  <si>
    <t>기준기1</t>
    <phoneticPr fontId="5" type="noConversion"/>
  </si>
  <si>
    <t>기준기2</t>
    <phoneticPr fontId="5" type="noConversion"/>
  </si>
  <si>
    <t>기준기3</t>
    <phoneticPr fontId="5" type="noConversion"/>
  </si>
  <si>
    <t>20414-0</t>
    <phoneticPr fontId="5" type="noConversion"/>
  </si>
  <si>
    <t>수심계</t>
    <phoneticPr fontId="5" type="noConversion"/>
  </si>
  <si>
    <t>Water Depth meter</t>
    <phoneticPr fontId="5" type="noConversion"/>
  </si>
  <si>
    <t>Pressure Calibrator(+)</t>
    <phoneticPr fontId="5" type="noConversion"/>
  </si>
  <si>
    <t>● 교정료 계산</t>
    <phoneticPr fontId="5" type="noConversion"/>
  </si>
  <si>
    <t>조건1</t>
    <phoneticPr fontId="5" type="noConversion"/>
  </si>
  <si>
    <t>조건2</t>
    <phoneticPr fontId="5" type="noConversion"/>
  </si>
  <si>
    <t>조건3</t>
    <phoneticPr fontId="5" type="noConversion"/>
  </si>
  <si>
    <t>기본수수료</t>
    <phoneticPr fontId="5" type="noConversion"/>
  </si>
  <si>
    <t>추가수수료</t>
    <phoneticPr fontId="5" type="noConversion"/>
  </si>
  <si>
    <t>항목</t>
    <phoneticPr fontId="5" type="noConversion"/>
  </si>
  <si>
    <t>측정점수</t>
    <phoneticPr fontId="5" type="noConversion"/>
  </si>
  <si>
    <t>교정여부</t>
    <phoneticPr fontId="5" type="noConversion"/>
  </si>
  <si>
    <t>추가측정점수</t>
    <phoneticPr fontId="5" type="noConversion"/>
  </si>
  <si>
    <t>교정점 추가분</t>
    <phoneticPr fontId="5" type="noConversion"/>
  </si>
  <si>
    <t>소계</t>
    <phoneticPr fontId="5" type="noConversion"/>
  </si>
  <si>
    <t>합계</t>
    <phoneticPr fontId="5" type="noConversion"/>
  </si>
  <si>
    <t>표준, 종합교정시 실비</t>
    <phoneticPr fontId="5" type="noConversion"/>
  </si>
  <si>
    <t>Range 1</t>
    <phoneticPr fontId="5" type="noConversion"/>
  </si>
  <si>
    <t>※ 교정점 16 Point(가압, 감압 교정+반복측정) 를 1 Range로 간주하였음.</t>
    <phoneticPr fontId="5" type="noConversion"/>
  </si>
  <si>
    <t>교정포인트를 늘려달라는 업체 요구가 증가 함에 따라, 교정점 추가분을 적용하였음.</t>
    <phoneticPr fontId="5" type="noConversion"/>
  </si>
  <si>
    <t>기본교정시 최소 측정점이 16점이므로 측정점이 16점 이상 발생시 측정점수당 기본수수료의 6.25 % 추가함.</t>
    <phoneticPr fontId="5" type="noConversion"/>
  </si>
  <si>
    <t>기본, 표준교정시 교정점 1 Point 추가시 측정점수가 2점 증가하며 종합교정시 측정점수가 6점 증가함.</t>
    <phoneticPr fontId="5" type="noConversion"/>
  </si>
  <si>
    <t>표준, 종합 교정시 실비 이므로 위와 같이 계산해도 무방할것으로 보임.</t>
    <phoneticPr fontId="5" type="noConversion"/>
  </si>
  <si>
    <t>○ 교정정보</t>
    <phoneticPr fontId="5" type="noConversion"/>
  </si>
  <si>
    <t>교정점 수</t>
    <phoneticPr fontId="5" type="noConversion"/>
  </si>
  <si>
    <t>수심단위</t>
    <phoneticPr fontId="5" type="noConversion"/>
  </si>
  <si>
    <t>분해능</t>
    <phoneticPr fontId="5" type="noConversion"/>
  </si>
  <si>
    <t>N.F</t>
    <phoneticPr fontId="5" type="noConversion"/>
  </si>
  <si>
    <t>환산계수(Pa)</t>
    <phoneticPr fontId="5" type="noConversion"/>
  </si>
  <si>
    <t>CMC검토</t>
    <phoneticPr fontId="5" type="noConversion"/>
  </si>
  <si>
    <t>HCT</t>
    <phoneticPr fontId="5" type="noConversion"/>
  </si>
  <si>
    <t>U+α</t>
    <phoneticPr fontId="5" type="noConversion"/>
  </si>
  <si>
    <t>1. 교정결과</t>
    <phoneticPr fontId="5" type="noConversion"/>
  </si>
  <si>
    <t>2. 결과계산</t>
    <phoneticPr fontId="5" type="noConversion"/>
  </si>
  <si>
    <t>반복측정?</t>
    <phoneticPr fontId="5" type="noConversion"/>
  </si>
  <si>
    <t>측정점 번호</t>
    <phoneticPr fontId="5" type="noConversion"/>
  </si>
  <si>
    <t>물밀도 (ρ)</t>
    <phoneticPr fontId="5" type="noConversion"/>
  </si>
  <si>
    <t>명목수심</t>
    <phoneticPr fontId="5" type="noConversion"/>
  </si>
  <si>
    <t>명목수심</t>
    <phoneticPr fontId="5" type="noConversion"/>
  </si>
  <si>
    <t>구분</t>
    <phoneticPr fontId="5" type="noConversion"/>
  </si>
  <si>
    <t>수심계 지시값 (영점보정)</t>
    <phoneticPr fontId="5" type="noConversion"/>
  </si>
  <si>
    <t>단위</t>
    <phoneticPr fontId="5" type="noConversion"/>
  </si>
  <si>
    <t>Pa</t>
    <phoneticPr fontId="5" type="noConversion"/>
  </si>
  <si>
    <t>hPa</t>
    <phoneticPr fontId="5" type="noConversion"/>
  </si>
  <si>
    <t>kPa</t>
    <phoneticPr fontId="5" type="noConversion"/>
  </si>
  <si>
    <t>MPa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</si>
  <si>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</si>
  <si>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</si>
  <si>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</si>
  <si>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</si>
  <si>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</si>
  <si>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</si>
  <si>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</si>
  <si>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평균값</t>
    <phoneticPr fontId="5" type="noConversion"/>
  </si>
  <si>
    <t>반복성</t>
    <phoneticPr fontId="5" type="noConversion"/>
  </si>
  <si>
    <t>kg/㎥</t>
    <phoneticPr fontId="5" type="noConversion"/>
  </si>
  <si>
    <t>hPa</t>
    <phoneticPr fontId="5" type="noConversion"/>
  </si>
  <si>
    <t>kPa</t>
    <phoneticPr fontId="5" type="noConversion"/>
  </si>
  <si>
    <t>MPa</t>
    <phoneticPr fontId="5" type="noConversion"/>
  </si>
  <si>
    <t>mbar</t>
    <phoneticPr fontId="5" type="noConversion"/>
  </si>
  <si>
    <t>bar</t>
    <phoneticPr fontId="5" type="noConversion"/>
  </si>
  <si>
    <t>psi</t>
    <phoneticPr fontId="5" type="noConversion"/>
  </si>
  <si>
    <t>inHg</t>
    <phoneticPr fontId="5" type="noConversion"/>
  </si>
  <si>
    <t>mmHg</t>
    <phoneticPr fontId="5" type="noConversion"/>
  </si>
  <si>
    <t>cmHg</t>
    <phoneticPr fontId="5" type="noConversion"/>
  </si>
  <si>
    <t>mmH2O</t>
    <phoneticPr fontId="5" type="noConversion"/>
  </si>
  <si>
    <t>N/㎠</t>
    <phoneticPr fontId="5" type="noConversion"/>
  </si>
  <si>
    <t>kPa abs.</t>
    <phoneticPr fontId="5" type="noConversion"/>
  </si>
  <si>
    <t>MPa abs.</t>
    <phoneticPr fontId="5" type="noConversion"/>
  </si>
  <si>
    <t>bar abs.</t>
    <phoneticPr fontId="5" type="noConversion"/>
  </si>
  <si>
    <r>
      <t>수심계 불확도 성분의 표준불확도 (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=1)</t>
    </r>
    <phoneticPr fontId="5" type="noConversion"/>
  </si>
  <si>
    <t>명목압력</t>
    <phoneticPr fontId="5" type="noConversion"/>
  </si>
  <si>
    <r>
      <t xml:space="preserve">측정불확도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</si>
  <si>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반복도</t>
    <phoneticPr fontId="5" type="noConversion"/>
  </si>
  <si>
    <t>히스테리시스</t>
    <phoneticPr fontId="5" type="noConversion"/>
  </si>
  <si>
    <t>CMC</t>
    <phoneticPr fontId="5" type="noConversion"/>
  </si>
  <si>
    <t>5%rule?</t>
    <phoneticPr fontId="5" type="noConversion"/>
  </si>
  <si>
    <r>
      <t>m/s</t>
    </r>
    <r>
      <rPr>
        <b/>
        <vertAlign val="superscript"/>
        <sz val="9"/>
        <color indexed="9"/>
        <rFont val="맑은 고딕"/>
        <family val="3"/>
        <charset val="129"/>
        <scheme val="minor"/>
      </rPr>
      <t>2</t>
    </r>
    <phoneticPr fontId="5" type="noConversion"/>
  </si>
  <si>
    <t>3. 성적서용</t>
    <phoneticPr fontId="5" type="noConversion"/>
  </si>
  <si>
    <t>측정점번호</t>
    <phoneticPr fontId="5" type="noConversion"/>
  </si>
  <si>
    <t>기준수심</t>
    <phoneticPr fontId="5" type="noConversion"/>
  </si>
  <si>
    <t>교정대상기기(수심계)</t>
    <phoneticPr fontId="5" type="noConversion"/>
  </si>
  <si>
    <t>소수점</t>
    <phoneticPr fontId="5" type="noConversion"/>
  </si>
  <si>
    <t>Number Format</t>
    <phoneticPr fontId="5" type="noConversion"/>
  </si>
  <si>
    <t>값</t>
    <phoneticPr fontId="5" type="noConversion"/>
  </si>
  <si>
    <t>Number</t>
    <phoneticPr fontId="5" type="noConversion"/>
  </si>
  <si>
    <t>소수점</t>
    <phoneticPr fontId="5" type="noConversion"/>
  </si>
  <si>
    <t>값</t>
    <phoneticPr fontId="5" type="noConversion"/>
  </si>
  <si>
    <t>신뢰수준(%)</t>
    <phoneticPr fontId="5" type="noConversion"/>
  </si>
  <si>
    <t>지시값 평균</t>
    <phoneticPr fontId="5" type="noConversion"/>
  </si>
  <si>
    <t>보정값</t>
    <phoneticPr fontId="5" type="noConversion"/>
  </si>
  <si>
    <t>측정불확도</t>
    <phoneticPr fontId="5" type="noConversion"/>
  </si>
  <si>
    <t>하한</t>
    <phoneticPr fontId="5" type="noConversion"/>
  </si>
  <si>
    <t>상한</t>
    <phoneticPr fontId="5" type="noConversion"/>
  </si>
  <si>
    <t>범위</t>
    <phoneticPr fontId="5" type="noConversion"/>
  </si>
  <si>
    <t>0.000 00</t>
    <phoneticPr fontId="5" type="noConversion"/>
  </si>
  <si>
    <t>0.000 0</t>
    <phoneticPr fontId="5" type="noConversion"/>
  </si>
  <si>
    <t>0.000</t>
    <phoneticPr fontId="5" type="noConversion"/>
  </si>
  <si>
    <t>0.00</t>
    <phoneticPr fontId="5" type="noConversion"/>
  </si>
  <si>
    <t>0.0</t>
    <phoneticPr fontId="5" type="noConversion"/>
  </si>
  <si>
    <t>4. 기타정보</t>
    <phoneticPr fontId="5" type="noConversion"/>
  </si>
  <si>
    <t>선형보정계수</t>
    <phoneticPr fontId="5" type="noConversion"/>
  </si>
  <si>
    <t>a</t>
    <phoneticPr fontId="68" type="noConversion"/>
  </si>
  <si>
    <t>b</t>
    <phoneticPr fontId="68" type="noConversion"/>
  </si>
  <si>
    <t>세부분류번호</t>
    <phoneticPr fontId="5" type="noConversion"/>
  </si>
  <si>
    <t>측정기명</t>
    <phoneticPr fontId="5" type="noConversion"/>
  </si>
  <si>
    <t>영문명</t>
    <phoneticPr fontId="5" type="noConversion"/>
  </si>
  <si>
    <t>기준기1</t>
    <phoneticPr fontId="5" type="noConversion"/>
  </si>
  <si>
    <t>기준기2</t>
    <phoneticPr fontId="5" type="noConversion"/>
  </si>
  <si>
    <t>기준기3</t>
    <phoneticPr fontId="5" type="noConversion"/>
  </si>
  <si>
    <t>수심계</t>
    <phoneticPr fontId="5" type="noConversion"/>
  </si>
  <si>
    <t>Water Depth meter</t>
    <phoneticPr fontId="5" type="noConversion"/>
  </si>
  <si>
    <t>Pressure Calibrator(+)</t>
    <phoneticPr fontId="5" type="noConversion"/>
  </si>
  <si>
    <t>조건2</t>
    <phoneticPr fontId="5" type="noConversion"/>
  </si>
  <si>
    <t>조건3</t>
    <phoneticPr fontId="5" type="noConversion"/>
  </si>
  <si>
    <t>기본수수료</t>
    <phoneticPr fontId="5" type="noConversion"/>
  </si>
  <si>
    <t>추가수수료</t>
    <phoneticPr fontId="5" type="noConversion"/>
  </si>
  <si>
    <t>교정여부</t>
    <phoneticPr fontId="5" type="noConversion"/>
  </si>
  <si>
    <t>추가측정점수</t>
    <phoneticPr fontId="5" type="noConversion"/>
  </si>
  <si>
    <t>기본수수료</t>
    <phoneticPr fontId="5" type="noConversion"/>
  </si>
  <si>
    <t>교정점 추가분</t>
    <phoneticPr fontId="5" type="noConversion"/>
  </si>
  <si>
    <t>소계</t>
    <phoneticPr fontId="5" type="noConversion"/>
  </si>
  <si>
    <t>합계</t>
    <phoneticPr fontId="5" type="noConversion"/>
  </si>
  <si>
    <t>20414-0</t>
    <phoneticPr fontId="5" type="noConversion"/>
  </si>
  <si>
    <t>표준, 종합교정시 실비</t>
    <phoneticPr fontId="5" type="noConversion"/>
  </si>
  <si>
    <t>Range 1</t>
    <phoneticPr fontId="5" type="noConversion"/>
  </si>
  <si>
    <t>※ 교정점 16 Point(가압, 감압 교정+반복측정) 를 1 Range로 간주하였음.</t>
    <phoneticPr fontId="5" type="noConversion"/>
  </si>
  <si>
    <t>교정포인트를 늘려달라는 업체 요구가 증가 함에 따라, 교정점 추가분을 적용하였음.</t>
    <phoneticPr fontId="5" type="noConversion"/>
  </si>
  <si>
    <t>기본교정시 최소 측정점이 16점이므로 측정점이 16점 이상 발생시 측정점수당 기본수수료의 6.25 % 추가함.</t>
    <phoneticPr fontId="5" type="noConversion"/>
  </si>
  <si>
    <t>○ 교정정보</t>
    <phoneticPr fontId="5" type="noConversion"/>
  </si>
  <si>
    <t>측정불확도</t>
    <phoneticPr fontId="5" type="noConversion"/>
  </si>
  <si>
    <t>유효자유도</t>
    <phoneticPr fontId="5" type="noConversion"/>
  </si>
  <si>
    <t>◇ 신뢰수준 약 95 %,</t>
    <phoneticPr fontId="5" type="noConversion"/>
  </si>
  <si>
    <t>◇ Confidence level about 95 %,</t>
    <phoneticPr fontId="5" type="noConversion"/>
  </si>
  <si>
    <t>Measurement
Uncertainty</t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</si>
  <si>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r>
      <rPr>
        <b/>
        <sz val="9"/>
        <rFont val="Tahoma"/>
        <family val="2"/>
      </rPr>
      <t xml:space="preserve">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</si>
  <si>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t>기준깊이</t>
    <phoneticPr fontId="5" type="noConversion"/>
  </si>
  <si>
    <t>계산용</t>
    <phoneticPr fontId="5" type="noConversion"/>
  </si>
  <si>
    <t>계산용</t>
    <phoneticPr fontId="5" type="noConversion"/>
  </si>
  <si>
    <t>기준 깊이</t>
    <phoneticPr fontId="5" type="noConversion"/>
  </si>
  <si>
    <t>기준 압력</t>
    <phoneticPr fontId="5" type="noConversion"/>
  </si>
  <si>
    <t>표준기</t>
    <phoneticPr fontId="5" type="noConversion"/>
  </si>
  <si>
    <t>Standard</t>
    <phoneticPr fontId="5" type="noConversion"/>
  </si>
  <si>
    <t>Reference
Pressure</t>
    <phoneticPr fontId="5" type="noConversion"/>
  </si>
  <si>
    <t>Reference
depth</t>
    <phoneticPr fontId="5" type="noConversion"/>
  </si>
  <si>
    <r>
      <t>표준불확도 (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=1)</t>
    </r>
    <phoneticPr fontId="5" type="noConversion"/>
  </si>
  <si>
    <t>중력가속도</t>
    <phoneticPr fontId="5" type="noConversion"/>
  </si>
  <si>
    <t>합성</t>
    <phoneticPr fontId="5" type="noConversion"/>
  </si>
  <si>
    <t>감도계수</t>
    <phoneticPr fontId="5" type="noConversion"/>
  </si>
  <si>
    <t>표준불확도</t>
    <phoneticPr fontId="5" type="noConversion"/>
  </si>
  <si>
    <t>감도계수</t>
    <phoneticPr fontId="5" type="noConversion"/>
  </si>
  <si>
    <t>표준불확도</t>
    <phoneticPr fontId="5" type="noConversion"/>
  </si>
  <si>
    <r>
      <t>m</t>
    </r>
    <r>
      <rPr>
        <b/>
        <vertAlign val="superscript"/>
        <sz val="9"/>
        <color indexed="9"/>
        <rFont val="맑은 고딕"/>
        <family val="3"/>
        <charset val="129"/>
        <scheme val="minor"/>
      </rPr>
      <t>2</t>
    </r>
    <r>
      <rPr>
        <b/>
        <sz val="9"/>
        <color indexed="9"/>
        <rFont val="맑은 고딕"/>
        <family val="3"/>
        <charset val="129"/>
        <scheme val="minor"/>
      </rPr>
      <t>·s</t>
    </r>
    <r>
      <rPr>
        <b/>
        <vertAlign val="superscript"/>
        <sz val="9"/>
        <color indexed="9"/>
        <rFont val="맑은 고딕"/>
        <family val="3"/>
        <charset val="129"/>
        <scheme val="minor"/>
      </rPr>
      <t>2</t>
    </r>
    <r>
      <rPr>
        <b/>
        <sz val="9"/>
        <color indexed="9"/>
        <rFont val="맑은 고딕"/>
        <family val="3"/>
        <charset val="129"/>
        <scheme val="minor"/>
      </rPr>
      <t>/kg</t>
    </r>
    <phoneticPr fontId="5" type="noConversion"/>
  </si>
  <si>
    <r>
      <t>m</t>
    </r>
    <r>
      <rPr>
        <b/>
        <vertAlign val="superscript"/>
        <sz val="9"/>
        <color indexed="9"/>
        <rFont val="맑은 고딕"/>
        <family val="3"/>
        <charset val="129"/>
        <scheme val="minor"/>
      </rPr>
      <t>4</t>
    </r>
    <r>
      <rPr>
        <b/>
        <sz val="9"/>
        <color indexed="9"/>
        <rFont val="맑은 고딕"/>
        <family val="3"/>
        <charset val="129"/>
        <scheme val="minor"/>
      </rPr>
      <t>/kg</t>
    </r>
    <phoneticPr fontId="5" type="noConversion"/>
  </si>
  <si>
    <r>
      <t>s</t>
    </r>
    <r>
      <rPr>
        <b/>
        <vertAlign val="superscript"/>
        <sz val="9"/>
        <color indexed="9"/>
        <rFont val="맑은 고딕"/>
        <family val="3"/>
        <charset val="129"/>
        <scheme val="minor"/>
      </rPr>
      <t>2</t>
    </r>
    <phoneticPr fontId="5" type="noConversion"/>
  </si>
  <si>
    <r>
      <t>m/s</t>
    </r>
    <r>
      <rPr>
        <b/>
        <vertAlign val="superscript"/>
        <sz val="9"/>
        <color indexed="9"/>
        <rFont val="맑은 고딕"/>
        <family val="3"/>
        <charset val="129"/>
        <scheme val="minor"/>
      </rPr>
      <t>2</t>
    </r>
    <phoneticPr fontId="5" type="noConversion"/>
  </si>
  <si>
    <t>m</t>
    <phoneticPr fontId="5" type="noConversion"/>
  </si>
  <si>
    <r>
      <t>표준불확도 (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=1)</t>
    </r>
    <phoneticPr fontId="5" type="noConversion"/>
  </si>
  <si>
    <r>
      <t>s</t>
    </r>
    <r>
      <rPr>
        <b/>
        <vertAlign val="superscript"/>
        <sz val="9"/>
        <color indexed="9"/>
        <rFont val="맑은 고딕"/>
        <family val="3"/>
        <charset val="129"/>
        <scheme val="minor"/>
      </rPr>
      <t>2</t>
    </r>
    <phoneticPr fontId="5" type="noConversion"/>
  </si>
  <si>
    <t>Pa</t>
    <phoneticPr fontId="5" type="noConversion"/>
  </si>
  <si>
    <t>Pa</t>
    <phoneticPr fontId="5" type="noConversion"/>
  </si>
  <si>
    <t>◆ 측정불확도 추정보고서 ◆</t>
    <phoneticPr fontId="5" type="noConversion"/>
  </si>
  <si>
    <t>■ 측정기본정보</t>
    <phoneticPr fontId="5" type="noConversion"/>
  </si>
  <si>
    <t>■ 측정기본정보</t>
    <phoneticPr fontId="5" type="noConversion"/>
  </si>
  <si>
    <t>교정점</t>
    <phoneticPr fontId="5" type="noConversion"/>
  </si>
  <si>
    <t>교정점</t>
    <phoneticPr fontId="5" type="noConversion"/>
  </si>
  <si>
    <t>단위</t>
    <phoneticPr fontId="5" type="noConversion"/>
  </si>
  <si>
    <t>측정불확도</t>
    <phoneticPr fontId="5" type="noConversion"/>
  </si>
  <si>
    <t>k</t>
    <phoneticPr fontId="5" type="noConversion"/>
  </si>
  <si>
    <t>번호</t>
    <phoneticPr fontId="5" type="noConversion"/>
  </si>
  <si>
    <t>측정점수</t>
    <phoneticPr fontId="5" type="noConversion"/>
  </si>
  <si>
    <t>■ 반복측정 결과</t>
    <phoneticPr fontId="5" type="noConversion"/>
  </si>
  <si>
    <t>측정점 번호</t>
    <phoneticPr fontId="5" type="noConversion"/>
  </si>
  <si>
    <t>표준기</t>
    <phoneticPr fontId="5" type="noConversion"/>
  </si>
  <si>
    <t>수심계 깊이 지시값</t>
    <phoneticPr fontId="5" type="noConversion"/>
  </si>
  <si>
    <t>수심계 깊이 지시값</t>
    <phoneticPr fontId="5" type="noConversion"/>
  </si>
  <si>
    <t>기준 압력</t>
    <phoneticPr fontId="5" type="noConversion"/>
  </si>
  <si>
    <t>기준 깊이</t>
    <phoneticPr fontId="5" type="noConversion"/>
  </si>
  <si>
    <t>1회</t>
    <phoneticPr fontId="5" type="noConversion"/>
  </si>
  <si>
    <t>2회</t>
    <phoneticPr fontId="5" type="noConversion"/>
  </si>
  <si>
    <t>평균값</t>
    <phoneticPr fontId="5" type="noConversion"/>
  </si>
  <si>
    <t>■ 반복도 및 영점 조정</t>
    <phoneticPr fontId="5" type="noConversion"/>
  </si>
  <si>
    <t>■ 반복도 및 영점 조정</t>
    <phoneticPr fontId="5" type="noConversion"/>
  </si>
  <si>
    <t>측정점 번호</t>
    <phoneticPr fontId="5" type="noConversion"/>
  </si>
  <si>
    <t>표준기</t>
    <phoneticPr fontId="5" type="noConversion"/>
  </si>
  <si>
    <t>수심계 (영점 보정)</t>
    <phoneticPr fontId="5" type="noConversion"/>
  </si>
  <si>
    <r>
      <t xml:space="preserve">기준 압력
</t>
    </r>
    <r>
      <rPr>
        <i/>
        <sz val="9"/>
        <rFont val="Times New Roman"/>
        <family val="1"/>
      </rPr>
      <t>p</t>
    </r>
    <r>
      <rPr>
        <i/>
        <vertAlign val="subscript"/>
        <sz val="9"/>
        <rFont val="Times New Roman"/>
        <family val="1"/>
      </rPr>
      <t>s</t>
    </r>
    <phoneticPr fontId="5" type="noConversion"/>
  </si>
  <si>
    <r>
      <t xml:space="preserve">기준 압력
</t>
    </r>
    <r>
      <rPr>
        <i/>
        <sz val="9"/>
        <rFont val="Times New Roman"/>
        <family val="1"/>
      </rPr>
      <t>p</t>
    </r>
    <r>
      <rPr>
        <i/>
        <vertAlign val="subscript"/>
        <sz val="9"/>
        <rFont val="Times New Roman"/>
        <family val="1"/>
      </rPr>
      <t>s</t>
    </r>
    <phoneticPr fontId="5" type="noConversion"/>
  </si>
  <si>
    <r>
      <t xml:space="preserve">기준 깊이
</t>
    </r>
    <r>
      <rPr>
        <i/>
        <sz val="9"/>
        <rFont val="Times New Roman"/>
        <family val="1"/>
      </rPr>
      <t>h</t>
    </r>
    <r>
      <rPr>
        <i/>
        <vertAlign val="subscript"/>
        <sz val="9"/>
        <rFont val="Times New Roman"/>
        <family val="1"/>
      </rPr>
      <t>s</t>
    </r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</si>
  <si>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</si>
  <si>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</si>
  <si>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</si>
  <si>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반복도</t>
    <phoneticPr fontId="5" type="noConversion"/>
  </si>
  <si>
    <t>■ 수심계의 깊이 지시값에 대한 평균 압력과 보정값 및 불확도 성분의 변화량 계산</t>
    <phoneticPr fontId="5" type="noConversion"/>
  </si>
  <si>
    <t>■ 수심계의 깊이 지시값에 대한 평균 압력과 보정값 및 불확도 성분의 변화량 계산</t>
    <phoneticPr fontId="5" type="noConversion"/>
  </si>
  <si>
    <t>측정점 번호</t>
    <phoneticPr fontId="5" type="noConversion"/>
  </si>
  <si>
    <t>표준기</t>
    <phoneticPr fontId="5" type="noConversion"/>
  </si>
  <si>
    <t>수심계의 특성</t>
    <phoneticPr fontId="5" type="noConversion"/>
  </si>
  <si>
    <t>기준 압력</t>
    <phoneticPr fontId="5" type="noConversion"/>
  </si>
  <si>
    <t>기준 깊이</t>
    <phoneticPr fontId="5" type="noConversion"/>
  </si>
  <si>
    <t>기준 깊이</t>
    <phoneticPr fontId="5" type="noConversion"/>
  </si>
  <si>
    <r>
      <t>측정불확도(</t>
    </r>
    <r>
      <rPr>
        <i/>
        <sz val="9"/>
        <rFont val="맑은 고딕"/>
        <family val="3"/>
        <charset val="129"/>
        <scheme val="major"/>
      </rPr>
      <t>k</t>
    </r>
    <r>
      <rPr>
        <sz val="9"/>
        <rFont val="맑은 고딕"/>
        <family val="3"/>
        <charset val="129"/>
        <scheme val="major"/>
      </rPr>
      <t>=2)</t>
    </r>
    <phoneticPr fontId="5" type="noConversion"/>
  </si>
  <si>
    <r>
      <t>측정불확도(</t>
    </r>
    <r>
      <rPr>
        <i/>
        <sz val="9"/>
        <rFont val="맑은 고딕"/>
        <family val="3"/>
        <charset val="129"/>
        <scheme val="major"/>
      </rPr>
      <t>k</t>
    </r>
    <r>
      <rPr>
        <sz val="9"/>
        <rFont val="맑은 고딕"/>
        <family val="3"/>
        <charset val="129"/>
        <scheme val="major"/>
      </rPr>
      <t>=2)</t>
    </r>
    <phoneticPr fontId="5" type="noConversion"/>
  </si>
  <si>
    <t>중력가속도</t>
    <phoneticPr fontId="5" type="noConversion"/>
  </si>
  <si>
    <t>중력가속도</t>
    <phoneticPr fontId="5" type="noConversion"/>
  </si>
  <si>
    <t>평균값</t>
    <phoneticPr fontId="5" type="noConversion"/>
  </si>
  <si>
    <t>보정값</t>
    <phoneticPr fontId="5" type="noConversion"/>
  </si>
  <si>
    <t>보정값</t>
    <phoneticPr fontId="5" type="noConversion"/>
  </si>
  <si>
    <t>히스테리시스</t>
    <phoneticPr fontId="5" type="noConversion"/>
  </si>
  <si>
    <t>반복도</t>
    <phoneticPr fontId="5" type="noConversion"/>
  </si>
  <si>
    <t>반복도</t>
    <phoneticPr fontId="5" type="noConversion"/>
  </si>
  <si>
    <r>
      <t>m/s</t>
    </r>
    <r>
      <rPr>
        <vertAlign val="superscript"/>
        <sz val="9"/>
        <rFont val="맑은 고딕"/>
        <family val="3"/>
        <charset val="129"/>
        <scheme val="major"/>
      </rPr>
      <t>2</t>
    </r>
    <phoneticPr fontId="5" type="noConversion"/>
  </si>
  <si>
    <r>
      <t>m/s</t>
    </r>
    <r>
      <rPr>
        <vertAlign val="superscript"/>
        <sz val="9"/>
        <rFont val="맑은 고딕"/>
        <family val="3"/>
        <charset val="129"/>
        <scheme val="major"/>
      </rPr>
      <t>2</t>
    </r>
    <phoneticPr fontId="5" type="noConversion"/>
  </si>
  <si>
    <t>■ 수심계 불확도 성분의 표준불확도 계산</t>
    <phoneticPr fontId="5" type="noConversion"/>
  </si>
  <si>
    <t>측정점 번호</t>
    <phoneticPr fontId="5" type="noConversion"/>
  </si>
  <si>
    <t>수심계의 특성</t>
    <phoneticPr fontId="5" type="noConversion"/>
  </si>
  <si>
    <r>
      <t>표준불확도
(</t>
    </r>
    <r>
      <rPr>
        <i/>
        <sz val="9"/>
        <rFont val="맑은 고딕"/>
        <family val="3"/>
        <charset val="129"/>
        <scheme val="major"/>
      </rPr>
      <t>k</t>
    </r>
    <r>
      <rPr>
        <sz val="9"/>
        <rFont val="맑은 고딕"/>
        <family val="3"/>
        <charset val="129"/>
        <scheme val="major"/>
      </rPr>
      <t>=1)</t>
    </r>
    <phoneticPr fontId="5" type="noConversion"/>
  </si>
  <si>
    <t>중력가속도</t>
    <phoneticPr fontId="5" type="noConversion"/>
  </si>
  <si>
    <r>
      <t>표준불확도 (</t>
    </r>
    <r>
      <rPr>
        <i/>
        <sz val="9"/>
        <rFont val="맑은 고딕"/>
        <family val="3"/>
        <charset val="129"/>
        <scheme val="major"/>
      </rPr>
      <t>k</t>
    </r>
    <r>
      <rPr>
        <sz val="9"/>
        <rFont val="맑은 고딕"/>
        <family val="3"/>
        <charset val="129"/>
        <scheme val="major"/>
      </rPr>
      <t>=1)</t>
    </r>
    <phoneticPr fontId="5" type="noConversion"/>
  </si>
  <si>
    <t>분해능</t>
    <phoneticPr fontId="5" type="noConversion"/>
  </si>
  <si>
    <t>영점</t>
    <phoneticPr fontId="5" type="noConversion"/>
  </si>
  <si>
    <t>히스테리시스</t>
    <phoneticPr fontId="5" type="noConversion"/>
  </si>
  <si>
    <t>■ 수학적 모델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</si>
  <si>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c</t>
    </r>
    <phoneticPr fontId="5" type="noConversion"/>
  </si>
  <si>
    <t>:</t>
    <phoneticPr fontId="5" type="noConversion"/>
  </si>
  <si>
    <t>수심계의 보정값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</si>
  <si>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</si>
  <si>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h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</si>
  <si>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교정대상기기 기준면에서의 표준기의 수심값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</si>
  <si>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</si>
  <si>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수심계의 깊이 지시값</t>
    <phoneticPr fontId="5" type="noConversion"/>
  </si>
  <si>
    <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</si>
  <si>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:</t>
    <phoneticPr fontId="5" type="noConversion"/>
  </si>
  <si>
    <t>표준기의 수심값을 압력으로 계산한 값</t>
    <phoneticPr fontId="5" type="noConversion"/>
  </si>
  <si>
    <t>ρ</t>
    <phoneticPr fontId="5" type="noConversion"/>
  </si>
  <si>
    <t>담수 또는 해수 밀도</t>
    <phoneticPr fontId="5" type="noConversion"/>
  </si>
  <si>
    <t>g</t>
    <phoneticPr fontId="5" type="noConversion"/>
  </si>
  <si>
    <t>중력가속도</t>
    <phoneticPr fontId="5" type="noConversion"/>
  </si>
  <si>
    <t>■ 합성표준불확도 관계식</t>
    <phoneticPr fontId="5" type="noConversion"/>
  </si>
  <si>
    <t>※ 감도계수</t>
    <phoneticPr fontId="5" type="noConversion"/>
  </si>
  <si>
    <t>■ 불확도 총괄표</t>
    <phoneticPr fontId="5" type="noConversion"/>
  </si>
  <si>
    <t>입력량</t>
    <phoneticPr fontId="5" type="noConversion"/>
  </si>
  <si>
    <t>추정값</t>
    <phoneticPr fontId="5" type="noConversion"/>
  </si>
  <si>
    <t>표준불확도</t>
    <phoneticPr fontId="5" type="noConversion"/>
  </si>
  <si>
    <t>확률분포</t>
    <phoneticPr fontId="5" type="noConversion"/>
  </si>
  <si>
    <t>감도계수</t>
    <phoneticPr fontId="5" type="noConversion"/>
  </si>
  <si>
    <t>불확도 기여량</t>
    <phoneticPr fontId="5" type="noConversion"/>
  </si>
  <si>
    <t>자유도</t>
    <phoneticPr fontId="5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</si>
  <si>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</si>
  <si>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</si>
  <si>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</si>
  <si>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</si>
  <si>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</t>
    </r>
    <phoneticPr fontId="5" type="noConversion"/>
  </si>
  <si>
    <t>A</t>
    <phoneticPr fontId="5" type="noConversion"/>
  </si>
  <si>
    <t>정규</t>
    <phoneticPr fontId="5" type="noConversion"/>
  </si>
  <si>
    <t>B</t>
    <phoneticPr fontId="5" type="noConversion"/>
  </si>
  <si>
    <t>정규</t>
    <phoneticPr fontId="5" type="noConversion"/>
  </si>
  <si>
    <r>
      <t>m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·s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/kg</t>
    </r>
    <phoneticPr fontId="5" type="noConversion"/>
  </si>
  <si>
    <r>
      <t>m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·s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/kg</t>
    </r>
    <phoneticPr fontId="5" type="noConversion"/>
  </si>
  <si>
    <t>m</t>
    <phoneticPr fontId="5" type="noConversion"/>
  </si>
  <si>
    <t>∞</t>
    <phoneticPr fontId="5" type="noConversion"/>
  </si>
  <si>
    <t>C</t>
    <phoneticPr fontId="5" type="noConversion"/>
  </si>
  <si>
    <t>ρ</t>
    <phoneticPr fontId="5" type="noConversion"/>
  </si>
  <si>
    <t>직사각형</t>
    <phoneticPr fontId="5" type="noConversion"/>
  </si>
  <si>
    <t>직사각형</t>
    <phoneticPr fontId="5" type="noConversion"/>
  </si>
  <si>
    <r>
      <t>m</t>
    </r>
    <r>
      <rPr>
        <vertAlign val="superscript"/>
        <sz val="10"/>
        <rFont val="맑은 고딕"/>
        <family val="3"/>
        <charset val="129"/>
        <scheme val="major"/>
      </rPr>
      <t>4</t>
    </r>
    <r>
      <rPr>
        <sz val="10"/>
        <rFont val="맑은 고딕"/>
        <family val="3"/>
        <charset val="129"/>
        <scheme val="major"/>
      </rPr>
      <t>/kg</t>
    </r>
    <phoneticPr fontId="5" type="noConversion"/>
  </si>
  <si>
    <r>
      <t>m</t>
    </r>
    <r>
      <rPr>
        <vertAlign val="superscript"/>
        <sz val="10"/>
        <rFont val="맑은 고딕"/>
        <family val="3"/>
        <charset val="129"/>
        <scheme val="major"/>
      </rPr>
      <t>4</t>
    </r>
    <r>
      <rPr>
        <sz val="10"/>
        <rFont val="맑은 고딕"/>
        <family val="3"/>
        <charset val="129"/>
        <scheme val="major"/>
      </rPr>
      <t>/kg</t>
    </r>
    <phoneticPr fontId="5" type="noConversion"/>
  </si>
  <si>
    <t>m</t>
    <phoneticPr fontId="5" type="noConversion"/>
  </si>
  <si>
    <t>D</t>
    <phoneticPr fontId="5" type="noConversion"/>
  </si>
  <si>
    <t>g</t>
    <phoneticPr fontId="5" type="noConversion"/>
  </si>
  <si>
    <r>
      <t>m/s</t>
    </r>
    <r>
      <rPr>
        <vertAlign val="superscript"/>
        <sz val="10"/>
        <rFont val="맑은 고딕"/>
        <family val="3"/>
        <charset val="129"/>
        <scheme val="major"/>
      </rPr>
      <t>2</t>
    </r>
    <phoneticPr fontId="5" type="noConversion"/>
  </si>
  <si>
    <r>
      <t>m/s</t>
    </r>
    <r>
      <rPr>
        <vertAlign val="superscript"/>
        <sz val="10"/>
        <rFont val="맑은 고딕"/>
        <family val="3"/>
        <charset val="129"/>
        <scheme val="major"/>
      </rPr>
      <t>2</t>
    </r>
    <phoneticPr fontId="5" type="noConversion"/>
  </si>
  <si>
    <r>
      <t>m/s</t>
    </r>
    <r>
      <rPr>
        <vertAlign val="superscript"/>
        <sz val="10"/>
        <rFont val="맑은 고딕"/>
        <family val="3"/>
        <charset val="129"/>
        <scheme val="major"/>
      </rPr>
      <t>2</t>
    </r>
    <phoneticPr fontId="5" type="noConversion"/>
  </si>
  <si>
    <r>
      <t>s</t>
    </r>
    <r>
      <rPr>
        <vertAlign val="superscript"/>
        <sz val="10"/>
        <rFont val="맑은 고딕"/>
        <family val="3"/>
        <charset val="129"/>
        <scheme val="major"/>
      </rPr>
      <t>2</t>
    </r>
    <phoneticPr fontId="5" type="noConversion"/>
  </si>
  <si>
    <t>E</t>
    <phoneticPr fontId="5" type="noConversion"/>
  </si>
  <si>
    <t>F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</si>
  <si>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res</t>
    </r>
    <phoneticPr fontId="5" type="noConversion"/>
  </si>
  <si>
    <t>-</t>
    <phoneticPr fontId="5" type="noConversion"/>
  </si>
  <si>
    <t>-</t>
    <phoneticPr fontId="5" type="noConversion"/>
  </si>
  <si>
    <t>∞</t>
    <phoneticPr fontId="5" type="noConversion"/>
  </si>
  <si>
    <t>G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</si>
  <si>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zero-error</t>
    </r>
    <phoneticPr fontId="5" type="noConversion"/>
  </si>
  <si>
    <t>H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</si>
  <si>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rep</t>
    </r>
    <phoneticPr fontId="5" type="noConversion"/>
  </si>
  <si>
    <t>m</t>
    <phoneticPr fontId="5" type="noConversion"/>
  </si>
  <si>
    <t>I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</si>
  <si>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hys</t>
    </r>
    <phoneticPr fontId="5" type="noConversion"/>
  </si>
  <si>
    <t>직사각형</t>
    <phoneticPr fontId="5" type="noConversion"/>
  </si>
  <si>
    <t>J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</si>
  <si>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c</t>
    </r>
    <phoneticPr fontId="5" type="noConversion"/>
  </si>
  <si>
    <t>-</t>
    <phoneticPr fontId="5" type="noConversion"/>
  </si>
  <si>
    <t>■ 표준불확도 성분의 계산</t>
    <phoneticPr fontId="5" type="noConversion"/>
  </si>
  <si>
    <r>
      <rPr>
        <b/>
        <sz val="10"/>
        <rFont val="맑은 고딕"/>
        <family val="3"/>
        <charset val="129"/>
        <scheme val="major"/>
      </rPr>
      <t xml:space="preserve">1. </t>
    </r>
    <r>
      <rPr>
        <b/>
        <sz val="10"/>
        <rFont val="맑은 고딕"/>
        <family val="1"/>
        <scheme val="major"/>
      </rPr>
      <t>수심계</t>
    </r>
    <r>
      <rPr>
        <b/>
        <sz val="10"/>
        <rFont val="맑은 고딕"/>
        <family val="3"/>
        <charset val="129"/>
        <scheme val="major"/>
      </rPr>
      <t xml:space="preserve"> 기준면에서 표준기의 표준불확도,</t>
    </r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</si>
  <si>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5" type="noConversion"/>
  </si>
  <si>
    <t>※ 표준기의 표준불확도는 디지털 압력제어기의 불확도, 해수 밀도 보정에 의한 불확도 및 중력 가속도 보정에</t>
    <phoneticPr fontId="5" type="noConversion"/>
  </si>
  <si>
    <t>의한 불확도 성분으로 이루어 진다.</t>
    <phoneticPr fontId="5" type="noConversion"/>
  </si>
  <si>
    <t>A1. 추정값 :</t>
    <phoneticPr fontId="5" type="noConversion"/>
  </si>
  <si>
    <t>※ 기준압력 :</t>
    <phoneticPr fontId="5" type="noConversion"/>
  </si>
  <si>
    <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</si>
  <si>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=</t>
    <phoneticPr fontId="5" type="noConversion"/>
  </si>
  <si>
    <t>=</t>
    <phoneticPr fontId="5" type="noConversion"/>
  </si>
  <si>
    <t>※ 기준깊이 :</t>
    <phoneticPr fontId="5" type="noConversion"/>
  </si>
  <si>
    <t>kg/㎥</t>
  </si>
  <si>
    <t>×</t>
    <phoneticPr fontId="5" type="noConversion"/>
  </si>
  <si>
    <t>×</t>
    <phoneticPr fontId="5" type="noConversion"/>
  </si>
  <si>
    <r>
      <t>m/s</t>
    </r>
    <r>
      <rPr>
        <vertAlign val="superscript"/>
        <sz val="10"/>
        <rFont val="맑은 고딕"/>
        <family val="3"/>
        <charset val="129"/>
        <scheme val="minor"/>
      </rPr>
      <t>2</t>
    </r>
    <phoneticPr fontId="5" type="noConversion"/>
  </si>
  <si>
    <r>
      <t>m/s</t>
    </r>
    <r>
      <rPr>
        <vertAlign val="superscript"/>
        <sz val="10"/>
        <rFont val="맑은 고딕"/>
        <family val="3"/>
        <charset val="129"/>
        <scheme val="minor"/>
      </rPr>
      <t>2</t>
    </r>
    <phoneticPr fontId="5" type="noConversion"/>
  </si>
  <si>
    <t>A2. 표준불확도 :</t>
    <phoneticPr fontId="5" type="noConversion"/>
  </si>
  <si>
    <t>A3. 확률분포 :</t>
    <phoneticPr fontId="5" type="noConversion"/>
  </si>
  <si>
    <t>A4. 감도계수 :</t>
    <phoneticPr fontId="5" type="noConversion"/>
  </si>
  <si>
    <t>A5. 불확도 기여량 :</t>
    <phoneticPr fontId="5" type="noConversion"/>
  </si>
  <si>
    <t>|</t>
    <phoneticPr fontId="5" type="noConversion"/>
  </si>
  <si>
    <t>|</t>
    <phoneticPr fontId="5" type="noConversion"/>
  </si>
  <si>
    <t>A6. 자유도 :</t>
    <phoneticPr fontId="5" type="noConversion"/>
  </si>
  <si>
    <t>+</t>
    <phoneticPr fontId="5" type="noConversion"/>
  </si>
  <si>
    <t>가) 디지털 압력제어기의 표준불확도,</t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</si>
  <si>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p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5" type="noConversion"/>
  </si>
  <si>
    <r>
      <t xml:space="preserve">※ 디지털 압력제어기의 교정성적서에 주어진 측정불확도를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값으로 나누어 구한다.</t>
    </r>
    <phoneticPr fontId="5" type="noConversion"/>
  </si>
  <si>
    <t>B1. 추정값 :</t>
    <phoneticPr fontId="5" type="noConversion"/>
  </si>
  <si>
    <t>B2. 표준불확도 :</t>
    <phoneticPr fontId="5" type="noConversion"/>
  </si>
  <si>
    <r>
      <t xml:space="preserve">(신뢰수준 약 95 %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=2)</t>
    </r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</si>
  <si>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5" type="noConversion"/>
  </si>
  <si>
    <t>U</t>
    <phoneticPr fontId="5" type="noConversion"/>
  </si>
  <si>
    <t>=</t>
    <phoneticPr fontId="5" type="noConversion"/>
  </si>
  <si>
    <t>k</t>
    <phoneticPr fontId="5" type="noConversion"/>
  </si>
  <si>
    <t>B3. 확률분포 :</t>
    <phoneticPr fontId="5" type="noConversion"/>
  </si>
  <si>
    <t>B4. 감도계수 :</t>
    <phoneticPr fontId="5" type="noConversion"/>
  </si>
  <si>
    <t>×</t>
    <phoneticPr fontId="5" type="noConversion"/>
  </si>
  <si>
    <r>
      <t>m/s</t>
    </r>
    <r>
      <rPr>
        <vertAlign val="superscript"/>
        <sz val="10"/>
        <rFont val="맑은 고딕"/>
        <family val="3"/>
        <charset val="129"/>
        <scheme val="minor"/>
      </rPr>
      <t>2</t>
    </r>
    <phoneticPr fontId="5" type="noConversion"/>
  </si>
  <si>
    <t>B5. 불확도 기여량 :</t>
    <phoneticPr fontId="5" type="noConversion"/>
  </si>
  <si>
    <r>
      <t>m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·s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/kg</t>
    </r>
    <phoneticPr fontId="5" type="noConversion"/>
  </si>
  <si>
    <t>|</t>
    <phoneticPr fontId="5" type="noConversion"/>
  </si>
  <si>
    <t>B6. 자유도 :</t>
    <phoneticPr fontId="5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</si>
  <si>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 =</t>
    </r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</si>
  <si>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ρ</t>
    </r>
    <r>
      <rPr>
        <b/>
        <sz val="10"/>
        <rFont val="Times New Roman"/>
        <family val="1"/>
      </rPr>
      <t>)</t>
    </r>
    <phoneticPr fontId="5" type="noConversion"/>
  </si>
  <si>
    <t>※ 밀도의 편차가 하한(또는 상한) 값을 갖는 직사각형 확률분로포 가정하여 계산한다.</t>
    <phoneticPr fontId="5" type="noConversion"/>
  </si>
  <si>
    <t>※ 밀도의 변화량 :</t>
    <phoneticPr fontId="5" type="noConversion"/>
  </si>
  <si>
    <t>※ 밀도의 편차 :</t>
    <phoneticPr fontId="5" type="noConversion"/>
  </si>
  <si>
    <t>C1. 추정값 :</t>
    <phoneticPr fontId="5" type="noConversion"/>
  </si>
  <si>
    <t>C2. 표준불확도 :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</si>
  <si>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ρ</t>
    </r>
    <r>
      <rPr>
        <sz val="10"/>
        <rFont val="Times New Roman"/>
        <family val="1"/>
      </rPr>
      <t>)</t>
    </r>
    <phoneticPr fontId="5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</si>
  <si>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ρ</t>
    </r>
    <phoneticPr fontId="5" type="noConversion"/>
  </si>
  <si>
    <t>C3. 확률분포 :</t>
    <phoneticPr fontId="5" type="noConversion"/>
  </si>
  <si>
    <t>C4. 감도계수 :</t>
    <phoneticPr fontId="5" type="noConversion"/>
  </si>
  <si>
    <t>(</t>
    <phoneticPr fontId="5" type="noConversion"/>
  </si>
  <si>
    <r>
      <t>kg/㎥ )</t>
    </r>
    <r>
      <rPr>
        <vertAlign val="superscript"/>
        <sz val="10"/>
        <rFont val="맑은 고딕"/>
        <family val="3"/>
        <charset val="129"/>
        <scheme val="minor"/>
      </rPr>
      <t>2</t>
    </r>
    <phoneticPr fontId="5" type="noConversion"/>
  </si>
  <si>
    <t>C5. 불확도 기여량 :</t>
    <phoneticPr fontId="5" type="noConversion"/>
  </si>
  <si>
    <t>C6. 자유도 :</t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</si>
  <si>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5" type="noConversion"/>
  </si>
  <si>
    <t>다) 중력 가속도 보정에 의한 표준불확도,</t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</si>
  <si>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g</t>
    </r>
    <r>
      <rPr>
        <b/>
        <sz val="10"/>
        <rFont val="Times New Roman"/>
        <family val="1"/>
      </rPr>
      <t>)</t>
    </r>
    <phoneticPr fontId="5" type="noConversion"/>
  </si>
  <si>
    <t>※ 중력보정을 하지 않을 경우, 국내 수심에 대한 중력가속도의 변화를 ±0.08%로 가정하여 불확도를 추정할 수 있으며,</t>
    <phoneticPr fontId="5" type="noConversion"/>
  </si>
  <si>
    <t>따라서, 중력가속도의 변화량은 다음과 같다.</t>
    <phoneticPr fontId="5" type="noConversion"/>
  </si>
  <si>
    <t>※ 중력가속도 :</t>
    <phoneticPr fontId="5" type="noConversion"/>
  </si>
  <si>
    <t>※ 중력가속도 변화량 :</t>
    <phoneticPr fontId="5" type="noConversion"/>
  </si>
  <si>
    <t>※ 중력가속도의 편차 :</t>
    <phoneticPr fontId="5" type="noConversion"/>
  </si>
  <si>
    <t>D1. 추정값 :</t>
    <phoneticPr fontId="5" type="noConversion"/>
  </si>
  <si>
    <t>D2. 표준불확도 :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</si>
  <si>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g</t>
    </r>
    <r>
      <rPr>
        <sz val="10"/>
        <rFont val="Times New Roman"/>
        <family val="1"/>
      </rPr>
      <t>)</t>
    </r>
    <phoneticPr fontId="5" type="noConversion"/>
  </si>
  <si>
    <t>=</t>
    <phoneticPr fontId="5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</si>
  <si>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g</t>
    </r>
    <phoneticPr fontId="5" type="noConversion"/>
  </si>
  <si>
    <t>D3. 확률분포 :</t>
    <phoneticPr fontId="5" type="noConversion"/>
  </si>
  <si>
    <t>D4. 감도계수 :</t>
    <phoneticPr fontId="5" type="noConversion"/>
  </si>
  <si>
    <t>kg/㎥</t>
    <phoneticPr fontId="5" type="noConversion"/>
  </si>
  <si>
    <t>(</t>
    <phoneticPr fontId="5" type="noConversion"/>
  </si>
  <si>
    <r>
      <t>m/s</t>
    </r>
    <r>
      <rPr>
        <vertAlign val="superscript"/>
        <sz val="10"/>
        <rFont val="맑은 고딕"/>
        <family val="3"/>
        <charset val="129"/>
        <scheme val="minor"/>
      </rPr>
      <t>2</t>
    </r>
    <r>
      <rPr>
        <sz val="10"/>
        <rFont val="맑은 고딕"/>
        <family val="3"/>
        <charset val="129"/>
        <scheme val="minor"/>
      </rPr>
      <t xml:space="preserve"> )</t>
    </r>
    <r>
      <rPr>
        <vertAlign val="superscript"/>
        <sz val="10"/>
        <rFont val="맑은 고딕"/>
        <family val="3"/>
        <charset val="129"/>
        <scheme val="minor"/>
      </rPr>
      <t>2</t>
    </r>
    <phoneticPr fontId="5" type="noConversion"/>
  </si>
  <si>
    <t>D5. 불확도 기여량 :</t>
    <phoneticPr fontId="5" type="noConversion"/>
  </si>
  <si>
    <t>|</t>
    <phoneticPr fontId="5" type="noConversion"/>
  </si>
  <si>
    <t>D6. 자유도 :</t>
    <phoneticPr fontId="5" type="noConversion"/>
  </si>
  <si>
    <r>
      <t>2. 교정대상기기의</t>
    </r>
    <r>
      <rPr>
        <b/>
        <sz val="10"/>
        <rFont val="맑은 고딕"/>
        <family val="3"/>
        <charset val="129"/>
        <scheme val="major"/>
      </rPr>
      <t xml:space="preserve"> 표준불확도,</t>
    </r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</si>
  <si>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i</t>
    </r>
    <r>
      <rPr>
        <b/>
        <sz val="10"/>
        <rFont val="Times New Roman"/>
        <family val="1"/>
      </rPr>
      <t>)</t>
    </r>
    <phoneticPr fontId="5" type="noConversion"/>
  </si>
  <si>
    <t>※ ,수심계 지시값의 표준불확도는 분해능에 의한 불확도, 영점 오차에 의한 불확도, 반복성에 의한 불확도 및 히스테리시스에</t>
    <phoneticPr fontId="5" type="noConversion"/>
  </si>
  <si>
    <t>E1. 추정값 :</t>
    <phoneticPr fontId="5" type="noConversion"/>
  </si>
  <si>
    <t>)</t>
    <phoneticPr fontId="5" type="noConversion"/>
  </si>
  <si>
    <t>E2. 표준불확도 :</t>
    <phoneticPr fontId="5" type="noConversion"/>
  </si>
  <si>
    <t>E3. 확률분포 :</t>
    <phoneticPr fontId="5" type="noConversion"/>
  </si>
  <si>
    <t>E4. 감도계수 :</t>
    <phoneticPr fontId="5" type="noConversion"/>
  </si>
  <si>
    <t>E5. 불확도 기여량 :</t>
    <phoneticPr fontId="5" type="noConversion"/>
  </si>
  <si>
    <t>m</t>
    <phoneticPr fontId="5" type="noConversion"/>
  </si>
  <si>
    <t>E6. 자유도 :</t>
    <phoneticPr fontId="5" type="noConversion"/>
  </si>
  <si>
    <t>E6. 자유도 :</t>
    <phoneticPr fontId="5" type="noConversion"/>
  </si>
  <si>
    <t>+</t>
    <phoneticPr fontId="5" type="noConversion"/>
  </si>
  <si>
    <t>+</t>
    <phoneticPr fontId="5" type="noConversion"/>
  </si>
  <si>
    <t>가) 분해능에 의한 표준불확도,</t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</si>
  <si>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res</t>
    </r>
    <r>
      <rPr>
        <b/>
        <sz val="10"/>
        <rFont val="Times New Roman"/>
        <family val="1"/>
      </rPr>
      <t>)</t>
    </r>
    <phoneticPr fontId="5" type="noConversion"/>
  </si>
  <si>
    <t>※ 분해능의 반범위를 직사각형 확률분포로 적용하여 다음과 같이 계산한다.</t>
    <phoneticPr fontId="5" type="noConversion"/>
  </si>
  <si>
    <t>F1. 추정값 :</t>
    <phoneticPr fontId="5" type="noConversion"/>
  </si>
  <si>
    <t>F2. 표준불확도 :</t>
    <phoneticPr fontId="5" type="noConversion"/>
  </si>
  <si>
    <r>
      <t>※ 분해능 (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inor"/>
      </rPr>
      <t>)=</t>
    </r>
    <phoneticPr fontId="5" type="noConversion"/>
  </si>
  <si>
    <t>m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</si>
  <si>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res</t>
    </r>
    <r>
      <rPr>
        <sz val="10"/>
        <rFont val="Times New Roman"/>
        <family val="1"/>
      </rPr>
      <t>)</t>
    </r>
    <phoneticPr fontId="5" type="noConversion"/>
  </si>
  <si>
    <t>=</t>
    <phoneticPr fontId="5" type="noConversion"/>
  </si>
  <si>
    <t>r</t>
    <phoneticPr fontId="5" type="noConversion"/>
  </si>
  <si>
    <t>F3. 확률분포 :</t>
    <phoneticPr fontId="5" type="noConversion"/>
  </si>
  <si>
    <t>F4. 감도계수 :</t>
    <phoneticPr fontId="5" type="noConversion"/>
  </si>
  <si>
    <t>F5. 불확도 기여량 :</t>
    <phoneticPr fontId="5" type="noConversion"/>
  </si>
  <si>
    <t>|</t>
    <phoneticPr fontId="5" type="noConversion"/>
  </si>
  <si>
    <t>F6. 자유도 :</t>
    <phoneticPr fontId="5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</si>
  <si>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res</t>
    </r>
    <r>
      <rPr>
        <sz val="10"/>
        <rFont val="Times New Roman"/>
        <family val="1"/>
      </rPr>
      <t>) =</t>
    </r>
    <phoneticPr fontId="5" type="noConversion"/>
  </si>
  <si>
    <t>나) 영점 오차에 의한  표준불확도,</t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</si>
  <si>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zero-error</t>
    </r>
    <r>
      <rPr>
        <b/>
        <sz val="10"/>
        <rFont val="Times New Roman"/>
        <family val="1"/>
      </rPr>
      <t>)</t>
    </r>
    <phoneticPr fontId="5" type="noConversion"/>
  </si>
  <si>
    <t>※ 가압과 감압 측정시 영점 측정값을 반범위로 하여 직사각형 확률분포를 적용하여 계산한다.</t>
    <phoneticPr fontId="5" type="noConversion"/>
  </si>
  <si>
    <t>※ 가압과 감압 측정시 영점 측정값을 반범위로 하여 직사각형 확률분포를 적용하여 계산한다.</t>
    <phoneticPr fontId="5" type="noConversion"/>
  </si>
  <si>
    <t>※ 영점오차 계산식 :</t>
    <phoneticPr fontId="5" type="noConversion"/>
  </si>
  <si>
    <r>
      <t>※ 영점오차 (</t>
    </r>
    <r>
      <rPr>
        <i/>
        <sz val="10"/>
        <rFont val="Times New Roman"/>
        <family val="1"/>
      </rPr>
      <t>f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) :</t>
    </r>
    <phoneticPr fontId="5" type="noConversion"/>
  </si>
  <si>
    <t>m</t>
    <phoneticPr fontId="5" type="noConversion"/>
  </si>
  <si>
    <t>G1. 추정값 :</t>
    <phoneticPr fontId="5" type="noConversion"/>
  </si>
  <si>
    <t>G2. 표준불확도 :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</si>
  <si>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zero-error</t>
    </r>
    <r>
      <rPr>
        <sz val="10"/>
        <rFont val="Times New Roman"/>
        <family val="1"/>
      </rPr>
      <t>)</t>
    </r>
    <phoneticPr fontId="5" type="noConversion"/>
  </si>
  <si>
    <r>
      <rPr>
        <i/>
        <sz val="10"/>
        <rFont val="Times New Roman"/>
        <family val="1"/>
      </rPr>
      <t>f</t>
    </r>
    <r>
      <rPr>
        <vertAlign val="subscript"/>
        <sz val="10"/>
        <rFont val="Times New Roman"/>
        <family val="1"/>
      </rPr>
      <t>0</t>
    </r>
    <phoneticPr fontId="5" type="noConversion"/>
  </si>
  <si>
    <t>=</t>
    <phoneticPr fontId="5" type="noConversion"/>
  </si>
  <si>
    <t>G3. 확률분포 :</t>
    <phoneticPr fontId="5" type="noConversion"/>
  </si>
  <si>
    <t>G4. 감도계수 :</t>
    <phoneticPr fontId="5" type="noConversion"/>
  </si>
  <si>
    <t>G5. 불확도 기여량 :</t>
    <phoneticPr fontId="5" type="noConversion"/>
  </si>
  <si>
    <t>|</t>
    <phoneticPr fontId="5" type="noConversion"/>
  </si>
  <si>
    <t>×</t>
    <phoneticPr fontId="5" type="noConversion"/>
  </si>
  <si>
    <t>m</t>
    <phoneticPr fontId="5" type="noConversion"/>
  </si>
  <si>
    <t>G6. 자유도 :</t>
    <phoneticPr fontId="5" type="noConversion"/>
  </si>
  <si>
    <t>다) 반복성에 의한 표준불확도,</t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</si>
  <si>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rep</t>
    </r>
    <r>
      <rPr>
        <b/>
        <sz val="10"/>
        <rFont val="Times New Roman"/>
        <family val="1"/>
      </rPr>
      <t>)</t>
    </r>
    <phoneticPr fontId="5" type="noConversion"/>
  </si>
  <si>
    <t>※ 각 기준 깊이점에서 지시값의 최대 차이값을 변화구간으로 하여 직사각형 분포로 가정하여 구한다.</t>
    <phoneticPr fontId="5" type="noConversion"/>
  </si>
  <si>
    <t>※ 가압 측정에서의 반복성 계산식 :</t>
    <phoneticPr fontId="5" type="noConversion"/>
  </si>
  <si>
    <t>※ 감압 측정에서의 반복성 계산식 :</t>
    <phoneticPr fontId="5" type="noConversion"/>
  </si>
  <si>
    <t>※ 가압측정에서의 반복성과 감압측정에서의 반복성중 최대값 :</t>
    <phoneticPr fontId="5" type="noConversion"/>
  </si>
  <si>
    <t>H1. 추정값 :</t>
    <phoneticPr fontId="5" type="noConversion"/>
  </si>
  <si>
    <t>H2. 표준불확도 :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</si>
  <si>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rep</t>
    </r>
    <r>
      <rPr>
        <sz val="10"/>
        <rFont val="Times New Roman"/>
        <family val="1"/>
      </rPr>
      <t>)</t>
    </r>
    <phoneticPr fontId="5" type="noConversion"/>
  </si>
  <si>
    <r>
      <t>b'</t>
    </r>
    <r>
      <rPr>
        <i/>
        <vertAlign val="subscript"/>
        <sz val="10"/>
        <rFont val="Times New Roman"/>
        <family val="1"/>
      </rPr>
      <t>j</t>
    </r>
    <phoneticPr fontId="5" type="noConversion"/>
  </si>
  <si>
    <t>=</t>
    <phoneticPr fontId="5" type="noConversion"/>
  </si>
  <si>
    <t>H3. 확률분포 :</t>
    <phoneticPr fontId="5" type="noConversion"/>
  </si>
  <si>
    <t>H4. 감도계수 :</t>
    <phoneticPr fontId="5" type="noConversion"/>
  </si>
  <si>
    <t>H4. 감도계수 :</t>
    <phoneticPr fontId="5" type="noConversion"/>
  </si>
  <si>
    <t>H5. 불확도 기여량 :</t>
    <phoneticPr fontId="5" type="noConversion"/>
  </si>
  <si>
    <t>×</t>
    <phoneticPr fontId="5" type="noConversion"/>
  </si>
  <si>
    <t>H6. 자유도 :</t>
    <phoneticPr fontId="5" type="noConversion"/>
  </si>
  <si>
    <t>라) 히스테리시스에 의한 표준불확도,</t>
    <phoneticPr fontId="5" type="noConversion"/>
  </si>
  <si>
    <t>라) 히스테리시스에 의한 표준불확도,</t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</si>
  <si>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hys</t>
    </r>
    <r>
      <rPr>
        <b/>
        <sz val="10"/>
        <rFont val="Times New Roman"/>
        <family val="1"/>
      </rPr>
      <t>)</t>
    </r>
    <phoneticPr fontId="5" type="noConversion"/>
  </si>
  <si>
    <t>※ 가압과 감압시에 측정되는 지시값의 출력 차이를 반범위로 하는 직사각형 확률분포로 가정하여 계산한다.</t>
    <phoneticPr fontId="5" type="noConversion"/>
  </si>
  <si>
    <t>※ 히스테리시스 계산식 :</t>
    <phoneticPr fontId="5" type="noConversion"/>
  </si>
  <si>
    <t>I1. 추정값 :</t>
    <phoneticPr fontId="5" type="noConversion"/>
  </si>
  <si>
    <t>I2. 표준불확도 :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</si>
  <si>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hys</t>
    </r>
    <r>
      <rPr>
        <sz val="10"/>
        <rFont val="Times New Roman"/>
        <family val="1"/>
      </rPr>
      <t>)</t>
    </r>
    <phoneticPr fontId="5" type="noConversion"/>
  </si>
  <si>
    <r>
      <t>h</t>
    </r>
    <r>
      <rPr>
        <i/>
        <vertAlign val="subscript"/>
        <sz val="10"/>
        <rFont val="Times New Roman"/>
        <family val="1"/>
      </rPr>
      <t>j</t>
    </r>
    <phoneticPr fontId="5" type="noConversion"/>
  </si>
  <si>
    <t>I3. 확률분포 :</t>
    <phoneticPr fontId="5" type="noConversion"/>
  </si>
  <si>
    <t>I4. 감도계수 :</t>
    <phoneticPr fontId="5" type="noConversion"/>
  </si>
  <si>
    <t>I5. 불확도 기여량 :</t>
    <phoneticPr fontId="5" type="noConversion"/>
  </si>
  <si>
    <t>I6. 자유도 :</t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</si>
  <si>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5" type="noConversion"/>
  </si>
  <si>
    <t>■ 합성표준불확도 계산</t>
    <phoneticPr fontId="5" type="noConversion"/>
  </si>
  <si>
    <t>=</t>
    <phoneticPr fontId="5" type="noConversion"/>
  </si>
  <si>
    <t>■ 유효자유도</t>
    <phoneticPr fontId="5" type="noConversion"/>
  </si>
  <si>
    <t>=</t>
    <phoneticPr fontId="5" type="noConversion"/>
  </si>
  <si>
    <t>+</t>
    <phoneticPr fontId="5" type="noConversion"/>
  </si>
  <si>
    <t>■ 측정불확도</t>
    <phoneticPr fontId="5" type="noConversion"/>
  </si>
  <si>
    <t>※ 합성표준불확도를 구성하는 입력변수 중에서 직사각형 확률분포를 가지는 한 개 또는 두 개의 표준불확도 성분이</t>
    <phoneticPr fontId="5" type="noConversion"/>
  </si>
  <si>
    <t>전체의 대부분을 차지하는 경우가 아닌 경우, 유효자유도 계산 결과 값을 이용하여 t 분포표에서 신뢰수준 약 95%에</t>
    <phoneticPr fontId="5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</si>
  <si>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5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</si>
  <si>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5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</si>
  <si>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5" type="noConversion"/>
  </si>
  <si>
    <t>◆ 측정불확도 추정보고서 (조정후) ◆</t>
    <phoneticPr fontId="5" type="noConversion"/>
  </si>
  <si>
    <t>단위</t>
    <phoneticPr fontId="5" type="noConversion"/>
  </si>
  <si>
    <t>k</t>
    <phoneticPr fontId="5" type="noConversion"/>
  </si>
  <si>
    <t>번호</t>
    <phoneticPr fontId="5" type="noConversion"/>
  </si>
  <si>
    <t>■ 반복측정 결과</t>
    <phoneticPr fontId="5" type="noConversion"/>
  </si>
  <si>
    <t>측정점 번호</t>
    <phoneticPr fontId="5" type="noConversion"/>
  </si>
  <si>
    <t>기준 압력</t>
    <phoneticPr fontId="5" type="noConversion"/>
  </si>
  <si>
    <t>기준 깊이</t>
    <phoneticPr fontId="5" type="noConversion"/>
  </si>
  <si>
    <t>평균값</t>
    <phoneticPr fontId="5" type="noConversion"/>
  </si>
  <si>
    <t>측정점 번호</t>
    <phoneticPr fontId="5" type="noConversion"/>
  </si>
  <si>
    <t>표준기</t>
    <phoneticPr fontId="5" type="noConversion"/>
  </si>
  <si>
    <t>수심계 (영점 보정)</t>
    <phoneticPr fontId="5" type="noConversion"/>
  </si>
  <si>
    <r>
      <t xml:space="preserve">기준 깊이
</t>
    </r>
    <r>
      <rPr>
        <i/>
        <sz val="9"/>
        <rFont val="Times New Roman"/>
        <family val="1"/>
      </rPr>
      <t>h</t>
    </r>
    <r>
      <rPr>
        <i/>
        <vertAlign val="subscript"/>
        <sz val="9"/>
        <rFont val="Times New Roman"/>
        <family val="1"/>
      </rPr>
      <t>s</t>
    </r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</si>
  <si>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</si>
  <si>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</si>
  <si>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</si>
  <si>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수심계의 특성</t>
    <phoneticPr fontId="5" type="noConversion"/>
  </si>
  <si>
    <t>기준 압력</t>
    <phoneticPr fontId="5" type="noConversion"/>
  </si>
  <si>
    <t>평균값</t>
    <phoneticPr fontId="5" type="noConversion"/>
  </si>
  <si>
    <t>히스테리시스</t>
    <phoneticPr fontId="5" type="noConversion"/>
  </si>
  <si>
    <t>■ 수심계 불확도 성분의 표준불확도 계산</t>
    <phoneticPr fontId="5" type="noConversion"/>
  </si>
  <si>
    <r>
      <t>표준불확도
(</t>
    </r>
    <r>
      <rPr>
        <i/>
        <sz val="9"/>
        <rFont val="맑은 고딕"/>
        <family val="3"/>
        <charset val="129"/>
        <scheme val="major"/>
      </rPr>
      <t>k</t>
    </r>
    <r>
      <rPr>
        <sz val="9"/>
        <rFont val="맑은 고딕"/>
        <family val="3"/>
        <charset val="129"/>
        <scheme val="major"/>
      </rPr>
      <t>=1)</t>
    </r>
    <phoneticPr fontId="5" type="noConversion"/>
  </si>
  <si>
    <r>
      <t>표준불확도 (</t>
    </r>
    <r>
      <rPr>
        <i/>
        <sz val="9"/>
        <rFont val="맑은 고딕"/>
        <family val="3"/>
        <charset val="129"/>
        <scheme val="major"/>
      </rPr>
      <t>k</t>
    </r>
    <r>
      <rPr>
        <sz val="9"/>
        <rFont val="맑은 고딕"/>
        <family val="3"/>
        <charset val="129"/>
        <scheme val="major"/>
      </rPr>
      <t>=1)</t>
    </r>
    <phoneticPr fontId="5" type="noConversion"/>
  </si>
  <si>
    <t>분해능</t>
    <phoneticPr fontId="5" type="noConversion"/>
  </si>
  <si>
    <t>영점</t>
    <phoneticPr fontId="5" type="noConversion"/>
  </si>
  <si>
    <t>■ 수학적 모델</t>
    <phoneticPr fontId="5" type="noConversion"/>
  </si>
  <si>
    <t>수심계의 보정값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</si>
  <si>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</si>
  <si>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교정대상기기 기준면에서의 표준기의 수심값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</si>
  <si>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</si>
  <si>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수심계의 깊이 지시값</t>
    <phoneticPr fontId="5" type="noConversion"/>
  </si>
  <si>
    <t>표준기의 수심값을 압력으로 계산한 값</t>
    <phoneticPr fontId="5" type="noConversion"/>
  </si>
  <si>
    <t>■ 합성표준불확도 관계식</t>
    <phoneticPr fontId="5" type="noConversion"/>
  </si>
  <si>
    <t>■ 불확도 총괄표</t>
    <phoneticPr fontId="5" type="noConversion"/>
  </si>
  <si>
    <t>입력량</t>
    <phoneticPr fontId="5" type="noConversion"/>
  </si>
  <si>
    <t>추정값</t>
    <phoneticPr fontId="5" type="noConversion"/>
  </si>
  <si>
    <t>표준불확도</t>
    <phoneticPr fontId="5" type="noConversion"/>
  </si>
  <si>
    <t>확률분포</t>
    <phoneticPr fontId="5" type="noConversion"/>
  </si>
  <si>
    <t>감도계수</t>
    <phoneticPr fontId="5" type="noConversion"/>
  </si>
  <si>
    <t>자유도</t>
    <phoneticPr fontId="5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</si>
  <si>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</si>
  <si>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</si>
  <si>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</si>
  <si>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t>A</t>
    <phoneticPr fontId="5" type="noConversion"/>
  </si>
  <si>
    <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</si>
  <si>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m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·s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/kg</t>
    </r>
    <phoneticPr fontId="5" type="noConversion"/>
  </si>
  <si>
    <t>∞</t>
    <phoneticPr fontId="5" type="noConversion"/>
  </si>
  <si>
    <t>C</t>
    <phoneticPr fontId="5" type="noConversion"/>
  </si>
  <si>
    <t>ρ</t>
    <phoneticPr fontId="5" type="noConversion"/>
  </si>
  <si>
    <r>
      <t>m</t>
    </r>
    <r>
      <rPr>
        <vertAlign val="superscript"/>
        <sz val="10"/>
        <rFont val="맑은 고딕"/>
        <family val="3"/>
        <charset val="129"/>
        <scheme val="major"/>
      </rPr>
      <t>4</t>
    </r>
    <r>
      <rPr>
        <sz val="10"/>
        <rFont val="맑은 고딕"/>
        <family val="3"/>
        <charset val="129"/>
        <scheme val="major"/>
      </rPr>
      <t>/kg</t>
    </r>
    <phoneticPr fontId="5" type="noConversion"/>
  </si>
  <si>
    <t>D</t>
    <phoneticPr fontId="5" type="noConversion"/>
  </si>
  <si>
    <t>E</t>
    <phoneticPr fontId="5" type="noConversion"/>
  </si>
  <si>
    <t>F</t>
    <phoneticPr fontId="5" type="noConversion"/>
  </si>
  <si>
    <t>-</t>
    <phoneticPr fontId="5" type="noConversion"/>
  </si>
  <si>
    <t>G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</si>
  <si>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zero-error</t>
    </r>
    <phoneticPr fontId="5" type="noConversion"/>
  </si>
  <si>
    <t>m</t>
    <phoneticPr fontId="5" type="noConversion"/>
  </si>
  <si>
    <t>H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</si>
  <si>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rep</t>
    </r>
    <phoneticPr fontId="5" type="noConversion"/>
  </si>
  <si>
    <t>I</t>
    <phoneticPr fontId="5" type="noConversion"/>
  </si>
  <si>
    <r>
      <t>h</t>
    </r>
    <r>
      <rPr>
        <i/>
        <vertAlign val="subscript"/>
        <sz val="10"/>
        <rFont val="Times New Roman"/>
        <family val="1"/>
      </rPr>
      <t>hys</t>
    </r>
    <phoneticPr fontId="5" type="noConversion"/>
  </si>
  <si>
    <t>J</t>
    <phoneticPr fontId="5" type="noConversion"/>
  </si>
  <si>
    <t>-</t>
    <phoneticPr fontId="5" type="noConversion"/>
  </si>
  <si>
    <t>■ 표준불확도 성분의 계산</t>
    <phoneticPr fontId="5" type="noConversion"/>
  </si>
  <si>
    <r>
      <rPr>
        <b/>
        <sz val="10"/>
        <rFont val="맑은 고딕"/>
        <family val="3"/>
        <charset val="129"/>
        <scheme val="major"/>
      </rPr>
      <t xml:space="preserve">1. </t>
    </r>
    <r>
      <rPr>
        <b/>
        <sz val="10"/>
        <rFont val="맑은 고딕"/>
        <family val="1"/>
        <scheme val="major"/>
      </rPr>
      <t>수심계</t>
    </r>
    <r>
      <rPr>
        <b/>
        <sz val="10"/>
        <rFont val="맑은 고딕"/>
        <family val="3"/>
        <charset val="129"/>
        <scheme val="major"/>
      </rPr>
      <t xml:space="preserve"> 기준면에서 표준기의 표준불확도,</t>
    </r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</si>
  <si>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5" type="noConversion"/>
  </si>
  <si>
    <t>※ 표준기의 표준불확도는 디지털 압력제어기의 불확도, 해수 밀도 보정에 의한 불확도 및 중력 가속도 보정에</t>
    <phoneticPr fontId="5" type="noConversion"/>
  </si>
  <si>
    <t>의한 불확도 성분으로 이루어 진다.</t>
    <phoneticPr fontId="5" type="noConversion"/>
  </si>
  <si>
    <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</si>
  <si>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=</t>
    <phoneticPr fontId="5" type="noConversion"/>
  </si>
  <si>
    <t>※ 기준깊이 :</t>
    <phoneticPr fontId="5" type="noConversion"/>
  </si>
  <si>
    <t>×</t>
    <phoneticPr fontId="5" type="noConversion"/>
  </si>
  <si>
    <r>
      <t>m/s</t>
    </r>
    <r>
      <rPr>
        <vertAlign val="superscript"/>
        <sz val="10"/>
        <rFont val="맑은 고딕"/>
        <family val="3"/>
        <charset val="129"/>
        <scheme val="minor"/>
      </rPr>
      <t>2</t>
    </r>
    <phoneticPr fontId="5" type="noConversion"/>
  </si>
  <si>
    <t>A2. 표준불확도 :</t>
    <phoneticPr fontId="5" type="noConversion"/>
  </si>
  <si>
    <t>A3. 확률분포 :</t>
    <phoneticPr fontId="5" type="noConversion"/>
  </si>
  <si>
    <t>A4. 감도계수 :</t>
    <phoneticPr fontId="5" type="noConversion"/>
  </si>
  <si>
    <t>A5. 불확도 기여량 :</t>
    <phoneticPr fontId="5" type="noConversion"/>
  </si>
  <si>
    <t>|</t>
    <phoneticPr fontId="5" type="noConversion"/>
  </si>
  <si>
    <t>+</t>
    <phoneticPr fontId="5" type="noConversion"/>
  </si>
  <si>
    <t>가) 디지털 압력제어기의 표준불확도,</t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</si>
  <si>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p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5" type="noConversion"/>
  </si>
  <si>
    <r>
      <t xml:space="preserve">※ 디지털 압력제어기의 교정성적서에 주어진 측정불확도를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값으로 나누어 구한다.</t>
    </r>
    <phoneticPr fontId="5" type="noConversion"/>
  </si>
  <si>
    <t>B1. 추정값 :</t>
    <phoneticPr fontId="5" type="noConversion"/>
  </si>
  <si>
    <t>B2. 표준불확도 :</t>
    <phoneticPr fontId="5" type="noConversion"/>
  </si>
  <si>
    <r>
      <t xml:space="preserve">(신뢰수준 약 95 %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=2)</t>
    </r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</si>
  <si>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5" type="noConversion"/>
  </si>
  <si>
    <t>k</t>
    <phoneticPr fontId="5" type="noConversion"/>
  </si>
  <si>
    <t>B3. 확률분포 :</t>
    <phoneticPr fontId="5" type="noConversion"/>
  </si>
  <si>
    <t>B4. 감도계수 :</t>
    <phoneticPr fontId="5" type="noConversion"/>
  </si>
  <si>
    <t>B5. 불확도 기여량 :</t>
    <phoneticPr fontId="5" type="noConversion"/>
  </si>
  <si>
    <r>
      <t>m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·s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/kg</t>
    </r>
    <phoneticPr fontId="5" type="noConversion"/>
  </si>
  <si>
    <t>B6. 자유도 :</t>
    <phoneticPr fontId="5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</si>
  <si>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 =</t>
    </r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</si>
  <si>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ρ</t>
    </r>
    <r>
      <rPr>
        <b/>
        <sz val="10"/>
        <rFont val="Times New Roman"/>
        <family val="1"/>
      </rPr>
      <t>)</t>
    </r>
    <phoneticPr fontId="5" type="noConversion"/>
  </si>
  <si>
    <t>※ 밀도의 편차가 하한(또는 상한) 값을 갖는 직사각형 확률분로포 가정하여 계산한다.</t>
    <phoneticPr fontId="5" type="noConversion"/>
  </si>
  <si>
    <t>※ 밀도의 변화량 :</t>
    <phoneticPr fontId="5" type="noConversion"/>
  </si>
  <si>
    <t>※ 밀도의 편차 :</t>
    <phoneticPr fontId="5" type="noConversion"/>
  </si>
  <si>
    <t>C1. 추정값 :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</si>
  <si>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ρ</t>
    </r>
    <r>
      <rPr>
        <sz val="10"/>
        <rFont val="Times New Roman"/>
        <family val="1"/>
      </rPr>
      <t>)</t>
    </r>
    <phoneticPr fontId="5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</si>
  <si>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ρ</t>
    </r>
    <phoneticPr fontId="5" type="noConversion"/>
  </si>
  <si>
    <t>C3. 확률분포 :</t>
    <phoneticPr fontId="5" type="noConversion"/>
  </si>
  <si>
    <t>C4. 감도계수 :</t>
    <phoneticPr fontId="5" type="noConversion"/>
  </si>
  <si>
    <t>(</t>
    <phoneticPr fontId="5" type="noConversion"/>
  </si>
  <si>
    <r>
      <t>kg/㎥ )</t>
    </r>
    <r>
      <rPr>
        <vertAlign val="superscript"/>
        <sz val="10"/>
        <rFont val="맑은 고딕"/>
        <family val="3"/>
        <charset val="129"/>
        <scheme val="minor"/>
      </rPr>
      <t>2</t>
    </r>
    <phoneticPr fontId="5" type="noConversion"/>
  </si>
  <si>
    <t>C5. 불확도 기여량 :</t>
    <phoneticPr fontId="5" type="noConversion"/>
  </si>
  <si>
    <t>C6. 자유도 :</t>
    <phoneticPr fontId="5" type="noConversion"/>
  </si>
  <si>
    <t>※ 중력보정을 하지 않을 경우, 국내 수심에 대한 중력가속도의 변화를 ±0.08%로 가정하여 불확도를 추정할 수 있으며,</t>
    <phoneticPr fontId="5" type="noConversion"/>
  </si>
  <si>
    <t>※ 중력가속도 :</t>
    <phoneticPr fontId="5" type="noConversion"/>
  </si>
  <si>
    <t>※ 중력가속도의 편차 :</t>
    <phoneticPr fontId="5" type="noConversion"/>
  </si>
  <si>
    <t>D1. 추정값 :</t>
    <phoneticPr fontId="5" type="noConversion"/>
  </si>
  <si>
    <t>D2. 표준불확도 :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</si>
  <si>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g</t>
    </r>
    <r>
      <rPr>
        <sz val="10"/>
        <rFont val="Times New Roman"/>
        <family val="1"/>
      </rPr>
      <t>)</t>
    </r>
    <phoneticPr fontId="5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</si>
  <si>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g</t>
    </r>
    <phoneticPr fontId="5" type="noConversion"/>
  </si>
  <si>
    <t>D3. 확률분포 :</t>
    <phoneticPr fontId="5" type="noConversion"/>
  </si>
  <si>
    <t>D4. 감도계수 :</t>
    <phoneticPr fontId="5" type="noConversion"/>
  </si>
  <si>
    <r>
      <t>s</t>
    </r>
    <r>
      <rPr>
        <vertAlign val="superscript"/>
        <sz val="10"/>
        <rFont val="맑은 고딕"/>
        <family val="3"/>
        <charset val="129"/>
        <scheme val="major"/>
      </rPr>
      <t>2</t>
    </r>
    <phoneticPr fontId="5" type="noConversion"/>
  </si>
  <si>
    <t>kg/㎥</t>
    <phoneticPr fontId="5" type="noConversion"/>
  </si>
  <si>
    <t>=</t>
    <phoneticPr fontId="5" type="noConversion"/>
  </si>
  <si>
    <r>
      <t>2. 교정대상기기의</t>
    </r>
    <r>
      <rPr>
        <b/>
        <sz val="10"/>
        <rFont val="맑은 고딕"/>
        <family val="3"/>
        <charset val="129"/>
        <scheme val="major"/>
      </rPr>
      <t xml:space="preserve"> 표준불확도,</t>
    </r>
    <phoneticPr fontId="5" type="noConversion"/>
  </si>
  <si>
    <t>(</t>
    <phoneticPr fontId="5" type="noConversion"/>
  </si>
  <si>
    <t>E3. 확률분포 :</t>
    <phoneticPr fontId="5" type="noConversion"/>
  </si>
  <si>
    <t>E4. 감도계수 :</t>
    <phoneticPr fontId="5" type="noConversion"/>
  </si>
  <si>
    <t>+</t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</si>
  <si>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res</t>
    </r>
    <r>
      <rPr>
        <b/>
        <sz val="10"/>
        <rFont val="Times New Roman"/>
        <family val="1"/>
      </rPr>
      <t>)</t>
    </r>
    <phoneticPr fontId="5" type="noConversion"/>
  </si>
  <si>
    <t>※ 분해능의 반범위를 직사각형 확률분포로 적용하여 다음과 같이 계산한다.</t>
    <phoneticPr fontId="5" type="noConversion"/>
  </si>
  <si>
    <t>F1. 추정값 :</t>
    <phoneticPr fontId="5" type="noConversion"/>
  </si>
  <si>
    <r>
      <t>※ 분해능 (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inor"/>
      </rPr>
      <t>)=</t>
    </r>
    <phoneticPr fontId="5" type="noConversion"/>
  </si>
  <si>
    <t>r</t>
    <phoneticPr fontId="5" type="noConversion"/>
  </si>
  <si>
    <t>F3. 확률분포 :</t>
    <phoneticPr fontId="5" type="noConversion"/>
  </si>
  <si>
    <t>F4. 감도계수 :</t>
    <phoneticPr fontId="5" type="noConversion"/>
  </si>
  <si>
    <t>F5. 불확도 기여량 :</t>
    <phoneticPr fontId="5" type="noConversion"/>
  </si>
  <si>
    <t>|</t>
    <phoneticPr fontId="5" type="noConversion"/>
  </si>
  <si>
    <t>F6. 자유도 :</t>
    <phoneticPr fontId="5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</si>
  <si>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res</t>
    </r>
    <r>
      <rPr>
        <sz val="10"/>
        <rFont val="Times New Roman"/>
        <family val="1"/>
      </rPr>
      <t>) =</t>
    </r>
    <phoneticPr fontId="5" type="noConversion"/>
  </si>
  <si>
    <t>나) 영점 오차에 의한  표준불확도,</t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</si>
  <si>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zero-error</t>
    </r>
    <r>
      <rPr>
        <b/>
        <sz val="10"/>
        <rFont val="Times New Roman"/>
        <family val="1"/>
      </rPr>
      <t>)</t>
    </r>
    <phoneticPr fontId="5" type="noConversion"/>
  </si>
  <si>
    <t>※ 영점오차 계산식 :</t>
    <phoneticPr fontId="5" type="noConversion"/>
  </si>
  <si>
    <r>
      <t>※ 영점오차 (</t>
    </r>
    <r>
      <rPr>
        <i/>
        <sz val="10"/>
        <rFont val="Times New Roman"/>
        <family val="1"/>
      </rPr>
      <t>f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) :</t>
    </r>
    <phoneticPr fontId="5" type="noConversion"/>
  </si>
  <si>
    <t>G2. 표준불확도 :</t>
    <phoneticPr fontId="5" type="noConversion"/>
  </si>
  <si>
    <t>G3. 확률분포 :</t>
    <phoneticPr fontId="5" type="noConversion"/>
  </si>
  <si>
    <t>G5. 불확도 기여량 :</t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</si>
  <si>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5" type="noConversion"/>
  </si>
  <si>
    <t>다) 반복성에 의한 표준불확도,</t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</si>
  <si>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rep</t>
    </r>
    <r>
      <rPr>
        <b/>
        <sz val="10"/>
        <rFont val="Times New Roman"/>
        <family val="1"/>
      </rPr>
      <t>)</t>
    </r>
    <phoneticPr fontId="5" type="noConversion"/>
  </si>
  <si>
    <t>※ 각 기준 깊이점에서 지시값의 최대 차이값을 변화구간으로 하여 직사각형 분포로 가정하여 구한다.</t>
    <phoneticPr fontId="5" type="noConversion"/>
  </si>
  <si>
    <t>※ 감압 측정에서의 반복성 계산식 :</t>
    <phoneticPr fontId="5" type="noConversion"/>
  </si>
  <si>
    <t>※ 가압측정에서의 반복성과 감압측정에서의 반복성중 최대값 :</t>
    <phoneticPr fontId="5" type="noConversion"/>
  </si>
  <si>
    <t>H2. 표준불확도 :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</si>
  <si>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rep</t>
    </r>
    <r>
      <rPr>
        <sz val="10"/>
        <rFont val="Times New Roman"/>
        <family val="1"/>
      </rPr>
      <t>)</t>
    </r>
    <phoneticPr fontId="5" type="noConversion"/>
  </si>
  <si>
    <t>H3. 확률분포 :</t>
    <phoneticPr fontId="5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</si>
  <si>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hys</t>
    </r>
    <r>
      <rPr>
        <b/>
        <sz val="10"/>
        <rFont val="Times New Roman"/>
        <family val="1"/>
      </rPr>
      <t>)</t>
    </r>
    <phoneticPr fontId="5" type="noConversion"/>
  </si>
  <si>
    <t>※ 가압과 감압시에 측정되는 지시값의 출력 차이를 반범위로 하는 직사각형 확률분포로 가정하여 계산한다.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</si>
  <si>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hys</t>
    </r>
    <r>
      <rPr>
        <sz val="10"/>
        <rFont val="Times New Roman"/>
        <family val="1"/>
      </rPr>
      <t>)</t>
    </r>
    <phoneticPr fontId="5" type="noConversion"/>
  </si>
  <si>
    <t>I6. 자유도 :</t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</si>
  <si>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5" type="noConversion"/>
  </si>
  <si>
    <t>■ 합성표준불확도 계산</t>
    <phoneticPr fontId="5" type="noConversion"/>
  </si>
  <si>
    <t>=</t>
    <phoneticPr fontId="5" type="noConversion"/>
  </si>
  <si>
    <t>※ 합성표준불확도를 구성하는 입력변수 중에서 직사각형 확률분포를 가지는 한 개 또는 두 개의 표준불확도 성분이</t>
    <phoneticPr fontId="5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</si>
  <si>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5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</si>
  <si>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5" type="noConversion"/>
  </si>
  <si>
    <t>=</t>
    <phoneticPr fontId="5" type="noConversion"/>
  </si>
  <si>
    <r>
      <t>◇ 계산에 사용된 중력가속도 : 9.80665 m/s</t>
    </r>
    <r>
      <rPr>
        <vertAlign val="superscript"/>
        <sz val="9"/>
        <rFont val="Arial Unicode MS"/>
        <family val="3"/>
        <charset val="129"/>
      </rPr>
      <t>2</t>
    </r>
    <phoneticPr fontId="5" type="noConversion"/>
  </si>
  <si>
    <r>
      <t>◇ Gravity acceleration used in the calculation : 9.80665 m/s</t>
    </r>
    <r>
      <rPr>
        <vertAlign val="superscript"/>
        <sz val="9"/>
        <rFont val="Arial Unicode MS"/>
        <family val="3"/>
        <charset val="129"/>
      </rPr>
      <t>2</t>
    </r>
    <phoneticPr fontId="5" type="noConversion"/>
  </si>
  <si>
    <t>가압</t>
    <phoneticPr fontId="5" type="noConversion"/>
  </si>
  <si>
    <t>감압</t>
    <phoneticPr fontId="5" type="noConversion"/>
  </si>
  <si>
    <t>가압</t>
    <phoneticPr fontId="5" type="noConversion"/>
  </si>
  <si>
    <t>가압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</si>
  <si>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안정도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</si>
  <si>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안정도 1</t>
    <phoneticPr fontId="5" type="noConversion"/>
  </si>
  <si>
    <t>값으로 환산</t>
    <phoneticPr fontId="5" type="noConversion"/>
  </si>
  <si>
    <t>단위환산계수</t>
    <phoneticPr fontId="5" type="noConversion"/>
  </si>
  <si>
    <t>안정도 2</t>
    <phoneticPr fontId="5" type="noConversion"/>
  </si>
  <si>
    <t>안정도 계산</t>
    <phoneticPr fontId="5" type="noConversion"/>
  </si>
  <si>
    <t>안정도1</t>
    <phoneticPr fontId="5" type="noConversion"/>
  </si>
  <si>
    <t>안정도2</t>
    <phoneticPr fontId="5" type="noConversion"/>
  </si>
  <si>
    <t>명목압력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</si>
  <si>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단위환산표</t>
    </r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</si>
  <si>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측정</t>
    </r>
    <r>
      <rPr>
        <b/>
        <sz val="10"/>
        <rFont val="돋움"/>
        <family val="3"/>
        <charset val="129"/>
      </rPr>
      <t>불확도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</si>
  <si>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물밀도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</si>
</sst>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\ 000"/>
    <numFmt numFmtId="190" formatCode="0.000"/>
    <numFmt numFmtId="191" formatCode="0_ "/>
    <numFmt numFmtId="192" formatCode="0.000\ 0"/>
    <numFmt numFmtId="193" formatCode="0.000000_ "/>
    <numFmt numFmtId="194" formatCode="0.00\ &quot;μm&quot;"/>
    <numFmt numFmtId="195" formatCode="0.0"/>
    <numFmt numFmtId="196" formatCode="0.000\ 000\ &quot;m/MPa&quot;"/>
    <numFmt numFmtId="197" formatCode="0.000\ 000\ &quot;MPa&quot;"/>
    <numFmt numFmtId="198" formatCode="0.000\ &quot;μm&quot;"/>
    <numFmt numFmtId="199" formatCode="0.00\ \˝"/>
    <numFmt numFmtId="200" formatCode="#\ ###\ ###"/>
    <numFmt numFmtId="201" formatCode="0.000000"/>
    <numFmt numFmtId="202" formatCode="####\-##\-##"/>
    <numFmt numFmtId="203" formatCode="#\ ##0.00"/>
    <numFmt numFmtId="204" formatCode="0.00\ &quot;kPa&quot;"/>
    <numFmt numFmtId="205" formatCode="0.000\ &quot;kPa&quot;"/>
    <numFmt numFmtId="206" formatCode="0.0000"/>
    <numFmt numFmtId="207" formatCode="0.00000"/>
  </numFmts>
  <fonts count="11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b/>
      <sz val="9"/>
      <color indexed="9"/>
      <name val="굴림"/>
      <family val="3"/>
      <charset val="129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b/>
      <sz val="9"/>
      <color indexed="10"/>
      <name val="Tahoma"/>
      <family val="2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i/>
      <sz val="10"/>
      <name val="맑은 고딕"/>
      <family val="3"/>
      <charset val="129"/>
      <scheme val="minor"/>
    </font>
    <font>
      <b/>
      <sz val="10"/>
      <name val="Tahoma"/>
      <family val="2"/>
    </font>
    <font>
      <b/>
      <sz val="10"/>
      <name val="돋움"/>
      <family val="3"/>
      <charset val="129"/>
    </font>
    <font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b/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name val="Times New Roman"/>
      <family val="1"/>
    </font>
    <font>
      <b/>
      <sz val="10"/>
      <name val="맑은 고딕"/>
      <family val="1"/>
      <scheme val="major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b/>
      <sz val="20"/>
      <name val="맑은 고딕"/>
      <family val="3"/>
      <charset val="129"/>
      <scheme val="minor"/>
    </font>
    <font>
      <sz val="9"/>
      <color rgb="FFFF0000"/>
      <name val="Arial Unicode MS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b/>
      <i/>
      <sz val="9"/>
      <color indexed="9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0070C0"/>
      <name val="Arial Unicode MS"/>
      <family val="3"/>
      <charset val="129"/>
    </font>
    <font>
      <b/>
      <sz val="20"/>
      <name val="Felix Titling"/>
      <family val="5"/>
    </font>
    <font>
      <b/>
      <vertAlign val="superscript"/>
      <sz val="9"/>
      <color indexed="9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i/>
      <sz val="10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sz val="9"/>
      <color indexed="8"/>
      <name val="Arial Unicode MS"/>
      <family val="3"/>
      <charset val="129"/>
    </font>
    <font>
      <b/>
      <sz val="9"/>
      <color indexed="8"/>
      <name val="Arial Unicode MS"/>
      <family val="3"/>
      <charset val="129"/>
    </font>
    <font>
      <i/>
      <sz val="9"/>
      <name val="맑은 고딕"/>
      <family val="3"/>
      <charset val="129"/>
      <scheme val="minor"/>
    </font>
    <font>
      <vertAlign val="subscript"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i/>
      <sz val="9"/>
      <color theme="0"/>
      <name val="맑은 고딕"/>
      <family val="3"/>
      <charset val="129"/>
      <scheme val="minor"/>
    </font>
    <font>
      <b/>
      <vertAlign val="subscript"/>
      <sz val="9"/>
      <color theme="0"/>
      <name val="맑은 고딕"/>
      <family val="3"/>
      <charset val="129"/>
      <scheme val="minor"/>
    </font>
    <font>
      <vertAlign val="superscript"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i/>
      <sz val="9"/>
      <name val="Times New Roman"/>
      <family val="1"/>
    </font>
    <font>
      <i/>
      <vertAlign val="subscript"/>
      <sz val="9"/>
      <name val="Times New Roman"/>
      <family val="1"/>
    </font>
    <font>
      <i/>
      <sz val="9"/>
      <name val="맑은 고딕"/>
      <family val="3"/>
      <charset val="129"/>
      <scheme val="major"/>
    </font>
    <font>
      <vertAlign val="superscript"/>
      <sz val="9"/>
      <name val="맑은 고딕"/>
      <family val="3"/>
      <charset val="129"/>
      <scheme val="major"/>
    </font>
    <font>
      <vertAlign val="superscript"/>
      <sz val="10"/>
      <name val="맑은 고딕"/>
      <family val="3"/>
      <charset val="129"/>
      <scheme val="major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9"/>
      <name val="Arial Unicode MS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B0F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0"/>
      </patternFill>
    </fill>
    <fill>
      <patternFill patternType="solid">
        <fgColor theme="8" tint="0.79998168889431442"/>
        <bgColor indexed="0"/>
      </patternFill>
    </fill>
  </fills>
  <borders count="1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theme="0" tint="-0.24994659260841701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22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45">
    <xf numFmtId="0" fontId="0" fillId="0" borderId="0">
      <alignment vertical="center"/>
    </xf>
    <xf numFmtId="0" fontId="15" fillId="0" borderId="0"/>
    <xf numFmtId="0" fontId="15" fillId="0" borderId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9" fillId="0" borderId="0"/>
    <xf numFmtId="0" fontId="39" fillId="0" borderId="0"/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6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6" fillId="0" borderId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38" fontId="37" fillId="16" borderId="0" applyNumberFormat="0" applyBorder="0" applyAlignment="0" applyProtection="0"/>
    <xf numFmtId="10" fontId="37" fillId="17" borderId="1" applyNumberFormat="0" applyBorder="0" applyAlignment="0" applyProtection="0"/>
    <xf numFmtId="0" fontId="38" fillId="0" borderId="0"/>
    <xf numFmtId="0" fontId="8" fillId="0" borderId="0"/>
    <xf numFmtId="10" fontId="8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4" fillId="23" borderId="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4" fillId="0" borderId="0"/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8" fillId="0" borderId="0"/>
    <xf numFmtId="0" fontId="25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7" borderId="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10" applyNumberFormat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5" fillId="0" borderId="0">
      <alignment vertical="center"/>
    </xf>
    <xf numFmtId="0" fontId="4" fillId="0" borderId="0">
      <alignment vertical="center"/>
    </xf>
    <xf numFmtId="0" fontId="4" fillId="0" borderId="0"/>
    <xf numFmtId="0" fontId="53" fillId="0" borderId="0">
      <alignment vertical="center"/>
    </xf>
    <xf numFmtId="0" fontId="16" fillId="0" borderId="0">
      <alignment vertical="center"/>
    </xf>
    <xf numFmtId="0" fontId="4" fillId="0" borderId="0"/>
    <xf numFmtId="0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0" fontId="37" fillId="17" borderId="35" applyNumberFormat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5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23" borderId="34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58" applyNumberFormat="0" applyFill="0" applyAlignment="0" applyProtection="0">
      <alignment vertical="center"/>
    </xf>
    <xf numFmtId="0" fontId="27" fillId="7" borderId="5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59" applyNumberFormat="0" applyAlignment="0" applyProtection="0">
      <alignment vertical="center"/>
    </xf>
    <xf numFmtId="0" fontId="1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4" fillId="23" borderId="3" applyNumberFormat="0" applyFont="0" applyAlignment="0" applyProtection="0">
      <alignment vertical="center"/>
    </xf>
    <xf numFmtId="0" fontId="27" fillId="7" borderId="2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0" fontId="37" fillId="17" borderId="109" applyNumberFormat="0" applyBorder="0" applyAlignment="0" applyProtection="0"/>
    <xf numFmtId="0" fontId="19" fillId="22" borderId="110" applyNumberFormat="0" applyAlignment="0" applyProtection="0">
      <alignment vertical="center"/>
    </xf>
    <xf numFmtId="0" fontId="4" fillId="23" borderId="108" applyNumberFormat="0" applyFont="0" applyAlignment="0" applyProtection="0">
      <alignment vertical="center"/>
    </xf>
    <xf numFmtId="0" fontId="26" fillId="0" borderId="111" applyNumberFormat="0" applyFill="0" applyAlignment="0" applyProtection="0">
      <alignment vertical="center"/>
    </xf>
    <xf numFmtId="0" fontId="27" fillId="7" borderId="110" applyNumberFormat="0" applyAlignment="0" applyProtection="0">
      <alignment vertical="center"/>
    </xf>
    <xf numFmtId="0" fontId="33" fillId="22" borderId="112" applyNumberFormat="0" applyAlignment="0" applyProtection="0">
      <alignment vertical="center"/>
    </xf>
    <xf numFmtId="0" fontId="8" fillId="0" borderId="0"/>
  </cellStyleXfs>
  <cellXfs count="817">
    <xf numFmtId="0" fontId="0" fillId="0" borderId="0" xfId="0">
      <alignment vertical="center"/>
    </xf>
    <xf numFmtId="49" fontId="2" fillId="0" borderId="0" xfId="79" applyNumberFormat="1" applyFont="1" applyFill="1" applyBorder="1" applyAlignment="1">
      <alignment horizontal="left" vertical="center"/>
    </xf>
    <xf numFmtId="49" fontId="2" fillId="0" borderId="0" xfId="79" applyNumberFormat="1" applyFont="1" applyFill="1" applyAlignment="1">
      <alignment horizontal="left" vertical="center"/>
    </xf>
    <xf numFmtId="0" fontId="2" fillId="0" borderId="0" xfId="0" applyFont="1" applyFill="1" applyBorder="1">
      <alignment vertical="center"/>
    </xf>
    <xf numFmtId="0" fontId="43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4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85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43" fillId="0" borderId="1" xfId="0" applyFont="1" applyFill="1" applyBorder="1" applyAlignment="1" applyProtection="1">
      <alignment horizontal="center" vertical="center"/>
    </xf>
    <xf numFmtId="186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187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>
      <alignment vertical="center"/>
    </xf>
    <xf numFmtId="0" fontId="10" fillId="0" borderId="1" xfId="0" applyFont="1" applyFill="1" applyBorder="1" applyAlignment="1" applyProtection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14" fontId="2" fillId="0" borderId="0" xfId="0" applyNumberFormat="1" applyFont="1" applyFill="1" applyBorder="1">
      <alignment vertical="center"/>
    </xf>
    <xf numFmtId="0" fontId="51" fillId="0" borderId="0" xfId="79" applyFont="1"/>
    <xf numFmtId="0" fontId="51" fillId="0" borderId="0" xfId="0" applyFont="1">
      <alignment vertical="center"/>
    </xf>
    <xf numFmtId="49" fontId="51" fillId="0" borderId="19" xfId="79" applyNumberFormat="1" applyFont="1" applyFill="1" applyBorder="1" applyAlignment="1">
      <alignment horizontal="left" vertical="center"/>
    </xf>
    <xf numFmtId="49" fontId="51" fillId="0" borderId="19" xfId="79" applyNumberFormat="1" applyFont="1" applyFill="1" applyBorder="1" applyAlignment="1">
      <alignment horizontal="center" vertical="center"/>
    </xf>
    <xf numFmtId="0" fontId="51" fillId="0" borderId="19" xfId="79" applyNumberFormat="1" applyFont="1" applyFill="1" applyBorder="1" applyAlignment="1">
      <alignment horizontal="righ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horizontal="center" vertical="center"/>
    </xf>
    <xf numFmtId="0" fontId="55" fillId="26" borderId="0" xfId="0" applyFont="1" applyFill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5" fillId="26" borderId="0" xfId="0" applyFont="1" applyFill="1" applyAlignment="1">
      <alignment horizontal="center" vertical="center" wrapText="1"/>
    </xf>
    <xf numFmtId="0" fontId="58" fillId="0" borderId="0" xfId="0" applyFont="1" applyAlignment="1">
      <alignment horizontal="lef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6" fillId="0" borderId="0" xfId="0" applyFont="1" applyAlignment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9" fillId="0" borderId="0" xfId="0" applyFont="1" applyBorder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1" fillId="0" borderId="19" xfId="79" applyNumberFormat="1" applyFont="1" applyFill="1" applyBorder="1" applyAlignment="1">
      <alignment vertical="center"/>
    </xf>
    <xf numFmtId="0" fontId="51" fillId="0" borderId="0" xfId="79" applyNumberFormat="1" applyFont="1"/>
    <xf numFmtId="0" fontId="51" fillId="0" borderId="19" xfId="79" applyNumberFormat="1" applyFont="1" applyFill="1" applyBorder="1" applyAlignment="1">
      <alignment horizontal="left" vertical="center"/>
    </xf>
    <xf numFmtId="0" fontId="57" fillId="0" borderId="25" xfId="0" applyFont="1" applyBorder="1" applyAlignment="1">
      <alignment horizontal="center" vertical="center"/>
    </xf>
    <xf numFmtId="0" fontId="54" fillId="0" borderId="25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 inden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49" fontId="57" fillId="0" borderId="1" xfId="0" applyNumberFormat="1" applyFont="1" applyBorder="1" applyAlignment="1">
      <alignment horizontal="center" vertical="center"/>
    </xf>
    <xf numFmtId="0" fontId="10" fillId="30" borderId="11" xfId="0" applyFont="1" applyFill="1" applyBorder="1" applyAlignment="1" applyProtection="1">
      <alignment horizontal="center" vertical="center"/>
      <protection locked="0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49" fontId="51" fillId="0" borderId="0" xfId="79" applyNumberFormat="1" applyFont="1" applyFill="1" applyBorder="1" applyAlignment="1">
      <alignment vertical="center"/>
    </xf>
    <xf numFmtId="0" fontId="51" fillId="0" borderId="0" xfId="79" applyNumberFormat="1" applyFont="1" applyFill="1" applyBorder="1" applyAlignment="1">
      <alignment vertical="center"/>
    </xf>
    <xf numFmtId="49" fontId="51" fillId="0" borderId="0" xfId="79" applyNumberFormat="1" applyFont="1" applyFill="1" applyAlignment="1">
      <alignment horizontal="center" vertical="center"/>
    </xf>
    <xf numFmtId="0" fontId="51" fillId="0" borderId="0" xfId="79" applyNumberFormat="1" applyFont="1" applyFill="1" applyAlignment="1">
      <alignment horizontal="center" vertical="center"/>
    </xf>
    <xf numFmtId="0" fontId="51" fillId="0" borderId="0" xfId="79" applyNumberFormat="1" applyFont="1" applyFill="1" applyAlignment="1">
      <alignment vertical="center"/>
    </xf>
    <xf numFmtId="0" fontId="13" fillId="0" borderId="0" xfId="0" applyFont="1" applyFill="1" applyBorder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49" fontId="57" fillId="0" borderId="27" xfId="0" applyNumberFormat="1" applyFont="1" applyBorder="1" applyAlignment="1">
      <alignment horizontal="center" vertical="center"/>
    </xf>
    <xf numFmtId="0" fontId="57" fillId="0" borderId="27" xfId="0" applyFont="1" applyBorder="1" applyAlignment="1">
      <alignment horizontal="center" vertical="center"/>
    </xf>
    <xf numFmtId="0" fontId="54" fillId="0" borderId="27" xfId="0" applyFont="1" applyBorder="1" applyAlignment="1">
      <alignment horizontal="center" vertical="center"/>
    </xf>
    <xf numFmtId="0" fontId="63" fillId="0" borderId="0" xfId="0" applyFont="1">
      <alignment vertical="center"/>
    </xf>
    <xf numFmtId="0" fontId="69" fillId="0" borderId="0" xfId="0" applyFont="1" applyAlignment="1">
      <alignment horizontal="center" vertical="center"/>
    </xf>
    <xf numFmtId="0" fontId="70" fillId="0" borderId="0" xfId="0" applyFont="1">
      <alignment vertical="center"/>
    </xf>
    <xf numFmtId="0" fontId="48" fillId="0" borderId="0" xfId="0" applyNumberFormat="1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190" fontId="2" fillId="0" borderId="34" xfId="78" applyNumberFormat="1" applyFont="1" applyFill="1" applyBorder="1" applyAlignment="1">
      <alignment horizontal="center" vertical="center"/>
    </xf>
    <xf numFmtId="0" fontId="2" fillId="0" borderId="34" xfId="78" applyNumberFormat="1" applyFont="1" applyFill="1" applyBorder="1" applyAlignment="1">
      <alignment horizontal="center" vertical="center"/>
    </xf>
    <xf numFmtId="0" fontId="51" fillId="0" borderId="38" xfId="79" applyNumberFormat="1" applyFont="1" applyFill="1" applyBorder="1" applyAlignment="1">
      <alignment horizontal="center" vertical="center"/>
    </xf>
    <xf numFmtId="0" fontId="51" fillId="0" borderId="39" xfId="79" applyNumberFormat="1" applyFont="1" applyFill="1" applyBorder="1" applyAlignment="1">
      <alignment horizontal="center" vertical="center"/>
    </xf>
    <xf numFmtId="0" fontId="51" fillId="0" borderId="44" xfId="79" applyNumberFormat="1" applyFont="1" applyFill="1" applyBorder="1" applyAlignment="1">
      <alignment horizontal="center" vertical="center"/>
    </xf>
    <xf numFmtId="0" fontId="51" fillId="0" borderId="46" xfId="79" applyNumberFormat="1" applyFont="1" applyFill="1" applyBorder="1" applyAlignment="1">
      <alignment horizontal="center" vertical="center"/>
    </xf>
    <xf numFmtId="0" fontId="61" fillId="27" borderId="47" xfId="81" applyFont="1" applyFill="1" applyBorder="1" applyAlignment="1">
      <alignment horizontal="center" vertical="center"/>
    </xf>
    <xf numFmtId="0" fontId="61" fillId="27" borderId="48" xfId="81" applyFont="1" applyFill="1" applyBorder="1" applyAlignment="1">
      <alignment horizontal="center" vertical="center"/>
    </xf>
    <xf numFmtId="0" fontId="62" fillId="27" borderId="48" xfId="81" applyFont="1" applyFill="1" applyBorder="1" applyAlignment="1">
      <alignment horizontal="center" vertical="center"/>
    </xf>
    <xf numFmtId="188" fontId="51" fillId="0" borderId="0" xfId="0" applyNumberFormat="1" applyFont="1" applyBorder="1" applyAlignment="1">
      <alignment vertical="center"/>
    </xf>
    <xf numFmtId="0" fontId="54" fillId="0" borderId="35" xfId="0" applyFont="1" applyBorder="1" applyAlignment="1">
      <alignment horizontal="center" vertical="center"/>
    </xf>
    <xf numFmtId="0" fontId="69" fillId="0" borderId="0" xfId="0" applyFont="1">
      <alignment vertical="center"/>
    </xf>
    <xf numFmtId="0" fontId="54" fillId="0" borderId="0" xfId="0" applyNumberFormat="1" applyFont="1" applyAlignment="1">
      <alignment vertical="center"/>
    </xf>
    <xf numFmtId="190" fontId="74" fillId="0" borderId="0" xfId="0" applyNumberFormat="1" applyFont="1" applyBorder="1" applyAlignment="1">
      <alignment horizontal="center" vertical="center"/>
    </xf>
    <xf numFmtId="0" fontId="75" fillId="0" borderId="0" xfId="0" applyNumberFormat="1" applyFont="1" applyBorder="1" applyAlignment="1">
      <alignment vertical="center"/>
    </xf>
    <xf numFmtId="0" fontId="74" fillId="0" borderId="0" xfId="0" applyFont="1" applyBorder="1">
      <alignment vertical="center"/>
    </xf>
    <xf numFmtId="0" fontId="74" fillId="0" borderId="0" xfId="0" applyFont="1">
      <alignment vertical="center"/>
    </xf>
    <xf numFmtId="192" fontId="74" fillId="0" borderId="0" xfId="0" applyNumberFormat="1" applyFont="1" applyBorder="1" applyAlignment="1">
      <alignment vertical="center"/>
    </xf>
    <xf numFmtId="49" fontId="74" fillId="0" borderId="0" xfId="0" applyNumberFormat="1" applyFont="1" applyBorder="1" applyAlignment="1">
      <alignment vertical="center"/>
    </xf>
    <xf numFmtId="0" fontId="74" fillId="0" borderId="0" xfId="0" applyFont="1" applyBorder="1" applyAlignment="1">
      <alignment vertical="center"/>
    </xf>
    <xf numFmtId="188" fontId="74" fillId="0" borderId="0" xfId="0" applyNumberFormat="1" applyFont="1" applyBorder="1" applyAlignment="1">
      <alignment horizontal="center" vertical="center" shrinkToFit="1"/>
    </xf>
    <xf numFmtId="0" fontId="74" fillId="0" borderId="0" xfId="0" applyFont="1" applyBorder="1" applyAlignment="1">
      <alignment horizontal="center" vertical="center" shrinkToFit="1"/>
    </xf>
    <xf numFmtId="0" fontId="74" fillId="0" borderId="0" xfId="0" applyNumberFormat="1" applyFont="1" applyBorder="1" applyAlignment="1">
      <alignment horizontal="center" vertical="center" shrinkToFit="1"/>
    </xf>
    <xf numFmtId="0" fontId="77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vertical="center"/>
    </xf>
    <xf numFmtId="195" fontId="54" fillId="0" borderId="0" xfId="0" applyNumberFormat="1" applyFont="1" applyBorder="1" applyAlignment="1">
      <alignment vertical="center"/>
    </xf>
    <xf numFmtId="1" fontId="54" fillId="0" borderId="0" xfId="0" applyNumberFormat="1" applyFont="1" applyBorder="1" applyAlignment="1">
      <alignment horizontal="right" vertical="center"/>
    </xf>
    <xf numFmtId="195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right" vertical="center"/>
    </xf>
    <xf numFmtId="0" fontId="79" fillId="0" borderId="0" xfId="0" applyNumberFormat="1" applyFont="1" applyBorder="1" applyAlignment="1">
      <alignment horizontal="right" vertical="center"/>
    </xf>
    <xf numFmtId="0" fontId="80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horizontal="center" vertical="center"/>
    </xf>
    <xf numFmtId="196" fontId="54" fillId="0" borderId="0" xfId="0" applyNumberFormat="1" applyFont="1" applyBorder="1" applyAlignment="1">
      <alignment vertical="center"/>
    </xf>
    <xf numFmtId="196" fontId="54" fillId="0" borderId="0" xfId="0" applyNumberFormat="1" applyFont="1" applyBorder="1" applyAlignment="1">
      <alignment horizontal="center" vertical="center"/>
    </xf>
    <xf numFmtId="0" fontId="79" fillId="0" borderId="0" xfId="0" applyFont="1" applyBorder="1" applyAlignment="1">
      <alignment vertical="center"/>
    </xf>
    <xf numFmtId="0" fontId="74" fillId="0" borderId="0" xfId="0" applyFont="1" applyAlignment="1">
      <alignment vertical="center"/>
    </xf>
    <xf numFmtId="197" fontId="74" fillId="0" borderId="0" xfId="0" applyNumberFormat="1" applyFont="1" applyBorder="1" applyAlignment="1">
      <alignment vertical="center" shrinkToFit="1"/>
    </xf>
    <xf numFmtId="198" fontId="74" fillId="0" borderId="0" xfId="0" applyNumberFormat="1" applyFont="1" applyBorder="1" applyAlignment="1">
      <alignment horizontal="right" vertical="center" shrinkToFit="1"/>
    </xf>
    <xf numFmtId="190" fontId="74" fillId="0" borderId="0" xfId="0" applyNumberFormat="1" applyFont="1" applyBorder="1" applyAlignment="1">
      <alignment vertical="center"/>
    </xf>
    <xf numFmtId="0" fontId="74" fillId="0" borderId="0" xfId="0" applyFont="1" applyAlignment="1">
      <alignment horizontal="center" vertical="center"/>
    </xf>
    <xf numFmtId="199" fontId="74" fillId="0" borderId="0" xfId="0" applyNumberFormat="1" applyFont="1" applyBorder="1" applyAlignment="1">
      <alignment horizontal="center" vertical="center"/>
    </xf>
    <xf numFmtId="0" fontId="75" fillId="0" borderId="0" xfId="0" applyFont="1" applyBorder="1" applyAlignment="1">
      <alignment horizontal="right" vertical="center"/>
    </xf>
    <xf numFmtId="0" fontId="75" fillId="0" borderId="0" xfId="0" applyFont="1" applyBorder="1" applyAlignment="1">
      <alignment horizontal="center" vertical="center"/>
    </xf>
    <xf numFmtId="2" fontId="74" fillId="0" borderId="0" xfId="0" applyNumberFormat="1" applyFont="1" applyBorder="1" applyAlignment="1">
      <alignment horizontal="left" vertical="center"/>
    </xf>
    <xf numFmtId="2" fontId="74" fillId="0" borderId="0" xfId="0" applyNumberFormat="1" applyFont="1" applyBorder="1" applyAlignment="1">
      <alignment vertical="center"/>
    </xf>
    <xf numFmtId="0" fontId="74" fillId="0" borderId="0" xfId="0" applyFont="1" applyBorder="1" applyAlignment="1">
      <alignment horizontal="right" vertical="center"/>
    </xf>
    <xf numFmtId="0" fontId="56" fillId="0" borderId="0" xfId="0" applyNumberFormat="1" applyFont="1" applyBorder="1" applyAlignment="1">
      <alignment vertical="center"/>
    </xf>
    <xf numFmtId="0" fontId="77" fillId="0" borderId="0" xfId="0" applyFont="1" applyBorder="1" applyAlignment="1">
      <alignment horizontal="left" vertical="center" indent="1"/>
    </xf>
    <xf numFmtId="0" fontId="83" fillId="0" borderId="0" xfId="0" applyNumberFormat="1" applyFont="1" applyAlignment="1">
      <alignment vertical="center"/>
    </xf>
    <xf numFmtId="0" fontId="40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57" fillId="0" borderId="35" xfId="0" applyFont="1" applyBorder="1" applyAlignment="1">
      <alignment horizontal="center" vertical="center"/>
    </xf>
    <xf numFmtId="49" fontId="51" fillId="32" borderId="0" xfId="79" applyNumberFormat="1" applyFont="1" applyFill="1" applyAlignment="1">
      <alignment horizontal="center" vertical="center"/>
    </xf>
    <xf numFmtId="0" fontId="51" fillId="32" borderId="0" xfId="79" applyNumberFormat="1" applyFont="1" applyFill="1" applyAlignment="1">
      <alignment horizontal="center" vertical="center"/>
    </xf>
    <xf numFmtId="49" fontId="2" fillId="0" borderId="0" xfId="79" applyNumberFormat="1" applyFont="1" applyFill="1" applyAlignment="1">
      <alignment horizontal="center" vertical="center"/>
    </xf>
    <xf numFmtId="0" fontId="2" fillId="0" borderId="0" xfId="79" applyNumberFormat="1" applyFont="1" applyFill="1" applyAlignment="1">
      <alignment horizontal="center" vertical="center"/>
    </xf>
    <xf numFmtId="191" fontId="84" fillId="0" borderId="0" xfId="0" applyNumberFormat="1" applyFont="1" applyFill="1" applyAlignment="1">
      <alignment horizontal="left" vertical="center"/>
    </xf>
    <xf numFmtId="49" fontId="3" fillId="0" borderId="0" xfId="79" applyNumberFormat="1" applyFont="1" applyFill="1" applyAlignment="1">
      <alignment horizontal="center" vertical="center"/>
    </xf>
    <xf numFmtId="0" fontId="3" fillId="32" borderId="0" xfId="79" applyNumberFormat="1" applyFont="1" applyFill="1" applyAlignment="1">
      <alignment horizontal="left" vertical="center"/>
    </xf>
    <xf numFmtId="49" fontId="2" fillId="32" borderId="0" xfId="79" applyNumberFormat="1" applyFont="1" applyFill="1" applyAlignment="1">
      <alignment horizontal="center" vertical="center"/>
    </xf>
    <xf numFmtId="0" fontId="51" fillId="32" borderId="0" xfId="78" applyNumberFormat="1" applyFont="1" applyFill="1" applyBorder="1" applyAlignment="1">
      <alignment horizontal="center" vertical="center"/>
    </xf>
    <xf numFmtId="49" fontId="2" fillId="0" borderId="0" xfId="79" applyNumberFormat="1" applyFont="1" applyFill="1" applyBorder="1" applyAlignment="1">
      <alignment vertical="center"/>
    </xf>
    <xf numFmtId="49" fontId="51" fillId="0" borderId="19" xfId="80" applyNumberFormat="1" applyFont="1" applyFill="1" applyBorder="1" applyAlignment="1">
      <alignment horizontal="right" vertical="center"/>
    </xf>
    <xf numFmtId="49" fontId="51" fillId="0" borderId="0" xfId="79" applyNumberFormat="1" applyFont="1" applyFill="1" applyBorder="1" applyAlignment="1">
      <alignment horizontal="center" vertical="center"/>
    </xf>
    <xf numFmtId="0" fontId="84" fillId="0" borderId="0" xfId="79" applyNumberFormat="1" applyFont="1" applyFill="1" applyAlignment="1">
      <alignment horizontal="center" vertical="center"/>
    </xf>
    <xf numFmtId="0" fontId="86" fillId="0" borderId="0" xfId="0" applyFont="1">
      <alignment vertical="center"/>
    </xf>
    <xf numFmtId="0" fontId="56" fillId="0" borderId="0" xfId="0" applyFont="1" applyAlignment="1">
      <alignment horizontal="center" vertical="center"/>
    </xf>
    <xf numFmtId="0" fontId="55" fillId="26" borderId="35" xfId="0" applyFont="1" applyFill="1" applyBorder="1" applyAlignment="1">
      <alignment horizontal="center" vertical="center" wrapText="1"/>
    </xf>
    <xf numFmtId="49" fontId="57" fillId="0" borderId="35" xfId="0" applyNumberFormat="1" applyFont="1" applyBorder="1" applyAlignment="1">
      <alignment horizontal="center" vertical="center"/>
    </xf>
    <xf numFmtId="0" fontId="51" fillId="0" borderId="45" xfId="79" applyNumberFormat="1" applyFont="1" applyFill="1" applyBorder="1" applyAlignment="1">
      <alignment horizontal="center" vertical="center" wrapText="1"/>
    </xf>
    <xf numFmtId="0" fontId="51" fillId="0" borderId="32" xfId="79" applyNumberFormat="1" applyFont="1" applyFill="1" applyBorder="1" applyAlignment="1">
      <alignment horizontal="center" vertical="center"/>
    </xf>
    <xf numFmtId="0" fontId="51" fillId="0" borderId="52" xfId="79" applyNumberFormat="1" applyFont="1" applyFill="1" applyBorder="1" applyAlignment="1">
      <alignment horizontal="center" vertical="center"/>
    </xf>
    <xf numFmtId="0" fontId="51" fillId="0" borderId="18" xfId="79" applyNumberFormat="1" applyFont="1" applyFill="1" applyBorder="1" applyAlignment="1">
      <alignment horizontal="center" vertical="center"/>
    </xf>
    <xf numFmtId="0" fontId="51" fillId="0" borderId="48" xfId="79" applyNumberFormat="1" applyFont="1" applyFill="1" applyBorder="1" applyAlignment="1">
      <alignment horizontal="center" vertical="center"/>
    </xf>
    <xf numFmtId="0" fontId="51" fillId="0" borderId="64" xfId="79" applyNumberFormat="1" applyFont="1" applyFill="1" applyBorder="1" applyAlignment="1">
      <alignment horizontal="center" vertical="center"/>
    </xf>
    <xf numFmtId="0" fontId="51" fillId="0" borderId="65" xfId="79" applyNumberFormat="1" applyFont="1" applyFill="1" applyBorder="1" applyAlignment="1">
      <alignment horizontal="center" vertical="center"/>
    </xf>
    <xf numFmtId="0" fontId="51" fillId="0" borderId="66" xfId="79" applyNumberFormat="1" applyFont="1" applyFill="1" applyBorder="1" applyAlignment="1">
      <alignment horizontal="center" vertical="center"/>
    </xf>
    <xf numFmtId="0" fontId="51" fillId="0" borderId="17" xfId="79" applyNumberFormat="1" applyFont="1" applyFill="1" applyBorder="1" applyAlignment="1">
      <alignment horizontal="center" vertical="center"/>
    </xf>
    <xf numFmtId="0" fontId="51" fillId="0" borderId="67" xfId="79" applyNumberFormat="1" applyFont="1" applyFill="1" applyBorder="1" applyAlignment="1">
      <alignment horizontal="center" vertical="center"/>
    </xf>
    <xf numFmtId="0" fontId="51" fillId="0" borderId="68" xfId="79" applyNumberFormat="1" applyFont="1" applyFill="1" applyBorder="1" applyAlignment="1">
      <alignment horizontal="center" vertical="center"/>
    </xf>
    <xf numFmtId="0" fontId="51" fillId="0" borderId="56" xfId="79" applyNumberFormat="1" applyFont="1" applyFill="1" applyBorder="1" applyAlignment="1">
      <alignment horizontal="center" vertical="center"/>
    </xf>
    <xf numFmtId="0" fontId="51" fillId="0" borderId="13" xfId="79" applyNumberFormat="1" applyFont="1" applyFill="1" applyBorder="1" applyAlignment="1">
      <alignment horizontal="center" vertical="center"/>
    </xf>
    <xf numFmtId="0" fontId="51" fillId="0" borderId="69" xfId="79" applyNumberFormat="1" applyFont="1" applyFill="1" applyBorder="1" applyAlignment="1">
      <alignment horizontal="center" vertical="center"/>
    </xf>
    <xf numFmtId="0" fontId="51" fillId="0" borderId="70" xfId="79" applyNumberFormat="1" applyFont="1" applyFill="1" applyBorder="1" applyAlignment="1">
      <alignment horizontal="center" vertical="center"/>
    </xf>
    <xf numFmtId="0" fontId="51" fillId="0" borderId="71" xfId="79" applyNumberFormat="1" applyFont="1" applyFill="1" applyBorder="1" applyAlignment="1">
      <alignment horizontal="center" vertical="center"/>
    </xf>
    <xf numFmtId="0" fontId="51" fillId="32" borderId="0" xfId="79" applyNumberFormat="1" applyFont="1" applyFill="1" applyBorder="1" applyAlignment="1">
      <alignment horizontal="center" vertical="center"/>
    </xf>
    <xf numFmtId="0" fontId="65" fillId="0" borderId="0" xfId="0" applyNumberFormat="1" applyFont="1" applyFill="1" applyBorder="1" applyAlignment="1">
      <alignment vertical="center"/>
    </xf>
    <xf numFmtId="0" fontId="9" fillId="29" borderId="72" xfId="0" applyNumberFormat="1" applyFont="1" applyFill="1" applyBorder="1" applyAlignment="1">
      <alignment horizontal="center" vertical="center"/>
    </xf>
    <xf numFmtId="0" fontId="49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87" fillId="0" borderId="0" xfId="0" applyNumberFormat="1" applyFont="1" applyFill="1" applyAlignment="1">
      <alignment horizontal="left" vertical="center" indent="1"/>
    </xf>
    <xf numFmtId="0" fontId="86" fillId="0" borderId="0" xfId="0" applyNumberFormat="1" applyFont="1" applyFill="1" applyBorder="1" applyAlignment="1">
      <alignment horizontal="center" vertical="center"/>
    </xf>
    <xf numFmtId="0" fontId="86" fillId="0" borderId="0" xfId="0" applyNumberFormat="1" applyFont="1" applyFill="1" applyBorder="1" applyAlignment="1">
      <alignment horizontal="left" vertical="center"/>
    </xf>
    <xf numFmtId="0" fontId="86" fillId="0" borderId="0" xfId="0" applyNumberFormat="1" applyFont="1">
      <alignment vertical="center"/>
    </xf>
    <xf numFmtId="0" fontId="86" fillId="0" borderId="0" xfId="0" applyNumberFormat="1" applyFont="1" applyFill="1" applyAlignment="1">
      <alignment horizontal="center" vertical="center"/>
    </xf>
    <xf numFmtId="0" fontId="89" fillId="0" borderId="0" xfId="0" applyNumberFormat="1" applyFont="1" applyFill="1" applyAlignment="1">
      <alignment horizontal="center" vertical="center"/>
    </xf>
    <xf numFmtId="0" fontId="87" fillId="0" borderId="0" xfId="0" applyNumberFormat="1" applyFont="1" applyFill="1" applyAlignment="1">
      <alignment vertical="center"/>
    </xf>
    <xf numFmtId="0" fontId="87" fillId="0" borderId="0" xfId="0" applyNumberFormat="1" applyFont="1" applyFill="1" applyBorder="1" applyAlignment="1">
      <alignment vertical="center"/>
    </xf>
    <xf numFmtId="0" fontId="86" fillId="0" borderId="74" xfId="78" applyNumberFormat="1" applyFont="1" applyFill="1" applyBorder="1" applyAlignment="1">
      <alignment horizontal="center" vertical="center"/>
    </xf>
    <xf numFmtId="0" fontId="86" fillId="0" borderId="77" xfId="78" applyNumberFormat="1" applyFont="1" applyFill="1" applyBorder="1" applyAlignment="1">
      <alignment horizontal="center" vertical="center"/>
    </xf>
    <xf numFmtId="201" fontId="86" fillId="0" borderId="73" xfId="0" applyNumberFormat="1" applyFont="1" applyFill="1" applyBorder="1" applyAlignment="1">
      <alignment horizontal="center" vertical="center"/>
    </xf>
    <xf numFmtId="0" fontId="86" fillId="0" borderId="78" xfId="78" applyNumberFormat="1" applyFont="1" applyFill="1" applyBorder="1" applyAlignment="1">
      <alignment horizontal="center" vertical="center"/>
    </xf>
    <xf numFmtId="0" fontId="86" fillId="0" borderId="0" xfId="0" applyNumberFormat="1" applyFont="1" applyFill="1" applyBorder="1" applyAlignment="1">
      <alignment vertical="center"/>
    </xf>
    <xf numFmtId="0" fontId="86" fillId="0" borderId="73" xfId="0" applyNumberFormat="1" applyFont="1" applyFill="1" applyBorder="1" applyAlignment="1">
      <alignment horizontal="center" vertical="center"/>
    </xf>
    <xf numFmtId="0" fontId="86" fillId="0" borderId="0" xfId="0" applyNumberFormat="1" applyFont="1" applyFill="1" applyAlignment="1">
      <alignment vertical="center"/>
    </xf>
    <xf numFmtId="0" fontId="91" fillId="30" borderId="73" xfId="0" applyNumberFormat="1" applyFont="1" applyFill="1" applyBorder="1" applyAlignment="1">
      <alignment horizontal="center" vertical="center"/>
    </xf>
    <xf numFmtId="0" fontId="91" fillId="30" borderId="81" xfId="0" applyNumberFormat="1" applyFont="1" applyFill="1" applyBorder="1" applyAlignment="1">
      <alignment horizontal="center" vertical="center"/>
    </xf>
    <xf numFmtId="193" fontId="86" fillId="0" borderId="0" xfId="0" applyNumberFormat="1" applyFont="1">
      <alignment vertical="center"/>
    </xf>
    <xf numFmtId="49" fontId="2" fillId="0" borderId="34" xfId="78" applyNumberFormat="1" applyFont="1" applyFill="1" applyBorder="1" applyAlignment="1">
      <alignment horizontal="center" vertical="center"/>
    </xf>
    <xf numFmtId="202" fontId="2" fillId="0" borderId="34" xfId="78" applyNumberFormat="1" applyFont="1" applyFill="1" applyBorder="1" applyAlignment="1">
      <alignment horizontal="center" vertical="center"/>
    </xf>
    <xf numFmtId="0" fontId="51" fillId="32" borderId="49" xfId="79" applyNumberFormat="1" applyFont="1" applyFill="1" applyBorder="1" applyAlignment="1">
      <alignment horizontal="center" vertical="center"/>
    </xf>
    <xf numFmtId="0" fontId="64" fillId="32" borderId="49" xfId="0" applyNumberFormat="1" applyFont="1" applyFill="1" applyBorder="1" applyAlignment="1">
      <alignment horizontal="left" vertical="center"/>
    </xf>
    <xf numFmtId="0" fontId="92" fillId="0" borderId="0" xfId="79" applyNumberFormat="1" applyFont="1" applyFill="1" applyAlignment="1">
      <alignment horizontal="center" vertical="center"/>
    </xf>
    <xf numFmtId="0" fontId="86" fillId="35" borderId="82" xfId="82" applyNumberFormat="1" applyFont="1" applyFill="1" applyBorder="1" applyAlignment="1">
      <alignment horizontal="center" vertical="center"/>
    </xf>
    <xf numFmtId="0" fontId="6" fillId="29" borderId="34" xfId="0" applyNumberFormat="1" applyFont="1" applyFill="1" applyBorder="1" applyAlignment="1">
      <alignment horizontal="center" vertical="center"/>
    </xf>
    <xf numFmtId="0" fontId="6" fillId="29" borderId="34" xfId="0" applyNumberFormat="1" applyFont="1" applyFill="1" applyBorder="1" applyAlignment="1">
      <alignment horizontal="center" vertical="center" wrapText="1"/>
    </xf>
    <xf numFmtId="0" fontId="7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>
      <alignment vertical="center"/>
    </xf>
    <xf numFmtId="0" fontId="86" fillId="0" borderId="3" xfId="0" applyNumberFormat="1" applyFont="1" applyFill="1" applyBorder="1" applyAlignment="1">
      <alignment horizontal="center" vertical="center"/>
    </xf>
    <xf numFmtId="0" fontId="88" fillId="29" borderId="3" xfId="0" applyNumberFormat="1" applyFont="1" applyFill="1" applyBorder="1" applyAlignment="1">
      <alignment horizontal="center" vertical="center"/>
    </xf>
    <xf numFmtId="0" fontId="86" fillId="0" borderId="3" xfId="78" applyNumberFormat="1" applyFont="1" applyFill="1" applyBorder="1" applyAlignment="1">
      <alignment horizontal="center" vertical="center"/>
    </xf>
    <xf numFmtId="190" fontId="86" fillId="33" borderId="3" xfId="78" applyNumberFormat="1" applyFont="1" applyFill="1" applyBorder="1" applyAlignment="1">
      <alignment horizontal="center" vertical="center"/>
    </xf>
    <xf numFmtId="0" fontId="86" fillId="0" borderId="92" xfId="0" applyNumberFormat="1" applyFont="1" applyFill="1" applyBorder="1" applyAlignment="1">
      <alignment horizontal="center" vertical="center"/>
    </xf>
    <xf numFmtId="49" fontId="51" fillId="0" borderId="95" xfId="79" applyNumberFormat="1" applyFont="1" applyFill="1" applyBorder="1" applyAlignment="1">
      <alignment horizontal="center" vertical="center"/>
    </xf>
    <xf numFmtId="0" fontId="51" fillId="0" borderId="95" xfId="79" applyNumberFormat="1" applyFont="1" applyFill="1" applyBorder="1" applyAlignment="1">
      <alignment vertical="center"/>
    </xf>
    <xf numFmtId="0" fontId="51" fillId="0" borderId="104" xfId="79" applyNumberFormat="1" applyFont="1" applyFill="1" applyBorder="1" applyAlignment="1">
      <alignment horizontal="center" vertical="center"/>
    </xf>
    <xf numFmtId="0" fontId="51" fillId="0" borderId="103" xfId="79" applyNumberFormat="1" applyFont="1" applyFill="1" applyBorder="1" applyAlignment="1">
      <alignment horizontal="center" vertical="center"/>
    </xf>
    <xf numFmtId="0" fontId="51" fillId="0" borderId="101" xfId="79" applyNumberFormat="1" applyFont="1" applyFill="1" applyBorder="1" applyAlignment="1">
      <alignment horizontal="center" vertical="center"/>
    </xf>
    <xf numFmtId="0" fontId="51" fillId="0" borderId="102" xfId="79" applyNumberFormat="1" applyFont="1" applyFill="1" applyBorder="1" applyAlignment="1">
      <alignment horizontal="center" vertical="center"/>
    </xf>
    <xf numFmtId="0" fontId="51" fillId="0" borderId="54" xfId="79" applyNumberFormat="1" applyFont="1" applyFill="1" applyBorder="1" applyAlignment="1">
      <alignment horizontal="center" vertical="center"/>
    </xf>
    <xf numFmtId="0" fontId="51" fillId="0" borderId="99" xfId="79" applyNumberFormat="1" applyFont="1" applyFill="1" applyBorder="1" applyAlignment="1">
      <alignment horizontal="center" vertical="center"/>
    </xf>
    <xf numFmtId="0" fontId="51" fillId="0" borderId="60" xfId="79" applyNumberFormat="1" applyFont="1" applyFill="1" applyBorder="1" applyAlignment="1">
      <alignment horizontal="center" vertical="center"/>
    </xf>
    <xf numFmtId="49" fontId="51" fillId="0" borderId="0" xfId="79" applyNumberFormat="1" applyFont="1" applyFill="1" applyBorder="1" applyAlignment="1">
      <alignment vertical="center"/>
    </xf>
    <xf numFmtId="0" fontId="51" fillId="0" borderId="0" xfId="79" applyNumberFormat="1" applyFont="1" applyFill="1" applyBorder="1" applyAlignment="1">
      <alignment vertical="center"/>
    </xf>
    <xf numFmtId="49" fontId="51" fillId="0" borderId="0" xfId="79" applyNumberFormat="1" applyFont="1" applyFill="1" applyAlignment="1">
      <alignment horizontal="center" vertical="center"/>
    </xf>
    <xf numFmtId="0" fontId="51" fillId="0" borderId="0" xfId="79" applyNumberFormat="1" applyFont="1" applyFill="1" applyAlignment="1">
      <alignment horizontal="center" vertical="center"/>
    </xf>
    <xf numFmtId="0" fontId="51" fillId="0" borderId="37" xfId="79" applyNumberFormat="1" applyFont="1" applyFill="1" applyBorder="1" applyAlignment="1">
      <alignment horizontal="center" vertical="center"/>
    </xf>
    <xf numFmtId="0" fontId="51" fillId="0" borderId="38" xfId="79" applyNumberFormat="1" applyFont="1" applyFill="1" applyBorder="1" applyAlignment="1">
      <alignment horizontal="center" vertical="center"/>
    </xf>
    <xf numFmtId="0" fontId="51" fillId="0" borderId="39" xfId="79" applyNumberFormat="1" applyFont="1" applyFill="1" applyBorder="1" applyAlignment="1">
      <alignment horizontal="center" vertical="center"/>
    </xf>
    <xf numFmtId="0" fontId="51" fillId="0" borderId="96" xfId="79" applyNumberFormat="1" applyFont="1" applyFill="1" applyBorder="1" applyAlignment="1">
      <alignment horizontal="center" vertical="center"/>
    </xf>
    <xf numFmtId="0" fontId="51" fillId="0" borderId="55" xfId="79" applyNumberFormat="1" applyFont="1" applyFill="1" applyBorder="1" applyAlignment="1">
      <alignment horizontal="center" vertical="center"/>
    </xf>
    <xf numFmtId="0" fontId="51" fillId="0" borderId="97" xfId="79" applyNumberFormat="1" applyFont="1" applyFill="1" applyBorder="1" applyAlignment="1">
      <alignment horizontal="center" vertical="center"/>
    </xf>
    <xf numFmtId="0" fontId="51" fillId="0" borderId="41" xfId="79" applyNumberFormat="1" applyFont="1" applyFill="1" applyBorder="1" applyAlignment="1">
      <alignment horizontal="center" vertical="center"/>
    </xf>
    <xf numFmtId="0" fontId="51" fillId="0" borderId="42" xfId="79" applyNumberFormat="1" applyFont="1" applyFill="1" applyBorder="1" applyAlignment="1">
      <alignment horizontal="center" vertical="center"/>
    </xf>
    <xf numFmtId="0" fontId="51" fillId="0" borderId="46" xfId="79" applyNumberFormat="1" applyFont="1" applyFill="1" applyBorder="1" applyAlignment="1">
      <alignment horizontal="center" vertical="center"/>
    </xf>
    <xf numFmtId="0" fontId="51" fillId="0" borderId="61" xfId="79" applyNumberFormat="1" applyFont="1" applyFill="1" applyBorder="1" applyAlignment="1">
      <alignment horizontal="center" vertical="center"/>
    </xf>
    <xf numFmtId="0" fontId="51" fillId="0" borderId="98" xfId="79" applyNumberFormat="1" applyFont="1" applyFill="1" applyBorder="1" applyAlignment="1">
      <alignment horizontal="center" vertical="center"/>
    </xf>
    <xf numFmtId="0" fontId="51" fillId="0" borderId="36" xfId="79" applyNumberFormat="1" applyFont="1" applyFill="1" applyBorder="1" applyAlignment="1">
      <alignment horizontal="center" vertical="center"/>
    </xf>
    <xf numFmtId="0" fontId="84" fillId="0" borderId="0" xfId="79" applyNumberFormat="1" applyFont="1" applyFill="1" applyAlignment="1">
      <alignment horizontal="center" vertical="center"/>
    </xf>
    <xf numFmtId="49" fontId="51" fillId="32" borderId="0" xfId="79" applyNumberFormat="1" applyFont="1" applyFill="1" applyAlignment="1">
      <alignment horizontal="center" vertical="center"/>
    </xf>
    <xf numFmtId="0" fontId="51" fillId="32" borderId="0" xfId="79" applyNumberFormat="1" applyFont="1" applyFill="1" applyAlignment="1">
      <alignment horizontal="center" vertical="center"/>
    </xf>
    <xf numFmtId="49" fontId="64" fillId="32" borderId="0" xfId="0" applyNumberFormat="1" applyFont="1" applyFill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88" fillId="29" borderId="3" xfId="0" applyNumberFormat="1" applyFont="1" applyFill="1" applyBorder="1" applyAlignment="1">
      <alignment horizontal="center" vertical="center" wrapText="1"/>
    </xf>
    <xf numFmtId="0" fontId="51" fillId="0" borderId="36" xfId="79" applyNumberFormat="1" applyFont="1" applyFill="1" applyBorder="1" applyAlignment="1">
      <alignment horizontal="center" vertical="center"/>
    </xf>
    <xf numFmtId="0" fontId="51" fillId="0" borderId="100" xfId="79" applyNumberFormat="1" applyFont="1" applyFill="1" applyBorder="1" applyAlignment="1">
      <alignment horizontal="center" vertical="center"/>
    </xf>
    <xf numFmtId="2" fontId="86" fillId="0" borderId="73" xfId="0" applyNumberFormat="1" applyFont="1" applyFill="1" applyBorder="1" applyAlignment="1">
      <alignment horizontal="center" vertical="center"/>
    </xf>
    <xf numFmtId="193" fontId="88" fillId="29" borderId="72" xfId="0" applyNumberFormat="1" applyFont="1" applyFill="1" applyBorder="1" applyAlignment="1">
      <alignment horizontal="center" vertical="center" wrapText="1"/>
    </xf>
    <xf numFmtId="193" fontId="88" fillId="29" borderId="83" xfId="0" applyNumberFormat="1" applyFont="1" applyFill="1" applyBorder="1" applyAlignment="1">
      <alignment horizontal="center" vertical="center" wrapText="1"/>
    </xf>
    <xf numFmtId="193" fontId="88" fillId="29" borderId="26" xfId="0" applyNumberFormat="1" applyFont="1" applyFill="1" applyBorder="1" applyAlignment="1">
      <alignment horizontal="center" vertical="center" wrapText="1"/>
    </xf>
    <xf numFmtId="0" fontId="86" fillId="0" borderId="26" xfId="78" applyNumberFormat="1" applyFont="1" applyFill="1" applyBorder="1" applyAlignment="1">
      <alignment horizontal="center" vertical="center"/>
    </xf>
    <xf numFmtId="0" fontId="86" fillId="30" borderId="26" xfId="78" applyNumberFormat="1" applyFont="1" applyFill="1" applyBorder="1" applyAlignment="1">
      <alignment horizontal="center" vertical="center"/>
    </xf>
    <xf numFmtId="0" fontId="87" fillId="0" borderId="0" xfId="0" applyNumberFormat="1" applyFont="1">
      <alignment vertical="center"/>
    </xf>
    <xf numFmtId="0" fontId="91" fillId="0" borderId="0" xfId="0" applyNumberFormat="1" applyFont="1">
      <alignment vertical="center"/>
    </xf>
    <xf numFmtId="0" fontId="91" fillId="0" borderId="0" xfId="0" applyNumberFormat="1" applyFont="1" applyAlignment="1">
      <alignment horizontal="left" vertical="center" indent="1"/>
    </xf>
    <xf numFmtId="0" fontId="74" fillId="0" borderId="0" xfId="0" applyFont="1" applyBorder="1" applyAlignment="1">
      <alignment horizontal="center" vertical="center" wrapText="1"/>
    </xf>
    <xf numFmtId="201" fontId="5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8" fillId="0" borderId="0" xfId="0" applyFont="1" applyBorder="1" applyAlignment="1">
      <alignment vertical="center"/>
    </xf>
    <xf numFmtId="0" fontId="0" fillId="0" borderId="0" xfId="0" applyBorder="1">
      <alignment vertical="center"/>
    </xf>
    <xf numFmtId="189" fontId="74" fillId="0" borderId="0" xfId="0" applyNumberFormat="1" applyFont="1" applyBorder="1" applyAlignment="1">
      <alignment vertical="center" shrinkToFit="1"/>
    </xf>
    <xf numFmtId="189" fontId="54" fillId="0" borderId="0" xfId="0" applyNumberFormat="1" applyFont="1" applyBorder="1" applyAlignment="1">
      <alignment vertical="center"/>
    </xf>
    <xf numFmtId="204" fontId="74" fillId="0" borderId="0" xfId="0" applyNumberFormat="1" applyFont="1" applyBorder="1" applyAlignment="1">
      <alignment vertical="center" shrinkToFit="1"/>
    </xf>
    <xf numFmtId="197" fontId="74" fillId="0" borderId="0" xfId="0" applyNumberFormat="1" applyFont="1" applyBorder="1" applyAlignment="1">
      <alignment horizontal="center" vertical="center"/>
    </xf>
    <xf numFmtId="197" fontId="74" fillId="0" borderId="0" xfId="0" applyNumberFormat="1" applyFont="1" applyBorder="1" applyAlignment="1">
      <alignment vertical="center"/>
    </xf>
    <xf numFmtId="0" fontId="2" fillId="35" borderId="0" xfId="0" applyFont="1" applyFill="1" applyBorder="1" applyProtection="1">
      <alignment vertical="center"/>
      <protection locked="0"/>
    </xf>
    <xf numFmtId="0" fontId="97" fillId="0" borderId="0" xfId="0" applyNumberFormat="1" applyFont="1" applyAlignment="1">
      <alignment horizontal="left" vertical="center" indent="1"/>
    </xf>
    <xf numFmtId="0" fontId="85" fillId="34" borderId="109" xfId="86" applyFont="1" applyFill="1" applyBorder="1">
      <alignment vertical="center"/>
    </xf>
    <xf numFmtId="0" fontId="85" fillId="34" borderId="109" xfId="0" applyFont="1" applyFill="1" applyBorder="1">
      <alignment vertical="center"/>
    </xf>
    <xf numFmtId="190" fontId="86" fillId="33" borderId="108" xfId="78" applyNumberFormat="1" applyFont="1" applyFill="1" applyBorder="1" applyAlignment="1">
      <alignment horizontal="center" vertical="center"/>
    </xf>
    <xf numFmtId="0" fontId="86" fillId="0" borderId="108" xfId="78" applyNumberFormat="1" applyFont="1" applyFill="1" applyBorder="1" applyAlignment="1">
      <alignment horizontal="center" vertical="center"/>
    </xf>
    <xf numFmtId="0" fontId="2" fillId="0" borderId="0" xfId="79" applyNumberFormat="1" applyFont="1" applyFill="1" applyAlignment="1">
      <alignment horizontal="left" vertical="center"/>
    </xf>
    <xf numFmtId="0" fontId="51" fillId="0" borderId="0" xfId="0" applyNumberFormat="1" applyFont="1">
      <alignment vertical="center"/>
    </xf>
    <xf numFmtId="0" fontId="99" fillId="0" borderId="19" xfId="80" applyNumberFormat="1" applyFont="1" applyFill="1" applyBorder="1" applyAlignment="1">
      <alignment horizontal="right" vertical="center"/>
    </xf>
    <xf numFmtId="0" fontId="51" fillId="0" borderId="19" xfId="79" applyNumberFormat="1" applyFont="1" applyFill="1" applyBorder="1" applyAlignment="1">
      <alignment horizontal="center" vertical="center"/>
    </xf>
    <xf numFmtId="0" fontId="2" fillId="0" borderId="0" xfId="79" applyNumberFormat="1" applyFont="1" applyFill="1" applyBorder="1" applyAlignment="1">
      <alignment horizontal="left" vertical="center"/>
    </xf>
    <xf numFmtId="0" fontId="51" fillId="0" borderId="0" xfId="0" applyNumberFormat="1" applyFont="1" applyBorder="1" applyAlignment="1">
      <alignment vertical="center"/>
    </xf>
    <xf numFmtId="0" fontId="84" fillId="0" borderId="0" xfId="79" applyNumberFormat="1" applyFont="1" applyFill="1" applyAlignment="1">
      <alignment vertical="center"/>
    </xf>
    <xf numFmtId="49" fontId="64" fillId="0" borderId="0" xfId="79" applyNumberFormat="1" applyFont="1" applyFill="1" applyBorder="1" applyAlignment="1">
      <alignment vertical="center"/>
    </xf>
    <xf numFmtId="49" fontId="64" fillId="0" borderId="0" xfId="79" applyNumberFormat="1" applyFont="1" applyFill="1" applyBorder="1" applyAlignment="1">
      <alignment horizontal="center" vertical="center"/>
    </xf>
    <xf numFmtId="0" fontId="84" fillId="0" borderId="0" xfId="79" applyNumberFormat="1" applyFont="1" applyFill="1" applyAlignment="1">
      <alignment horizontal="left" vertical="center"/>
    </xf>
    <xf numFmtId="0" fontId="51" fillId="0" borderId="0" xfId="79" applyNumberFormat="1" applyFont="1" applyFill="1" applyBorder="1" applyAlignment="1">
      <alignment horizontal="center" vertical="center"/>
    </xf>
    <xf numFmtId="0" fontId="51" fillId="0" borderId="0" xfId="79" applyNumberFormat="1" applyFont="1" applyFill="1" applyAlignment="1">
      <alignment horizontal="right" vertical="center"/>
    </xf>
    <xf numFmtId="0" fontId="51" fillId="0" borderId="0" xfId="79" applyNumberFormat="1" applyFont="1" applyFill="1" applyAlignment="1">
      <alignment horizontal="left" vertical="center" indent="2"/>
    </xf>
    <xf numFmtId="0" fontId="51" fillId="0" borderId="0" xfId="79" applyNumberFormat="1" applyFont="1" applyFill="1" applyAlignment="1">
      <alignment horizontal="left" vertical="center"/>
    </xf>
    <xf numFmtId="0" fontId="64" fillId="32" borderId="0" xfId="0" applyNumberFormat="1" applyFont="1" applyFill="1" applyBorder="1" applyAlignment="1">
      <alignment horizontal="left" vertical="center"/>
    </xf>
    <xf numFmtId="191" fontId="100" fillId="36" borderId="19" xfId="144" applyNumberFormat="1" applyFont="1" applyFill="1" applyBorder="1" applyAlignment="1">
      <alignment horizontal="center" vertical="center" wrapText="1"/>
    </xf>
    <xf numFmtId="0" fontId="6" fillId="29" borderId="34" xfId="0" applyNumberFormat="1" applyFont="1" applyFill="1" applyBorder="1" applyAlignment="1">
      <alignment horizontal="center" vertical="center"/>
    </xf>
    <xf numFmtId="0" fontId="6" fillId="29" borderId="34" xfId="0" applyNumberFormat="1" applyFont="1" applyFill="1" applyBorder="1" applyAlignment="1">
      <alignment horizontal="center" vertical="center" wrapText="1"/>
    </xf>
    <xf numFmtId="49" fontId="64" fillId="36" borderId="19" xfId="79" applyNumberFormat="1" applyFont="1" applyFill="1" applyBorder="1" applyAlignment="1">
      <alignment horizontal="center" vertical="center" wrapText="1"/>
    </xf>
    <xf numFmtId="0" fontId="88" fillId="29" borderId="108" xfId="0" applyNumberFormat="1" applyFont="1" applyFill="1" applyBorder="1" applyAlignment="1">
      <alignment horizontal="center" vertical="center" wrapText="1"/>
    </xf>
    <xf numFmtId="0" fontId="86" fillId="28" borderId="82" xfId="82" applyNumberFormat="1" applyFont="1" applyFill="1" applyBorder="1" applyAlignment="1">
      <alignment horizontal="center" vertical="center"/>
    </xf>
    <xf numFmtId="0" fontId="87" fillId="0" borderId="0" xfId="0" applyFont="1">
      <alignment vertical="center"/>
    </xf>
    <xf numFmtId="0" fontId="86" fillId="0" borderId="0" xfId="0" applyFont="1" applyAlignment="1">
      <alignment horizontal="right" vertical="center"/>
    </xf>
    <xf numFmtId="0" fontId="86" fillId="0" borderId="0" xfId="0" applyFont="1" applyAlignment="1">
      <alignment horizontal="center" vertical="center"/>
    </xf>
    <xf numFmtId="0" fontId="103" fillId="27" borderId="109" xfId="81" applyFont="1" applyFill="1" applyBorder="1" applyAlignment="1">
      <alignment horizontal="center" vertical="center"/>
    </xf>
    <xf numFmtId="0" fontId="101" fillId="0" borderId="0" xfId="0" applyFont="1" applyAlignment="1">
      <alignment horizontal="right" vertical="center"/>
    </xf>
    <xf numFmtId="41" fontId="86" fillId="0" borderId="109" xfId="132" applyFont="1" applyBorder="1" applyAlignment="1">
      <alignment horizontal="right" vertical="center"/>
    </xf>
    <xf numFmtId="10" fontId="86" fillId="0" borderId="109" xfId="82" applyNumberFormat="1" applyFont="1" applyBorder="1" applyAlignment="1">
      <alignment vertical="center"/>
    </xf>
    <xf numFmtId="0" fontId="86" fillId="35" borderId="109" xfId="0" applyFont="1" applyFill="1" applyBorder="1" applyAlignment="1">
      <alignment horizontal="center" vertical="center"/>
    </xf>
    <xf numFmtId="0" fontId="86" fillId="0" borderId="109" xfId="0" applyFont="1" applyFill="1" applyBorder="1" applyAlignment="1">
      <alignment horizontal="center" vertical="center"/>
    </xf>
    <xf numFmtId="0" fontId="86" fillId="30" borderId="109" xfId="0" applyFont="1" applyFill="1" applyBorder="1" applyAlignment="1">
      <alignment horizontal="center" vertical="center"/>
    </xf>
    <xf numFmtId="49" fontId="70" fillId="0" borderId="109" xfId="0" applyNumberFormat="1" applyFont="1" applyBorder="1" applyAlignment="1">
      <alignment horizontal="center" vertical="center"/>
    </xf>
    <xf numFmtId="0" fontId="86" fillId="0" borderId="109" xfId="0" applyFont="1" applyBorder="1" applyAlignment="1">
      <alignment horizontal="center" vertical="center"/>
    </xf>
    <xf numFmtId="192" fontId="86" fillId="0" borderId="109" xfId="0" applyNumberFormat="1" applyFont="1" applyBorder="1" applyAlignment="1">
      <alignment vertical="center"/>
    </xf>
    <xf numFmtId="195" fontId="86" fillId="0" borderId="109" xfId="82" applyNumberFormat="1" applyFont="1" applyBorder="1" applyAlignment="1">
      <alignment horizontal="center" vertical="center"/>
    </xf>
    <xf numFmtId="2" fontId="86" fillId="0" borderId="78" xfId="78" applyNumberFormat="1" applyFont="1" applyFill="1" applyBorder="1" applyAlignment="1">
      <alignment horizontal="center" vertical="center"/>
    </xf>
    <xf numFmtId="0" fontId="86" fillId="0" borderId="73" xfId="78" applyNumberFormat="1" applyFont="1" applyFill="1" applyBorder="1" applyAlignment="1">
      <alignment horizontal="center" vertical="center"/>
    </xf>
    <xf numFmtId="190" fontId="86" fillId="0" borderId="73" xfId="0" applyNumberFormat="1" applyFont="1" applyFill="1" applyBorder="1" applyAlignment="1">
      <alignment horizontal="center" vertical="center"/>
    </xf>
    <xf numFmtId="0" fontId="86" fillId="0" borderId="109" xfId="0" applyNumberFormat="1" applyFont="1" applyBorder="1" applyAlignment="1">
      <alignment vertical="center"/>
    </xf>
    <xf numFmtId="0" fontId="86" fillId="0" borderId="109" xfId="82" applyNumberFormat="1" applyFont="1" applyBorder="1" applyAlignment="1">
      <alignment horizontal="center" vertical="center"/>
    </xf>
    <xf numFmtId="0" fontId="88" fillId="29" borderId="91" xfId="0" applyNumberFormat="1" applyFont="1" applyFill="1" applyBorder="1" applyAlignment="1">
      <alignment horizontal="center" vertical="center" wrapText="1"/>
    </xf>
    <xf numFmtId="0" fontId="86" fillId="0" borderId="50" xfId="0" applyNumberFormat="1" applyFont="1" applyBorder="1" applyAlignment="1">
      <alignment horizontal="center" vertical="center"/>
    </xf>
    <xf numFmtId="0" fontId="86" fillId="0" borderId="53" xfId="0" applyNumberFormat="1" applyFont="1" applyBorder="1" applyAlignment="1">
      <alignment horizontal="center" vertical="center"/>
    </xf>
    <xf numFmtId="0" fontId="86" fillId="0" borderId="51" xfId="0" applyNumberFormat="1" applyFont="1" applyBorder="1" applyAlignment="1">
      <alignment horizontal="center" vertical="center"/>
    </xf>
    <xf numFmtId="0" fontId="88" fillId="29" borderId="72" xfId="0" applyNumberFormat="1" applyFont="1" applyFill="1" applyBorder="1" applyAlignment="1">
      <alignment horizontal="center" vertical="center" wrapText="1"/>
    </xf>
    <xf numFmtId="0" fontId="88" fillId="29" borderId="72" xfId="0" applyNumberFormat="1" applyFont="1" applyFill="1" applyBorder="1" applyAlignment="1">
      <alignment horizontal="center" vertical="center"/>
    </xf>
    <xf numFmtId="0" fontId="88" fillId="29" borderId="26" xfId="0" applyNumberFormat="1" applyFont="1" applyFill="1" applyBorder="1" applyAlignment="1">
      <alignment horizontal="center" vertical="center"/>
    </xf>
    <xf numFmtId="0" fontId="88" fillId="29" borderId="73" xfId="0" applyNumberFormat="1" applyFont="1" applyFill="1" applyBorder="1" applyAlignment="1">
      <alignment horizontal="center" vertical="center" wrapText="1"/>
    </xf>
    <xf numFmtId="0" fontId="88" fillId="29" borderId="91" xfId="0" applyNumberFormat="1" applyFont="1" applyFill="1" applyBorder="1" applyAlignment="1">
      <alignment horizontal="center" vertical="center" wrapText="1"/>
    </xf>
    <xf numFmtId="0" fontId="88" fillId="29" borderId="73" xfId="0" applyNumberFormat="1" applyFont="1" applyFill="1" applyBorder="1" applyAlignment="1">
      <alignment horizontal="center" vertical="center" wrapText="1"/>
    </xf>
    <xf numFmtId="0" fontId="88" fillId="29" borderId="72" xfId="0" applyNumberFormat="1" applyFont="1" applyFill="1" applyBorder="1" applyAlignment="1">
      <alignment horizontal="center" vertical="center" wrapText="1"/>
    </xf>
    <xf numFmtId="0" fontId="88" fillId="29" borderId="72" xfId="0" applyNumberFormat="1" applyFont="1" applyFill="1" applyBorder="1" applyAlignment="1">
      <alignment horizontal="center" vertical="center"/>
    </xf>
    <xf numFmtId="0" fontId="88" fillId="29" borderId="26" xfId="0" applyNumberFormat="1" applyFont="1" applyFill="1" applyBorder="1" applyAlignment="1">
      <alignment horizontal="center" vertical="center"/>
    </xf>
    <xf numFmtId="0" fontId="86" fillId="0" borderId="50" xfId="0" applyNumberFormat="1" applyFont="1" applyBorder="1" applyAlignment="1">
      <alignment horizontal="center" vertical="center"/>
    </xf>
    <xf numFmtId="0" fontId="86" fillId="0" borderId="53" xfId="0" applyNumberFormat="1" applyFont="1" applyBorder="1" applyAlignment="1">
      <alignment horizontal="center" vertical="center"/>
    </xf>
    <xf numFmtId="0" fontId="86" fillId="0" borderId="51" xfId="0" applyNumberFormat="1" applyFont="1" applyBorder="1" applyAlignment="1">
      <alignment horizontal="center" vertical="center"/>
    </xf>
    <xf numFmtId="0" fontId="88" fillId="29" borderId="108" xfId="0" applyNumberFormat="1" applyFont="1" applyFill="1" applyBorder="1" applyAlignment="1">
      <alignment horizontal="center" vertical="center"/>
    </xf>
    <xf numFmtId="0" fontId="86" fillId="0" borderId="108" xfId="0" applyNumberFormat="1" applyFont="1" applyFill="1" applyBorder="1" applyAlignment="1">
      <alignment horizontal="center" vertical="center"/>
    </xf>
    <xf numFmtId="11" fontId="86" fillId="0" borderId="108" xfId="78" applyNumberFormat="1" applyFont="1" applyFill="1" applyBorder="1" applyAlignment="1">
      <alignment horizontal="center" vertical="center"/>
    </xf>
    <xf numFmtId="0" fontId="88" fillId="29" borderId="120" xfId="0" applyNumberFormat="1" applyFont="1" applyFill="1" applyBorder="1" applyAlignment="1">
      <alignment horizontal="center" vertical="center"/>
    </xf>
    <xf numFmtId="206" fontId="86" fillId="0" borderId="73" xfId="0" applyNumberFormat="1" applyFont="1" applyFill="1" applyBorder="1" applyAlignment="1">
      <alignment horizontal="center" vertical="center"/>
    </xf>
    <xf numFmtId="190" fontId="86" fillId="0" borderId="108" xfId="0" applyNumberFormat="1" applyFont="1" applyFill="1" applyBorder="1" applyAlignment="1">
      <alignment horizontal="center" vertical="center"/>
    </xf>
    <xf numFmtId="0" fontId="86" fillId="35" borderId="108" xfId="0" applyNumberFormat="1" applyFont="1" applyFill="1" applyBorder="1" applyAlignment="1">
      <alignment horizontal="center" vertical="center"/>
    </xf>
    <xf numFmtId="0" fontId="107" fillId="28" borderId="108" xfId="0" applyNumberFormat="1" applyFont="1" applyFill="1" applyBorder="1" applyAlignment="1">
      <alignment horizontal="center" vertical="center" wrapText="1"/>
    </xf>
    <xf numFmtId="0" fontId="88" fillId="29" borderId="120" xfId="0" applyNumberFormat="1" applyFont="1" applyFill="1" applyBorder="1" applyAlignment="1">
      <alignment horizontal="center" vertical="center"/>
    </xf>
    <xf numFmtId="193" fontId="88" fillId="29" borderId="108" xfId="0" applyNumberFormat="1" applyFont="1" applyFill="1" applyBorder="1" applyAlignment="1">
      <alignment horizontal="center" vertical="center" wrapText="1"/>
    </xf>
    <xf numFmtId="0" fontId="98" fillId="35" borderId="108" xfId="0" applyNumberFormat="1" applyFont="1" applyFill="1" applyBorder="1" applyAlignment="1">
      <alignment horizontal="center" vertical="center"/>
    </xf>
    <xf numFmtId="0" fontId="86" fillId="0" borderId="108" xfId="0" applyNumberFormat="1" applyFont="1" applyFill="1" applyBorder="1" applyAlignment="1">
      <alignment horizontal="left" vertical="center"/>
    </xf>
    <xf numFmtId="0" fontId="107" fillId="0" borderId="108" xfId="0" applyNumberFormat="1" applyFont="1" applyFill="1" applyBorder="1" applyAlignment="1">
      <alignment horizontal="center" vertical="center"/>
    </xf>
    <xf numFmtId="0" fontId="86" fillId="0" borderId="108" xfId="0" applyFont="1" applyFill="1" applyBorder="1" applyAlignment="1">
      <alignment horizontal="center" vertical="center"/>
    </xf>
    <xf numFmtId="0" fontId="86" fillId="0" borderId="108" xfId="0" quotePrefix="1" applyNumberFormat="1" applyFont="1" applyFill="1" applyBorder="1" applyAlignment="1">
      <alignment horizontal="left" vertical="center"/>
    </xf>
    <xf numFmtId="201" fontId="86" fillId="0" borderId="108" xfId="0" applyNumberFormat="1" applyFont="1" applyFill="1" applyBorder="1" applyAlignment="1">
      <alignment horizontal="center" vertical="center"/>
    </xf>
    <xf numFmtId="0" fontId="86" fillId="0" borderId="109" xfId="0" applyNumberFormat="1" applyFont="1" applyBorder="1" applyAlignment="1">
      <alignment horizontal="center" vertical="center"/>
    </xf>
    <xf numFmtId="0" fontId="86" fillId="28" borderId="109" xfId="0" applyNumberFormat="1" applyFont="1" applyFill="1" applyBorder="1" applyAlignment="1">
      <alignment horizontal="center" vertical="center"/>
    </xf>
    <xf numFmtId="41" fontId="86" fillId="28" borderId="109" xfId="132" applyFont="1" applyFill="1" applyBorder="1" applyAlignment="1">
      <alignment horizontal="center" vertical="center"/>
    </xf>
    <xf numFmtId="0" fontId="86" fillId="0" borderId="109" xfId="132" applyNumberFormat="1" applyFont="1" applyBorder="1" applyAlignment="1">
      <alignment horizontal="center" vertical="center"/>
    </xf>
    <xf numFmtId="41" fontId="86" fillId="0" borderId="109" xfId="132" applyFont="1" applyBorder="1" applyAlignment="1">
      <alignment horizontal="center" vertical="center"/>
    </xf>
    <xf numFmtId="0" fontId="86" fillId="30" borderId="109" xfId="0" applyNumberFormat="1" applyFont="1" applyFill="1" applyBorder="1" applyAlignment="1">
      <alignment horizontal="center" vertical="center"/>
    </xf>
    <xf numFmtId="41" fontId="86" fillId="30" borderId="109" xfId="132" applyFont="1" applyFill="1" applyBorder="1" applyAlignment="1">
      <alignment horizontal="center" vertical="center"/>
    </xf>
    <xf numFmtId="0" fontId="6" fillId="29" borderId="34" xfId="0" applyNumberFormat="1" applyFont="1" applyFill="1" applyBorder="1" applyAlignment="1">
      <alignment horizontal="center" vertical="center" wrapText="1"/>
    </xf>
    <xf numFmtId="0" fontId="88" fillId="29" borderId="72" xfId="0" applyNumberFormat="1" applyFont="1" applyFill="1" applyBorder="1" applyAlignment="1">
      <alignment horizontal="center" vertical="center"/>
    </xf>
    <xf numFmtId="0" fontId="88" fillId="29" borderId="73" xfId="0" applyNumberFormat="1" applyFont="1" applyFill="1" applyBorder="1" applyAlignment="1">
      <alignment horizontal="center" vertical="center"/>
    </xf>
    <xf numFmtId="0" fontId="51" fillId="0" borderId="0" xfId="79" applyNumberFormat="1" applyFont="1" applyFill="1" applyBorder="1" applyAlignment="1">
      <alignment horizontal="left" vertical="center" indent="2"/>
    </xf>
    <xf numFmtId="194" fontId="54" fillId="0" borderId="0" xfId="0" applyNumberFormat="1" applyFont="1" applyBorder="1" applyAlignment="1">
      <alignment vertical="center"/>
    </xf>
    <xf numFmtId="2" fontId="54" fillId="0" borderId="0" xfId="0" applyNumberFormat="1" applyFont="1" applyBorder="1" applyAlignment="1">
      <alignment vertical="center"/>
    </xf>
    <xf numFmtId="201" fontId="54" fillId="0" borderId="0" xfId="0" applyNumberFormat="1" applyFont="1" applyBorder="1" applyAlignment="1">
      <alignment vertical="center"/>
    </xf>
    <xf numFmtId="0" fontId="54" fillId="0" borderId="19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190" fontId="54" fillId="0" borderId="0" xfId="0" applyNumberFormat="1" applyFont="1" applyBorder="1" applyAlignment="1">
      <alignment vertical="center"/>
    </xf>
    <xf numFmtId="2" fontId="54" fillId="0" borderId="0" xfId="0" applyNumberFormat="1" applyFont="1" applyBorder="1" applyAlignment="1">
      <alignment horizontal="center" vertical="center"/>
    </xf>
    <xf numFmtId="190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left" vertical="center"/>
    </xf>
    <xf numFmtId="0" fontId="74" fillId="0" borderId="0" xfId="0" applyFont="1" applyBorder="1" applyAlignment="1">
      <alignment horizontal="center" vertical="center"/>
    </xf>
    <xf numFmtId="0" fontId="88" fillId="29" borderId="72" xfId="0" applyNumberFormat="1" applyFont="1" applyFill="1" applyBorder="1" applyAlignment="1">
      <alignment horizontal="center" vertical="center"/>
    </xf>
    <xf numFmtId="0" fontId="88" fillId="29" borderId="73" xfId="0" applyNumberFormat="1" applyFont="1" applyFill="1" applyBorder="1" applyAlignment="1">
      <alignment horizontal="center" vertical="center"/>
    </xf>
    <xf numFmtId="0" fontId="88" fillId="29" borderId="73" xfId="0" applyNumberFormat="1" applyFont="1" applyFill="1" applyBorder="1" applyAlignment="1">
      <alignment horizontal="center" vertical="center" wrapText="1"/>
    </xf>
    <xf numFmtId="0" fontId="88" fillId="29" borderId="126" xfId="0" applyNumberFormat="1" applyFont="1" applyFill="1" applyBorder="1" applyAlignment="1">
      <alignment horizontal="center" vertical="center"/>
    </xf>
    <xf numFmtId="0" fontId="74" fillId="0" borderId="30" xfId="0" applyFont="1" applyBorder="1">
      <alignment vertical="center"/>
    </xf>
    <xf numFmtId="0" fontId="81" fillId="0" borderId="0" xfId="0" applyNumberFormat="1" applyFont="1" applyBorder="1" applyAlignment="1">
      <alignment vertical="center"/>
    </xf>
    <xf numFmtId="0" fontId="75" fillId="0" borderId="0" xfId="0" applyNumberFormat="1" applyFont="1" applyBorder="1" applyAlignment="1">
      <alignment horizontal="right" vertical="center"/>
    </xf>
    <xf numFmtId="195" fontId="54" fillId="0" borderId="0" xfId="0" applyNumberFormat="1" applyFont="1" applyAlignment="1">
      <alignment vertical="center"/>
    </xf>
    <xf numFmtId="0" fontId="54" fillId="0" borderId="0" xfId="0" applyNumberFormat="1" applyFont="1" applyAlignment="1">
      <alignment horizontal="center" vertical="center"/>
    </xf>
    <xf numFmtId="0" fontId="54" fillId="0" borderId="30" xfId="0" applyNumberFormat="1" applyFont="1" applyBorder="1" applyAlignment="1">
      <alignment vertical="center"/>
    </xf>
    <xf numFmtId="194" fontId="74" fillId="0" borderId="0" xfId="0" applyNumberFormat="1" applyFont="1" applyBorder="1" applyAlignment="1">
      <alignment vertical="center"/>
    </xf>
    <xf numFmtId="201" fontId="74" fillId="0" borderId="0" xfId="0" applyNumberFormat="1" applyFont="1" applyBorder="1" applyAlignment="1">
      <alignment vertical="center" shrinkToFit="1"/>
    </xf>
    <xf numFmtId="0" fontId="54" fillId="0" borderId="19" xfId="0" applyNumberFormat="1" applyFont="1" applyBorder="1" applyAlignment="1">
      <alignment horizontal="right" vertical="center"/>
    </xf>
    <xf numFmtId="0" fontId="54" fillId="0" borderId="19" xfId="0" applyNumberFormat="1" applyFont="1" applyBorder="1" applyAlignment="1">
      <alignment horizontal="center" vertical="center"/>
    </xf>
    <xf numFmtId="0" fontId="74" fillId="0" borderId="0" xfId="0" applyNumberFormat="1" applyFont="1" applyBorder="1" applyAlignment="1">
      <alignment vertical="center"/>
    </xf>
    <xf numFmtId="195" fontId="54" fillId="0" borderId="0" xfId="82" applyNumberFormat="1" applyFont="1" applyBorder="1" applyAlignment="1">
      <alignment vertical="center"/>
    </xf>
    <xf numFmtId="10" fontId="54" fillId="0" borderId="0" xfId="82" applyNumberFormat="1" applyFont="1" applyBorder="1" applyAlignment="1">
      <alignment vertical="center"/>
    </xf>
    <xf numFmtId="0" fontId="54" fillId="0" borderId="19" xfId="82" applyNumberFormat="1" applyFont="1" applyBorder="1" applyAlignment="1">
      <alignment vertical="center"/>
    </xf>
    <xf numFmtId="0" fontId="74" fillId="0" borderId="19" xfId="0" applyNumberFormat="1" applyFont="1" applyBorder="1" applyAlignment="1">
      <alignment vertical="center"/>
    </xf>
    <xf numFmtId="0" fontId="81" fillId="0" borderId="0" xfId="0" applyNumberFormat="1" applyFont="1" applyBorder="1" applyAlignment="1">
      <alignment horizontal="center" vertical="center"/>
    </xf>
    <xf numFmtId="204" fontId="74" fillId="0" borderId="0" xfId="0" applyNumberFormat="1" applyFont="1" applyBorder="1" applyAlignment="1">
      <alignment vertical="center"/>
    </xf>
    <xf numFmtId="198" fontId="74" fillId="0" borderId="0" xfId="0" applyNumberFormat="1" applyFont="1" applyBorder="1" applyAlignment="1">
      <alignment horizontal="right" vertical="center"/>
    </xf>
    <xf numFmtId="205" fontId="74" fillId="0" borderId="0" xfId="0" applyNumberFormat="1" applyFont="1" applyBorder="1" applyAlignment="1">
      <alignment vertical="center"/>
    </xf>
    <xf numFmtId="205" fontId="74" fillId="0" borderId="0" xfId="0" applyNumberFormat="1" applyFont="1" applyBorder="1" applyAlignment="1">
      <alignment vertical="center" shrinkToFit="1"/>
    </xf>
    <xf numFmtId="0" fontId="74" fillId="0" borderId="0" xfId="0" applyNumberFormat="1" applyFont="1" applyBorder="1" applyAlignment="1">
      <alignment vertical="center" shrinkToFit="1"/>
    </xf>
    <xf numFmtId="198" fontId="74" fillId="0" borderId="0" xfId="0" applyNumberFormat="1" applyFont="1" applyBorder="1" applyAlignment="1">
      <alignment vertical="center"/>
    </xf>
    <xf numFmtId="201" fontId="86" fillId="30" borderId="74" xfId="0" applyNumberFormat="1" applyFont="1" applyFill="1" applyBorder="1" applyAlignment="1">
      <alignment horizontal="center" vertical="center"/>
    </xf>
    <xf numFmtId="0" fontId="86" fillId="30" borderId="92" xfId="78" applyNumberFormat="1" applyFont="1" applyFill="1" applyBorder="1" applyAlignment="1">
      <alignment horizontal="center" vertical="center"/>
    </xf>
    <xf numFmtId="201" fontId="86" fillId="28" borderId="74" xfId="0" applyNumberFormat="1" applyFont="1" applyFill="1" applyBorder="1" applyAlignment="1">
      <alignment horizontal="center" vertical="center"/>
    </xf>
    <xf numFmtId="0" fontId="86" fillId="28" borderId="92" xfId="78" applyNumberFormat="1" applyFont="1" applyFill="1" applyBorder="1" applyAlignment="1">
      <alignment horizontal="center" vertical="center"/>
    </xf>
    <xf numFmtId="2" fontId="86" fillId="0" borderId="76" xfId="0" applyNumberFormat="1" applyFont="1" applyFill="1" applyBorder="1" applyAlignment="1">
      <alignment horizontal="center" vertical="center"/>
    </xf>
    <xf numFmtId="2" fontId="86" fillId="32" borderId="130" xfId="0" applyNumberFormat="1" applyFont="1" applyFill="1" applyBorder="1" applyAlignment="1">
      <alignment horizontal="center" vertical="center"/>
    </xf>
    <xf numFmtId="2" fontId="86" fillId="30" borderId="76" xfId="0" applyNumberFormat="1" applyFont="1" applyFill="1" applyBorder="1" applyAlignment="1">
      <alignment horizontal="center" vertical="center"/>
    </xf>
    <xf numFmtId="0" fontId="86" fillId="30" borderId="73" xfId="0" applyNumberFormat="1" applyFont="1" applyFill="1" applyBorder="1" applyAlignment="1">
      <alignment horizontal="center" vertical="center"/>
    </xf>
    <xf numFmtId="0" fontId="86" fillId="33" borderId="73" xfId="0" applyNumberFormat="1" applyFont="1" applyFill="1" applyBorder="1" applyAlignment="1">
      <alignment horizontal="center" vertical="center"/>
    </xf>
    <xf numFmtId="0" fontId="61" fillId="27" borderId="53" xfId="81" applyFont="1" applyFill="1" applyBorder="1" applyAlignment="1">
      <alignment horizontal="center" vertical="center"/>
    </xf>
    <xf numFmtId="0" fontId="61" fillId="27" borderId="51" xfId="81" applyFont="1" applyFill="1" applyBorder="1" applyAlignment="1">
      <alignment horizontal="center" vertical="center"/>
    </xf>
    <xf numFmtId="0" fontId="70" fillId="0" borderId="50" xfId="81" applyNumberFormat="1" applyFont="1" applyFill="1" applyBorder="1" applyAlignment="1">
      <alignment horizontal="center" vertical="center"/>
    </xf>
    <xf numFmtId="0" fontId="70" fillId="0" borderId="51" xfId="81" applyNumberFormat="1" applyFont="1" applyFill="1" applyBorder="1" applyAlignment="1">
      <alignment horizontal="center" vertical="center"/>
    </xf>
    <xf numFmtId="0" fontId="70" fillId="0" borderId="53" xfId="81" applyNumberFormat="1" applyFont="1" applyFill="1" applyBorder="1" applyAlignment="1">
      <alignment horizontal="center" vertical="center"/>
    </xf>
    <xf numFmtId="0" fontId="116" fillId="0" borderId="51" xfId="0" applyFont="1" applyFill="1" applyBorder="1" applyAlignment="1">
      <alignment horizontal="center" vertical="center"/>
    </xf>
    <xf numFmtId="0" fontId="70" fillId="28" borderId="50" xfId="0" applyNumberFormat="1" applyFont="1" applyFill="1" applyBorder="1" applyAlignment="1">
      <alignment horizontal="center" vertical="center"/>
    </xf>
    <xf numFmtId="0" fontId="70" fillId="33" borderId="51" xfId="0" applyNumberFormat="1" applyFont="1" applyFill="1" applyBorder="1">
      <alignment vertical="center"/>
    </xf>
    <xf numFmtId="0" fontId="70" fillId="37" borderId="50" xfId="0" applyNumberFormat="1" applyFont="1" applyFill="1" applyBorder="1" applyAlignment="1">
      <alignment horizontal="center" vertical="center"/>
    </xf>
    <xf numFmtId="0" fontId="70" fillId="37" borderId="51" xfId="0" applyNumberFormat="1" applyFont="1" applyFill="1" applyBorder="1" applyAlignment="1">
      <alignment horizontal="center" vertical="center"/>
    </xf>
    <xf numFmtId="0" fontId="61" fillId="27" borderId="109" xfId="81" applyFont="1" applyFill="1" applyBorder="1" applyAlignment="1">
      <alignment horizontal="center" vertical="center"/>
    </xf>
    <xf numFmtId="201" fontId="70" fillId="28" borderId="109" xfId="0" applyNumberFormat="1" applyFont="1" applyFill="1" applyBorder="1">
      <alignment vertical="center"/>
    </xf>
    <xf numFmtId="0" fontId="70" fillId="28" borderId="50" xfId="0" applyFont="1" applyFill="1" applyBorder="1" applyAlignment="1">
      <alignment horizontal="center" vertical="center"/>
    </xf>
    <xf numFmtId="0" fontId="70" fillId="28" borderId="53" xfId="0" applyFont="1" applyFill="1" applyBorder="1" applyAlignment="1">
      <alignment horizontal="center" vertical="center"/>
    </xf>
    <xf numFmtId="189" fontId="70" fillId="32" borderId="109" xfId="0" applyNumberFormat="1" applyFont="1" applyFill="1" applyBorder="1" applyAlignment="1">
      <alignment horizontal="center" vertical="center"/>
    </xf>
    <xf numFmtId="0" fontId="70" fillId="33" borderId="109" xfId="0" applyFont="1" applyFill="1" applyBorder="1" applyAlignment="1">
      <alignment horizontal="center" vertical="center"/>
    </xf>
    <xf numFmtId="0" fontId="70" fillId="0" borderId="109" xfId="0" applyNumberFormat="1" applyFont="1" applyFill="1" applyBorder="1">
      <alignment vertical="center"/>
    </xf>
    <xf numFmtId="0" fontId="70" fillId="37" borderId="109" xfId="0" applyNumberFormat="1" applyFont="1" applyFill="1" applyBorder="1" applyAlignment="1">
      <alignment horizontal="center" vertical="center"/>
    </xf>
    <xf numFmtId="0" fontId="70" fillId="0" borderId="50" xfId="0" applyNumberFormat="1" applyFont="1" applyFill="1" applyBorder="1" applyAlignment="1">
      <alignment horizontal="center" vertical="center"/>
    </xf>
    <xf numFmtId="0" fontId="70" fillId="38" borderId="51" xfId="81" applyNumberFormat="1" applyFont="1" applyFill="1" applyBorder="1" applyAlignment="1">
      <alignment horizontal="center" vertical="center"/>
    </xf>
    <xf numFmtId="0" fontId="70" fillId="0" borderId="53" xfId="0" applyNumberFormat="1" applyFont="1" applyFill="1" applyBorder="1" applyAlignment="1">
      <alignment vertical="center"/>
    </xf>
    <xf numFmtId="0" fontId="70" fillId="28" borderId="51" xfId="0" applyNumberFormat="1" applyFont="1" applyFill="1" applyBorder="1">
      <alignment vertical="center"/>
    </xf>
    <xf numFmtId="0" fontId="70" fillId="37" borderId="20" xfId="0" applyNumberFormat="1" applyFont="1" applyFill="1" applyBorder="1" applyAlignment="1">
      <alignment horizontal="center" vertical="center"/>
    </xf>
    <xf numFmtId="0" fontId="117" fillId="39" borderId="109" xfId="81" applyFont="1" applyFill="1" applyBorder="1" applyAlignment="1">
      <alignment horizontal="center" vertical="center"/>
    </xf>
    <xf numFmtId="0" fontId="67" fillId="0" borderId="27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vertical="center" shrinkToFit="1"/>
    </xf>
    <xf numFmtId="0" fontId="43" fillId="0" borderId="1" xfId="0" applyFont="1" applyFill="1" applyBorder="1" applyAlignment="1" applyProtection="1">
      <alignment horizontal="center" vertical="center" shrinkToFit="1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0" fillId="17" borderId="1" xfId="0" applyFont="1" applyFill="1" applyBorder="1" applyAlignment="1" applyProtection="1">
      <alignment horizontal="center" vertical="center" shrinkToFit="1"/>
      <protection locked="0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0" fontId="10" fillId="30" borderId="1" xfId="0" applyFont="1" applyFill="1" applyBorder="1" applyAlignment="1" applyProtection="1">
      <alignment vertical="center" shrinkToFit="1"/>
      <protection locked="0"/>
    </xf>
    <xf numFmtId="0" fontId="40" fillId="0" borderId="50" xfId="0" applyFont="1" applyFill="1" applyBorder="1" applyAlignment="1" applyProtection="1">
      <alignment horizontal="center" vertical="center"/>
    </xf>
    <xf numFmtId="0" fontId="40" fillId="0" borderId="53" xfId="0" applyFont="1" applyFill="1" applyBorder="1" applyAlignment="1" applyProtection="1">
      <alignment horizontal="center" vertical="center"/>
    </xf>
    <xf numFmtId="0" fontId="11" fillId="0" borderId="53" xfId="0" applyFont="1" applyFill="1" applyBorder="1" applyAlignment="1" applyProtection="1">
      <alignment vertical="center"/>
    </xf>
    <xf numFmtId="0" fontId="0" fillId="0" borderId="53" xfId="0" applyFill="1" applyBorder="1" applyAlignment="1" applyProtection="1">
      <alignment vertical="center"/>
    </xf>
    <xf numFmtId="0" fontId="0" fillId="0" borderId="51" xfId="0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left" vertical="center" shrinkToFit="1"/>
    </xf>
    <xf numFmtId="0" fontId="13" fillId="0" borderId="1" xfId="0" applyFont="1" applyFill="1" applyBorder="1" applyAlignment="1" applyProtection="1">
      <alignment horizontal="center" vertical="center" shrinkToFit="1"/>
    </xf>
    <xf numFmtId="49" fontId="10" fillId="0" borderId="1" xfId="0" applyNumberFormat="1" applyFont="1" applyFill="1" applyBorder="1" applyAlignment="1" applyProtection="1">
      <alignment horizontal="center" vertical="center" shrinkToFit="1"/>
    </xf>
    <xf numFmtId="49" fontId="10" fillId="0" borderId="1" xfId="0" applyNumberFormat="1" applyFont="1" applyFill="1" applyBorder="1" applyAlignment="1" applyProtection="1">
      <alignment vertical="center" shrinkToFit="1"/>
    </xf>
    <xf numFmtId="184" fontId="10" fillId="0" borderId="1" xfId="0" applyNumberFormat="1" applyFont="1" applyFill="1" applyBorder="1" applyAlignment="1" applyProtection="1">
      <alignment horizontal="center" vertical="center" shrinkToFit="1"/>
    </xf>
    <xf numFmtId="0" fontId="47" fillId="0" borderId="1" xfId="0" applyFont="1" applyFill="1" applyBorder="1" applyAlignment="1" applyProtection="1">
      <alignment horizontal="center" vertical="center" shrinkToFit="1"/>
    </xf>
    <xf numFmtId="0" fontId="10" fillId="30" borderId="11" xfId="0" applyFont="1" applyFill="1" applyBorder="1" applyAlignment="1" applyProtection="1">
      <alignment horizontal="left" vertical="center" wrapText="1"/>
    </xf>
    <xf numFmtId="0" fontId="10" fillId="30" borderId="14" xfId="0" applyFont="1" applyFill="1" applyBorder="1" applyAlignment="1" applyProtection="1">
      <alignment horizontal="left" vertical="center" wrapText="1"/>
    </xf>
    <xf numFmtId="0" fontId="10" fillId="30" borderId="16" xfId="0" applyFont="1" applyFill="1" applyBorder="1" applyAlignment="1" applyProtection="1">
      <alignment horizontal="left" vertical="center" wrapText="1"/>
    </xf>
    <xf numFmtId="0" fontId="1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43" fillId="30" borderId="22" xfId="0" applyFont="1" applyFill="1" applyBorder="1" applyAlignment="1" applyProtection="1">
      <alignment horizontal="left" vertical="center" wrapText="1"/>
    </xf>
    <xf numFmtId="0" fontId="43" fillId="30" borderId="16" xfId="0" applyFont="1" applyFill="1" applyBorder="1" applyAlignment="1" applyProtection="1">
      <alignment horizontal="left" vertical="center"/>
    </xf>
    <xf numFmtId="0" fontId="43" fillId="0" borderId="12" xfId="0" applyFont="1" applyFill="1" applyBorder="1" applyAlignment="1" applyProtection="1">
      <alignment horizontal="center" vertical="center"/>
    </xf>
    <xf numFmtId="0" fontId="43" fillId="0" borderId="13" xfId="0" applyFont="1" applyFill="1" applyBorder="1" applyAlignment="1" applyProtection="1">
      <alignment horizontal="center" vertical="center"/>
    </xf>
    <xf numFmtId="0" fontId="43" fillId="0" borderId="23" xfId="0" applyFont="1" applyFill="1" applyBorder="1" applyAlignment="1" applyProtection="1">
      <alignment horizontal="left" vertical="center" wrapText="1"/>
    </xf>
    <xf numFmtId="0" fontId="43" fillId="0" borderId="15" xfId="0" applyFont="1" applyFill="1" applyBorder="1" applyAlignment="1" applyProtection="1">
      <alignment horizontal="left" vertical="center"/>
    </xf>
    <xf numFmtId="0" fontId="43" fillId="0" borderId="24" xfId="0" applyFont="1" applyFill="1" applyBorder="1" applyAlignment="1" applyProtection="1">
      <alignment horizontal="left" vertical="center"/>
    </xf>
    <xf numFmtId="0" fontId="43" fillId="0" borderId="20" xfId="0" applyFont="1" applyFill="1" applyBorder="1" applyAlignment="1" applyProtection="1">
      <alignment horizontal="left" vertical="center"/>
    </xf>
    <xf numFmtId="0" fontId="67" fillId="0" borderId="28" xfId="0" applyFont="1" applyFill="1" applyBorder="1" applyAlignment="1">
      <alignment horizontal="center" vertical="center" wrapText="1"/>
    </xf>
    <xf numFmtId="0" fontId="67" fillId="0" borderId="17" xfId="0" applyFont="1" applyFill="1" applyBorder="1" applyAlignment="1">
      <alignment horizontal="center" vertical="center" wrapText="1"/>
    </xf>
    <xf numFmtId="0" fontId="67" fillId="0" borderId="13" xfId="0" applyFont="1" applyFill="1" applyBorder="1" applyAlignment="1">
      <alignment horizontal="center" vertical="center" wrapText="1"/>
    </xf>
    <xf numFmtId="0" fontId="67" fillId="0" borderId="29" xfId="0" applyFont="1" applyFill="1" applyBorder="1" applyAlignment="1" applyProtection="1">
      <alignment horizontal="left" vertical="center" wrapText="1"/>
      <protection locked="0"/>
    </xf>
    <xf numFmtId="0" fontId="67" fillId="0" borderId="30" xfId="0" applyFont="1" applyFill="1" applyBorder="1" applyAlignment="1" applyProtection="1">
      <alignment horizontal="left" vertical="center" wrapText="1"/>
      <protection locked="0"/>
    </xf>
    <xf numFmtId="0" fontId="67" fillId="0" borderId="31" xfId="0" applyFont="1" applyFill="1" applyBorder="1" applyAlignment="1" applyProtection="1">
      <alignment horizontal="left" vertical="center" wrapText="1"/>
      <protection locked="0"/>
    </xf>
    <xf numFmtId="0" fontId="67" fillId="0" borderId="32" xfId="0" applyFont="1" applyFill="1" applyBorder="1" applyAlignment="1" applyProtection="1">
      <alignment horizontal="left" vertical="center" wrapText="1"/>
      <protection locked="0"/>
    </xf>
    <xf numFmtId="0" fontId="67" fillId="0" borderId="0" xfId="0" applyFont="1" applyFill="1" applyBorder="1" applyAlignment="1" applyProtection="1">
      <alignment horizontal="left" vertical="center" wrapText="1"/>
      <protection locked="0"/>
    </xf>
    <xf numFmtId="0" fontId="67" fillId="0" borderId="33" xfId="0" applyFont="1" applyFill="1" applyBorder="1" applyAlignment="1" applyProtection="1">
      <alignment horizontal="left" vertical="center" wrapText="1"/>
      <protection locked="0"/>
    </xf>
    <xf numFmtId="0" fontId="67" fillId="0" borderId="18" xfId="0" applyFont="1" applyFill="1" applyBorder="1" applyAlignment="1" applyProtection="1">
      <alignment horizontal="left" vertical="center" wrapText="1"/>
      <protection locked="0"/>
    </xf>
    <xf numFmtId="0" fontId="67" fillId="0" borderId="19" xfId="0" applyFont="1" applyFill="1" applyBorder="1" applyAlignment="1" applyProtection="1">
      <alignment horizontal="left" vertical="center" wrapText="1"/>
      <protection locked="0"/>
    </xf>
    <xf numFmtId="0" fontId="67" fillId="0" borderId="20" xfId="0" applyFont="1" applyFill="1" applyBorder="1" applyAlignment="1" applyProtection="1">
      <alignment horizontal="left" vertical="center" wrapText="1"/>
      <protection locked="0"/>
    </xf>
    <xf numFmtId="0" fontId="67" fillId="31" borderId="35" xfId="0" applyFont="1" applyFill="1" applyBorder="1" applyAlignment="1" applyProtection="1">
      <alignment horizontal="center" vertical="center"/>
      <protection locked="0"/>
    </xf>
    <xf numFmtId="0" fontId="50" fillId="0" borderId="0" xfId="79" applyFont="1" applyAlignment="1">
      <alignment horizontal="center" wrapText="1"/>
    </xf>
    <xf numFmtId="49" fontId="51" fillId="0" borderId="40" xfId="79" applyNumberFormat="1" applyFont="1" applyFill="1" applyBorder="1" applyAlignment="1">
      <alignment horizontal="center" vertical="center" wrapText="1"/>
    </xf>
    <xf numFmtId="49" fontId="51" fillId="0" borderId="41" xfId="79" applyNumberFormat="1" applyFont="1" applyFill="1" applyBorder="1" applyAlignment="1">
      <alignment horizontal="center" vertical="center" wrapText="1"/>
    </xf>
    <xf numFmtId="49" fontId="51" fillId="0" borderId="42" xfId="79" applyNumberFormat="1" applyFont="1" applyFill="1" applyBorder="1" applyAlignment="1">
      <alignment horizontal="center" vertical="center" wrapText="1"/>
    </xf>
    <xf numFmtId="0" fontId="51" fillId="0" borderId="37" xfId="79" applyNumberFormat="1" applyFont="1" applyFill="1" applyBorder="1" applyAlignment="1">
      <alignment horizontal="center" vertical="center" wrapText="1"/>
    </xf>
    <xf numFmtId="0" fontId="51" fillId="0" borderId="106" xfId="79" applyNumberFormat="1" applyFont="1" applyFill="1" applyBorder="1" applyAlignment="1">
      <alignment horizontal="center" vertical="center"/>
    </xf>
    <xf numFmtId="0" fontId="51" fillId="0" borderId="107" xfId="79" applyNumberFormat="1" applyFont="1" applyFill="1" applyBorder="1" applyAlignment="1">
      <alignment horizontal="center" vertical="center"/>
    </xf>
    <xf numFmtId="0" fontId="51" fillId="0" borderId="100" xfId="79" applyNumberFormat="1" applyFont="1" applyFill="1" applyBorder="1" applyAlignment="1">
      <alignment horizontal="center" vertical="center" wrapText="1"/>
    </xf>
    <xf numFmtId="0" fontId="51" fillId="0" borderId="105" xfId="79" applyNumberFormat="1" applyFont="1" applyFill="1" applyBorder="1" applyAlignment="1">
      <alignment horizontal="center" vertical="center" wrapText="1"/>
    </xf>
    <xf numFmtId="0" fontId="51" fillId="0" borderId="40" xfId="79" applyNumberFormat="1" applyFont="1" applyFill="1" applyBorder="1" applyAlignment="1">
      <alignment horizontal="center" vertical="center"/>
    </xf>
    <xf numFmtId="0" fontId="51" fillId="0" borderId="62" xfId="79" applyNumberFormat="1" applyFont="1" applyFill="1" applyBorder="1" applyAlignment="1">
      <alignment horizontal="center" vertical="center"/>
    </xf>
    <xf numFmtId="0" fontId="51" fillId="0" borderId="63" xfId="79" applyNumberFormat="1" applyFont="1" applyFill="1" applyBorder="1" applyAlignment="1">
      <alignment horizontal="center" vertical="center"/>
    </xf>
    <xf numFmtId="0" fontId="51" fillId="0" borderId="124" xfId="79" applyNumberFormat="1" applyFont="1" applyFill="1" applyBorder="1" applyAlignment="1">
      <alignment horizontal="center" vertical="center" wrapText="1"/>
    </xf>
    <xf numFmtId="0" fontId="51" fillId="0" borderId="125" xfId="79" applyNumberFormat="1" applyFont="1" applyFill="1" applyBorder="1" applyAlignment="1">
      <alignment horizontal="center" vertical="center" wrapText="1"/>
    </xf>
    <xf numFmtId="0" fontId="51" fillId="0" borderId="101" xfId="79" applyNumberFormat="1" applyFont="1" applyFill="1" applyBorder="1" applyAlignment="1">
      <alignment horizontal="center" vertical="center" wrapText="1"/>
    </xf>
    <xf numFmtId="49" fontId="93" fillId="0" borderId="0" xfId="131" applyNumberFormat="1" applyFont="1" applyFill="1" applyBorder="1" applyAlignment="1">
      <alignment horizontal="center" vertical="center" wrapText="1"/>
    </xf>
    <xf numFmtId="0" fontId="51" fillId="0" borderId="99" xfId="79" applyNumberFormat="1" applyFont="1" applyFill="1" applyBorder="1" applyAlignment="1">
      <alignment horizontal="center" vertical="center"/>
    </xf>
    <xf numFmtId="0" fontId="51" fillId="0" borderId="68" xfId="79" applyNumberFormat="1" applyFont="1" applyFill="1" applyBorder="1" applyAlignment="1">
      <alignment horizontal="center" vertical="center"/>
    </xf>
    <xf numFmtId="0" fontId="51" fillId="0" borderId="102" xfId="79" applyNumberFormat="1" applyFont="1" applyFill="1" applyBorder="1" applyAlignment="1">
      <alignment horizontal="center" vertical="center" wrapText="1"/>
    </xf>
    <xf numFmtId="0" fontId="51" fillId="0" borderId="123" xfId="79" applyNumberFormat="1" applyFont="1" applyFill="1" applyBorder="1" applyAlignment="1">
      <alignment horizontal="center" vertical="center" wrapText="1"/>
    </xf>
    <xf numFmtId="0" fontId="51" fillId="0" borderId="84" xfId="79" applyNumberFormat="1" applyFont="1" applyFill="1" applyBorder="1" applyAlignment="1">
      <alignment horizontal="center" vertical="center" wrapText="1"/>
    </xf>
    <xf numFmtId="0" fontId="51" fillId="0" borderId="61" xfId="79" applyNumberFormat="1" applyFont="1" applyFill="1" applyBorder="1" applyAlignment="1">
      <alignment horizontal="center" vertical="center" wrapText="1"/>
    </xf>
    <xf numFmtId="0" fontId="51" fillId="0" borderId="50" xfId="79" applyNumberFormat="1" applyFont="1" applyFill="1" applyBorder="1" applyAlignment="1">
      <alignment horizontal="center" vertical="center" wrapText="1"/>
    </xf>
    <xf numFmtId="0" fontId="51" fillId="0" borderId="51" xfId="79" applyNumberFormat="1" applyFont="1" applyFill="1" applyBorder="1" applyAlignment="1">
      <alignment horizontal="center" vertical="center" wrapText="1"/>
    </xf>
    <xf numFmtId="0" fontId="64" fillId="36" borderId="0" xfId="0" applyNumberFormat="1" applyFont="1" applyFill="1" applyAlignment="1">
      <alignment horizontal="center" vertical="center"/>
    </xf>
    <xf numFmtId="49" fontId="64" fillId="36" borderId="0" xfId="79" applyNumberFormat="1" applyFont="1" applyFill="1" applyBorder="1" applyAlignment="1">
      <alignment horizontal="center" vertical="center"/>
    </xf>
    <xf numFmtId="49" fontId="64" fillId="36" borderId="19" xfId="79" applyNumberFormat="1" applyFont="1" applyFill="1" applyBorder="1" applyAlignment="1">
      <alignment horizontal="center" vertical="center"/>
    </xf>
    <xf numFmtId="191" fontId="64" fillId="36" borderId="0" xfId="0" applyNumberFormat="1" applyFont="1" applyFill="1" applyBorder="1" applyAlignment="1">
      <alignment horizontal="center" vertical="center" wrapText="1"/>
    </xf>
    <xf numFmtId="191" fontId="64" fillId="36" borderId="19" xfId="0" applyNumberFormat="1" applyFont="1" applyFill="1" applyBorder="1" applyAlignment="1">
      <alignment horizontal="center" vertical="center" wrapText="1"/>
    </xf>
    <xf numFmtId="0" fontId="50" fillId="0" borderId="0" xfId="79" applyNumberFormat="1" applyFont="1" applyAlignment="1">
      <alignment horizontal="center" wrapText="1"/>
    </xf>
    <xf numFmtId="49" fontId="64" fillId="36" borderId="0" xfId="0" applyNumberFormat="1" applyFont="1" applyFill="1" applyBorder="1" applyAlignment="1">
      <alignment horizontal="center" vertical="center"/>
    </xf>
    <xf numFmtId="49" fontId="64" fillId="36" borderId="19" xfId="0" applyNumberFormat="1" applyFont="1" applyFill="1" applyBorder="1" applyAlignment="1">
      <alignment horizontal="center" vertical="center"/>
    </xf>
    <xf numFmtId="191" fontId="51" fillId="36" borderId="0" xfId="0" applyNumberFormat="1" applyFont="1" applyFill="1" applyAlignment="1">
      <alignment horizontal="center" vertical="center"/>
    </xf>
    <xf numFmtId="191" fontId="51" fillId="36" borderId="19" xfId="0" applyNumberFormat="1" applyFont="1" applyFill="1" applyBorder="1" applyAlignment="1">
      <alignment horizontal="center" vertical="center"/>
    </xf>
    <xf numFmtId="191" fontId="64" fillId="36" borderId="0" xfId="0" applyNumberFormat="1" applyFont="1" applyFill="1" applyAlignment="1">
      <alignment horizontal="center" vertical="center"/>
    </xf>
    <xf numFmtId="191" fontId="64" fillId="36" borderId="19" xfId="0" applyNumberFormat="1" applyFont="1" applyFill="1" applyBorder="1" applyAlignment="1">
      <alignment horizontal="center" vertical="center"/>
    </xf>
    <xf numFmtId="191" fontId="100" fillId="36" borderId="0" xfId="144" applyNumberFormat="1" applyFont="1" applyFill="1" applyBorder="1" applyAlignment="1">
      <alignment horizontal="center" vertical="center" wrapText="1"/>
    </xf>
    <xf numFmtId="191" fontId="100" fillId="36" borderId="19" xfId="144" applyNumberFormat="1" applyFont="1" applyFill="1" applyBorder="1" applyAlignment="1">
      <alignment horizontal="center" vertical="center" wrapText="1"/>
    </xf>
    <xf numFmtId="191" fontId="100" fillId="36" borderId="0" xfId="144" applyNumberFormat="1" applyFont="1" applyFill="1" applyBorder="1" applyAlignment="1">
      <alignment horizontal="center" vertical="center"/>
    </xf>
    <xf numFmtId="191" fontId="100" fillId="36" borderId="19" xfId="144" applyNumberFormat="1" applyFont="1" applyFill="1" applyBorder="1" applyAlignment="1">
      <alignment horizontal="center" vertical="center"/>
    </xf>
    <xf numFmtId="0" fontId="64" fillId="36" borderId="0" xfId="0" applyNumberFormat="1" applyFont="1" applyFill="1" applyBorder="1" applyAlignment="1">
      <alignment horizontal="center" vertical="center"/>
    </xf>
    <xf numFmtId="0" fontId="64" fillId="36" borderId="19" xfId="0" applyNumberFormat="1" applyFont="1" applyFill="1" applyBorder="1" applyAlignment="1">
      <alignment horizontal="center" vertical="center"/>
    </xf>
    <xf numFmtId="191" fontId="51" fillId="36" borderId="0" xfId="0" applyNumberFormat="1" applyFont="1" applyFill="1" applyBorder="1" applyAlignment="1">
      <alignment horizontal="center" vertical="center"/>
    </xf>
    <xf numFmtId="191" fontId="64" fillId="36" borderId="0" xfId="0" applyNumberFormat="1" applyFont="1" applyFill="1" applyBorder="1" applyAlignment="1">
      <alignment horizontal="center" vertical="center"/>
    </xf>
    <xf numFmtId="0" fontId="51" fillId="0" borderId="60" xfId="79" applyNumberFormat="1" applyFont="1" applyFill="1" applyBorder="1" applyAlignment="1">
      <alignment horizontal="center" vertical="center" wrapText="1"/>
    </xf>
    <xf numFmtId="0" fontId="51" fillId="0" borderId="43" xfId="79" applyNumberFormat="1" applyFont="1" applyFill="1" applyBorder="1" applyAlignment="1">
      <alignment horizontal="center" vertical="center" wrapText="1"/>
    </xf>
    <xf numFmtId="0" fontId="51" fillId="0" borderId="43" xfId="79" applyNumberFormat="1" applyFont="1" applyFill="1" applyBorder="1" applyAlignment="1">
      <alignment horizontal="center" vertical="center"/>
    </xf>
    <xf numFmtId="0" fontId="51" fillId="0" borderId="36" xfId="79" applyNumberFormat="1" applyFont="1" applyFill="1" applyBorder="1" applyAlignment="1">
      <alignment horizontal="center" vertical="center"/>
    </xf>
    <xf numFmtId="0" fontId="51" fillId="0" borderId="54" xfId="79" applyNumberFormat="1" applyFont="1" applyFill="1" applyBorder="1" applyAlignment="1">
      <alignment horizontal="center" vertical="center" wrapText="1"/>
    </xf>
    <xf numFmtId="0" fontId="51" fillId="0" borderId="55" xfId="79" applyNumberFormat="1" applyFont="1" applyFill="1" applyBorder="1" applyAlignment="1">
      <alignment horizontal="center" vertical="center" wrapText="1"/>
    </xf>
    <xf numFmtId="0" fontId="6" fillId="29" borderId="34" xfId="0" applyNumberFormat="1" applyFont="1" applyFill="1" applyBorder="1" applyAlignment="1">
      <alignment horizontal="center" vertical="center"/>
    </xf>
    <xf numFmtId="0" fontId="9" fillId="29" borderId="34" xfId="0" applyNumberFormat="1" applyFont="1" applyFill="1" applyBorder="1" applyAlignment="1">
      <alignment horizontal="center" vertical="center" wrapText="1"/>
    </xf>
    <xf numFmtId="0" fontId="6" fillId="29" borderId="34" xfId="0" applyNumberFormat="1" applyFont="1" applyFill="1" applyBorder="1" applyAlignment="1">
      <alignment horizontal="center" vertical="center" wrapText="1"/>
    </xf>
    <xf numFmtId="202" fontId="2" fillId="0" borderId="91" xfId="78" applyNumberFormat="1" applyFont="1" applyFill="1" applyBorder="1" applyAlignment="1">
      <alignment horizontal="center" vertical="center"/>
    </xf>
    <xf numFmtId="202" fontId="2" fillId="0" borderId="88" xfId="78" applyNumberFormat="1" applyFont="1" applyFill="1" applyBorder="1" applyAlignment="1">
      <alignment horizontal="center" vertical="center"/>
    </xf>
    <xf numFmtId="49" fontId="2" fillId="0" borderId="91" xfId="78" applyNumberFormat="1" applyFont="1" applyFill="1" applyBorder="1" applyAlignment="1">
      <alignment horizontal="center" vertical="center"/>
    </xf>
    <xf numFmtId="49" fontId="2" fillId="0" borderId="88" xfId="78" applyNumberFormat="1" applyFont="1" applyFill="1" applyBorder="1" applyAlignment="1">
      <alignment horizontal="center" vertical="center"/>
    </xf>
    <xf numFmtId="203" fontId="54" fillId="0" borderId="0" xfId="0" applyNumberFormat="1" applyFont="1" applyBorder="1" applyAlignment="1">
      <alignment vertical="center"/>
    </xf>
    <xf numFmtId="194" fontId="54" fillId="0" borderId="0" xfId="0" applyNumberFormat="1" applyFont="1" applyBorder="1" applyAlignment="1">
      <alignment vertical="center"/>
    </xf>
    <xf numFmtId="195" fontId="54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195" fontId="54" fillId="0" borderId="19" xfId="0" applyNumberFormat="1" applyFont="1" applyBorder="1" applyAlignment="1">
      <alignment vertical="center"/>
    </xf>
    <xf numFmtId="201" fontId="54" fillId="0" borderId="0" xfId="0" applyNumberFormat="1" applyFont="1" applyBorder="1" applyAlignment="1">
      <alignment horizontal="center" vertical="center"/>
    </xf>
    <xf numFmtId="201" fontId="74" fillId="0" borderId="0" xfId="0" applyNumberFormat="1" applyFont="1" applyBorder="1" applyAlignment="1">
      <alignment vertical="center" shrinkToFit="1"/>
    </xf>
    <xf numFmtId="0" fontId="79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0" fontId="75" fillId="0" borderId="19" xfId="0" applyNumberFormat="1" applyFont="1" applyBorder="1" applyAlignment="1">
      <alignment horizontal="center" vertical="center"/>
    </xf>
    <xf numFmtId="0" fontId="54" fillId="0" borderId="19" xfId="0" applyNumberFormat="1" applyFont="1" applyBorder="1" applyAlignment="1">
      <alignment vertical="center"/>
    </xf>
    <xf numFmtId="1" fontId="54" fillId="0" borderId="19" xfId="0" applyNumberFormat="1" applyFont="1" applyBorder="1" applyAlignment="1">
      <alignment vertical="center"/>
    </xf>
    <xf numFmtId="1" fontId="54" fillId="0" borderId="0" xfId="0" applyNumberFormat="1" applyFont="1" applyBorder="1" applyAlignment="1">
      <alignment horizontal="center" vertical="center"/>
    </xf>
    <xf numFmtId="1" fontId="54" fillId="0" borderId="0" xfId="0" applyNumberFormat="1" applyFont="1" applyBorder="1" applyAlignment="1">
      <alignment vertical="center"/>
    </xf>
    <xf numFmtId="0" fontId="75" fillId="0" borderId="0" xfId="0" applyNumberFormat="1" applyFont="1" applyBorder="1" applyAlignment="1">
      <alignment horizontal="center" vertical="center"/>
    </xf>
    <xf numFmtId="0" fontId="54" fillId="0" borderId="30" xfId="0" applyNumberFormat="1" applyFont="1" applyBorder="1" applyAlignment="1">
      <alignment horizontal="center" vertical="center"/>
    </xf>
    <xf numFmtId="0" fontId="54" fillId="0" borderId="19" xfId="0" applyNumberFormat="1" applyFont="1" applyBorder="1" applyAlignment="1">
      <alignment horizontal="center" vertical="center"/>
    </xf>
    <xf numFmtId="0" fontId="74" fillId="0" borderId="122" xfId="0" applyNumberFormat="1" applyFont="1" applyBorder="1" applyAlignment="1">
      <alignment horizontal="center" vertical="center" wrapText="1"/>
    </xf>
    <xf numFmtId="0" fontId="74" fillId="0" borderId="105" xfId="0" applyNumberFormat="1" applyFont="1" applyBorder="1" applyAlignment="1">
      <alignment horizontal="center" vertical="center" wrapText="1"/>
    </xf>
    <xf numFmtId="0" fontId="74" fillId="0" borderId="0" xfId="0" applyNumberFormat="1" applyFont="1" applyBorder="1" applyAlignment="1">
      <alignment horizontal="center" vertical="center" wrapText="1"/>
    </xf>
    <xf numFmtId="0" fontId="74" fillId="0" borderId="33" xfId="0" applyNumberFormat="1" applyFont="1" applyBorder="1" applyAlignment="1">
      <alignment horizontal="center" vertical="center" wrapText="1"/>
    </xf>
    <xf numFmtId="0" fontId="75" fillId="28" borderId="18" xfId="0" applyFont="1" applyFill="1" applyBorder="1" applyAlignment="1">
      <alignment horizontal="center" vertical="center" shrinkToFit="1"/>
    </xf>
    <xf numFmtId="0" fontId="75" fillId="28" borderId="19" xfId="0" applyFont="1" applyFill="1" applyBorder="1" applyAlignment="1">
      <alignment horizontal="center" vertical="center" shrinkToFit="1"/>
    </xf>
    <xf numFmtId="0" fontId="75" fillId="28" borderId="20" xfId="0" applyFont="1" applyFill="1" applyBorder="1" applyAlignment="1">
      <alignment horizontal="center" vertical="center" shrinkToFit="1"/>
    </xf>
    <xf numFmtId="0" fontId="74" fillId="28" borderId="105" xfId="0" applyFont="1" applyFill="1" applyBorder="1" applyAlignment="1">
      <alignment horizontal="center" vertical="center" shrinkToFit="1"/>
    </xf>
    <xf numFmtId="0" fontId="0" fillId="28" borderId="0" xfId="0" applyFill="1" applyBorder="1" applyAlignment="1">
      <alignment vertical="center"/>
    </xf>
    <xf numFmtId="0" fontId="0" fillId="28" borderId="33" xfId="0" applyFill="1" applyBorder="1" applyAlignment="1">
      <alignment vertical="center"/>
    </xf>
    <xf numFmtId="0" fontId="75" fillId="28" borderId="105" xfId="0" applyFont="1" applyFill="1" applyBorder="1" applyAlignment="1">
      <alignment horizontal="center" vertical="center" shrinkToFit="1"/>
    </xf>
    <xf numFmtId="0" fontId="75" fillId="28" borderId="0" xfId="0" applyFont="1" applyFill="1" applyBorder="1" applyAlignment="1">
      <alignment horizontal="center" vertical="center" shrinkToFit="1"/>
    </xf>
    <xf numFmtId="0" fontId="75" fillId="28" borderId="33" xfId="0" applyFont="1" applyFill="1" applyBorder="1" applyAlignment="1">
      <alignment horizontal="center" vertical="center" shrinkToFit="1"/>
    </xf>
    <xf numFmtId="0" fontId="74" fillId="0" borderId="48" xfId="0" applyNumberFormat="1" applyFont="1" applyBorder="1" applyAlignment="1">
      <alignment horizontal="center" vertical="center" wrapText="1"/>
    </xf>
    <xf numFmtId="2" fontId="74" fillId="0" borderId="29" xfId="0" applyNumberFormat="1" applyFont="1" applyBorder="1" applyAlignment="1">
      <alignment horizontal="center" vertical="center" wrapText="1"/>
    </xf>
    <xf numFmtId="2" fontId="74" fillId="0" borderId="30" xfId="0" applyNumberFormat="1" applyFont="1" applyBorder="1" applyAlignment="1">
      <alignment horizontal="center" vertical="center" wrapText="1"/>
    </xf>
    <xf numFmtId="2" fontId="74" fillId="0" borderId="31" xfId="0" applyNumberFormat="1" applyFont="1" applyBorder="1" applyAlignment="1">
      <alignment horizontal="center" vertical="center" wrapText="1"/>
    </xf>
    <xf numFmtId="0" fontId="74" fillId="0" borderId="29" xfId="0" applyNumberFormat="1" applyFont="1" applyBorder="1" applyAlignment="1">
      <alignment horizontal="center" vertical="center"/>
    </xf>
    <xf numFmtId="0" fontId="74" fillId="0" borderId="30" xfId="0" applyNumberFormat="1" applyFont="1" applyBorder="1" applyAlignment="1">
      <alignment horizontal="center" vertical="center"/>
    </xf>
    <xf numFmtId="0" fontId="74" fillId="0" borderId="31" xfId="0" applyNumberFormat="1" applyFont="1" applyBorder="1" applyAlignment="1">
      <alignment horizontal="center" vertical="center"/>
    </xf>
    <xf numFmtId="2" fontId="74" fillId="0" borderId="29" xfId="0" applyNumberFormat="1" applyFont="1" applyBorder="1" applyAlignment="1">
      <alignment horizontal="center" vertical="center"/>
    </xf>
    <xf numFmtId="2" fontId="74" fillId="0" borderId="105" xfId="0" applyNumberFormat="1" applyFont="1" applyBorder="1" applyAlignment="1">
      <alignment horizontal="center" vertical="center"/>
    </xf>
    <xf numFmtId="2" fontId="74" fillId="0" borderId="0" xfId="0" applyNumberFormat="1" applyFont="1" applyBorder="1" applyAlignment="1">
      <alignment horizontal="center" vertical="center"/>
    </xf>
    <xf numFmtId="2" fontId="74" fillId="0" borderId="33" xfId="0" applyNumberFormat="1" applyFont="1" applyBorder="1" applyAlignment="1">
      <alignment horizontal="center" vertical="center"/>
    </xf>
    <xf numFmtId="0" fontId="74" fillId="0" borderId="128" xfId="0" applyNumberFormat="1" applyFont="1" applyBorder="1" applyAlignment="1">
      <alignment horizontal="center" vertical="center" wrapText="1"/>
    </xf>
    <xf numFmtId="2" fontId="74" fillId="0" borderId="122" xfId="0" applyNumberFormat="1" applyFont="1" applyBorder="1" applyAlignment="1">
      <alignment horizontal="center" vertical="center" wrapText="1"/>
    </xf>
    <xf numFmtId="2" fontId="0" fillId="0" borderId="122" xfId="0" applyNumberFormat="1" applyBorder="1">
      <alignment vertical="center"/>
    </xf>
    <xf numFmtId="0" fontId="74" fillId="0" borderId="13" xfId="0" applyNumberFormat="1" applyFont="1" applyBorder="1" applyAlignment="1">
      <alignment horizontal="center" vertical="center" wrapText="1"/>
    </xf>
    <xf numFmtId="0" fontId="54" fillId="28" borderId="109" xfId="0" applyNumberFormat="1" applyFont="1" applyFill="1" applyBorder="1" applyAlignment="1">
      <alignment horizontal="center" vertical="center"/>
    </xf>
    <xf numFmtId="0" fontId="54" fillId="28" borderId="109" xfId="0" applyNumberFormat="1" applyFont="1" applyFill="1" applyBorder="1" applyAlignment="1">
      <alignment horizontal="center" vertical="center" shrinkToFit="1"/>
    </xf>
    <xf numFmtId="0" fontId="54" fillId="28" borderId="50" xfId="0" applyNumberFormat="1" applyFont="1" applyFill="1" applyBorder="1" applyAlignment="1">
      <alignment horizontal="center" vertical="center" shrinkToFit="1"/>
    </xf>
    <xf numFmtId="0" fontId="54" fillId="28" borderId="53" xfId="0" applyNumberFormat="1" applyFont="1" applyFill="1" applyBorder="1" applyAlignment="1">
      <alignment horizontal="center" vertical="center" shrinkToFit="1"/>
    </xf>
    <xf numFmtId="0" fontId="54" fillId="28" borderId="51" xfId="0" applyNumberFormat="1" applyFont="1" applyFill="1" applyBorder="1" applyAlignment="1">
      <alignment horizontal="center" vertical="center" shrinkToFit="1"/>
    </xf>
    <xf numFmtId="0" fontId="71" fillId="28" borderId="109" xfId="0" applyNumberFormat="1" applyFont="1" applyFill="1" applyBorder="1" applyAlignment="1">
      <alignment horizontal="center" vertical="center" shrinkToFit="1"/>
    </xf>
    <xf numFmtId="0" fontId="74" fillId="0" borderId="109" xfId="0" applyNumberFormat="1" applyFont="1" applyBorder="1" applyAlignment="1">
      <alignment horizontal="center" vertical="center" shrinkToFit="1"/>
    </xf>
    <xf numFmtId="0" fontId="74" fillId="28" borderId="29" xfId="0" applyFont="1" applyFill="1" applyBorder="1" applyAlignment="1">
      <alignment horizontal="center" vertical="center" wrapText="1"/>
    </xf>
    <xf numFmtId="0" fontId="74" fillId="28" borderId="30" xfId="0" applyFont="1" applyFill="1" applyBorder="1" applyAlignment="1">
      <alignment horizontal="center" vertical="center" wrapText="1"/>
    </xf>
    <xf numFmtId="0" fontId="74" fillId="28" borderId="127" xfId="0" applyFont="1" applyFill="1" applyBorder="1" applyAlignment="1">
      <alignment horizontal="center" vertical="center" wrapText="1"/>
    </xf>
    <xf numFmtId="0" fontId="74" fillId="28" borderId="0" xfId="0" applyFont="1" applyFill="1" applyBorder="1" applyAlignment="1">
      <alignment horizontal="center" vertical="center" wrapText="1"/>
    </xf>
    <xf numFmtId="0" fontId="74" fillId="28" borderId="18" xfId="0" applyFont="1" applyFill="1" applyBorder="1" applyAlignment="1">
      <alignment horizontal="center" vertical="center" wrapText="1"/>
    </xf>
    <xf numFmtId="0" fontId="74" fillId="28" borderId="19" xfId="0" applyFont="1" applyFill="1" applyBorder="1" applyAlignment="1">
      <alignment horizontal="center" vertical="center" wrapText="1"/>
    </xf>
    <xf numFmtId="2" fontId="74" fillId="28" borderId="50" xfId="0" applyNumberFormat="1" applyFont="1" applyFill="1" applyBorder="1" applyAlignment="1">
      <alignment horizontal="center" vertical="center" wrapText="1"/>
    </xf>
    <xf numFmtId="0" fontId="0" fillId="28" borderId="53" xfId="0" applyNumberFormat="1" applyFill="1" applyBorder="1">
      <alignment vertical="center"/>
    </xf>
    <xf numFmtId="0" fontId="0" fillId="28" borderId="51" xfId="0" applyNumberFormat="1" applyFill="1" applyBorder="1">
      <alignment vertical="center"/>
    </xf>
    <xf numFmtId="0" fontId="74" fillId="0" borderId="109" xfId="0" applyNumberFormat="1" applyFont="1" applyBorder="1" applyAlignment="1">
      <alignment horizontal="center" vertical="center"/>
    </xf>
    <xf numFmtId="0" fontId="74" fillId="0" borderId="109" xfId="0" applyNumberFormat="1" applyFont="1" applyBorder="1" applyAlignment="1">
      <alignment vertical="center" shrinkToFit="1"/>
    </xf>
    <xf numFmtId="0" fontId="74" fillId="28" borderId="50" xfId="0" applyFont="1" applyFill="1" applyBorder="1" applyAlignment="1">
      <alignment horizontal="center" vertical="center" wrapText="1"/>
    </xf>
    <xf numFmtId="0" fontId="74" fillId="28" borderId="53" xfId="0" applyFont="1" applyFill="1" applyBorder="1" applyAlignment="1">
      <alignment horizontal="center" vertical="center" wrapText="1"/>
    </xf>
    <xf numFmtId="0" fontId="74" fillId="28" borderId="51" xfId="0" applyFont="1" applyFill="1" applyBorder="1" applyAlignment="1">
      <alignment horizontal="center" vertical="center" wrapText="1"/>
    </xf>
    <xf numFmtId="0" fontId="54" fillId="28" borderId="50" xfId="0" applyFont="1" applyFill="1" applyBorder="1" applyAlignment="1">
      <alignment horizontal="center" vertical="center" wrapText="1"/>
    </xf>
    <xf numFmtId="0" fontId="75" fillId="28" borderId="53" xfId="0" applyFont="1" applyFill="1" applyBorder="1" applyAlignment="1">
      <alignment horizontal="center" vertical="center" wrapText="1"/>
    </xf>
    <xf numFmtId="0" fontId="75" fillId="28" borderId="51" xfId="0" applyFont="1" applyFill="1" applyBorder="1" applyAlignment="1">
      <alignment horizontal="center" vertical="center" wrapText="1"/>
    </xf>
    <xf numFmtId="190" fontId="74" fillId="28" borderId="50" xfId="0" applyNumberFormat="1" applyFont="1" applyFill="1" applyBorder="1" applyAlignment="1">
      <alignment horizontal="center" vertical="center" wrapText="1"/>
    </xf>
    <xf numFmtId="190" fontId="74" fillId="28" borderId="53" xfId="0" applyNumberFormat="1" applyFont="1" applyFill="1" applyBorder="1" applyAlignment="1">
      <alignment horizontal="center" vertical="center" wrapText="1"/>
    </xf>
    <xf numFmtId="190" fontId="74" fillId="28" borderId="51" xfId="0" applyNumberFormat="1" applyFont="1" applyFill="1" applyBorder="1" applyAlignment="1">
      <alignment horizontal="center" vertical="center" wrapText="1"/>
    </xf>
    <xf numFmtId="0" fontId="0" fillId="28" borderId="53" xfId="0" applyFill="1" applyBorder="1">
      <alignment vertical="center"/>
    </xf>
    <xf numFmtId="0" fontId="0" fillId="28" borderId="51" xfId="0" applyFill="1" applyBorder="1">
      <alignment vertical="center"/>
    </xf>
    <xf numFmtId="2" fontId="74" fillId="0" borderId="128" xfId="0" applyNumberFormat="1" applyFont="1" applyBorder="1" applyAlignment="1">
      <alignment horizontal="center" vertical="center" wrapText="1"/>
    </xf>
    <xf numFmtId="2" fontId="0" fillId="0" borderId="128" xfId="0" applyNumberFormat="1" applyBorder="1">
      <alignment vertical="center"/>
    </xf>
    <xf numFmtId="2" fontId="74" fillId="0" borderId="129" xfId="0" applyNumberFormat="1" applyFont="1" applyBorder="1" applyAlignment="1">
      <alignment horizontal="center" vertical="center"/>
    </xf>
    <xf numFmtId="2" fontId="74" fillId="0" borderId="48" xfId="0" applyNumberFormat="1" applyFont="1" applyBorder="1" applyAlignment="1">
      <alignment horizontal="center" vertical="center" wrapText="1"/>
    </xf>
    <xf numFmtId="2" fontId="0" fillId="0" borderId="48" xfId="0" applyNumberFormat="1" applyBorder="1">
      <alignment vertical="center"/>
    </xf>
    <xf numFmtId="0" fontId="74" fillId="28" borderId="105" xfId="0" applyFont="1" applyFill="1" applyBorder="1" applyAlignment="1">
      <alignment horizontal="center" vertical="center" wrapText="1"/>
    </xf>
    <xf numFmtId="0" fontId="74" fillId="28" borderId="50" xfId="0" applyFont="1" applyFill="1" applyBorder="1" applyAlignment="1">
      <alignment horizontal="center" vertical="center" shrinkToFit="1"/>
    </xf>
    <xf numFmtId="0" fontId="74" fillId="28" borderId="53" xfId="0" applyFont="1" applyFill="1" applyBorder="1" applyAlignment="1">
      <alignment horizontal="center" vertical="center" shrinkToFit="1"/>
    </xf>
    <xf numFmtId="0" fontId="74" fillId="28" borderId="51" xfId="0" applyFont="1" applyFill="1" applyBorder="1" applyAlignment="1">
      <alignment horizontal="center" vertical="center" shrinkToFit="1"/>
    </xf>
    <xf numFmtId="0" fontId="74" fillId="0" borderId="29" xfId="0" applyFont="1" applyBorder="1" applyAlignment="1">
      <alignment horizontal="center" vertical="center"/>
    </xf>
    <xf numFmtId="0" fontId="74" fillId="0" borderId="31" xfId="0" applyFont="1" applyBorder="1" applyAlignment="1">
      <alignment horizontal="center" vertical="center"/>
    </xf>
    <xf numFmtId="0" fontId="75" fillId="0" borderId="50" xfId="0" applyFont="1" applyBorder="1" applyAlignment="1">
      <alignment horizontal="right" vertical="center" indent="1" shrinkToFit="1"/>
    </xf>
    <xf numFmtId="0" fontId="75" fillId="0" borderId="53" xfId="0" applyFont="1" applyBorder="1" applyAlignment="1">
      <alignment horizontal="right" vertical="center" indent="1" shrinkToFit="1"/>
    </xf>
    <xf numFmtId="0" fontId="75" fillId="0" borderId="51" xfId="0" applyFont="1" applyBorder="1" applyAlignment="1">
      <alignment horizontal="right" vertical="center" indent="1" shrinkToFit="1"/>
    </xf>
    <xf numFmtId="195" fontId="74" fillId="0" borderId="50" xfId="0" applyNumberFormat="1" applyFont="1" applyBorder="1" applyAlignment="1">
      <alignment vertical="center"/>
    </xf>
    <xf numFmtId="195" fontId="74" fillId="0" borderId="53" xfId="0" applyNumberFormat="1" applyFont="1" applyBorder="1" applyAlignment="1">
      <alignment vertical="center"/>
    </xf>
    <xf numFmtId="0" fontId="74" fillId="0" borderId="53" xfId="0" applyNumberFormat="1" applyFont="1" applyBorder="1" applyAlignment="1">
      <alignment vertical="center"/>
    </xf>
    <xf numFmtId="0" fontId="74" fillId="0" borderId="51" xfId="0" applyNumberFormat="1" applyFont="1" applyBorder="1" applyAlignment="1">
      <alignment vertical="center"/>
    </xf>
    <xf numFmtId="2" fontId="74" fillId="0" borderId="50" xfId="0" applyNumberFormat="1" applyFont="1" applyBorder="1" applyAlignment="1">
      <alignment vertical="center" shrinkToFit="1"/>
    </xf>
    <xf numFmtId="2" fontId="74" fillId="0" borderId="53" xfId="0" applyNumberFormat="1" applyFont="1" applyBorder="1" applyAlignment="1">
      <alignment vertical="center" shrinkToFit="1"/>
    </xf>
    <xf numFmtId="2" fontId="74" fillId="0" borderId="13" xfId="0" applyNumberFormat="1" applyFont="1" applyBorder="1" applyAlignment="1">
      <alignment horizontal="center" vertical="center" wrapText="1"/>
    </xf>
    <xf numFmtId="2" fontId="0" fillId="0" borderId="13" xfId="0" applyNumberFormat="1" applyBorder="1">
      <alignment vertical="center"/>
    </xf>
    <xf numFmtId="190" fontId="74" fillId="28" borderId="50" xfId="0" applyNumberFormat="1" applyFont="1" applyFill="1" applyBorder="1" applyAlignment="1">
      <alignment horizontal="center" vertical="center"/>
    </xf>
    <xf numFmtId="190" fontId="74" fillId="28" borderId="53" xfId="0" applyNumberFormat="1" applyFont="1" applyFill="1" applyBorder="1" applyAlignment="1">
      <alignment horizontal="center" vertical="center"/>
    </xf>
    <xf numFmtId="190" fontId="74" fillId="28" borderId="51" xfId="0" applyNumberFormat="1" applyFont="1" applyFill="1" applyBorder="1" applyAlignment="1">
      <alignment horizontal="center" vertical="center"/>
    </xf>
    <xf numFmtId="0" fontId="74" fillId="28" borderId="50" xfId="0" applyNumberFormat="1" applyFont="1" applyFill="1" applyBorder="1" applyAlignment="1">
      <alignment horizontal="center" vertical="center" wrapText="1"/>
    </xf>
    <xf numFmtId="0" fontId="74" fillId="28" borderId="53" xfId="0" applyNumberFormat="1" applyFont="1" applyFill="1" applyBorder="1" applyAlignment="1">
      <alignment horizontal="center" vertical="center" wrapText="1"/>
    </xf>
    <xf numFmtId="0" fontId="74" fillId="28" borderId="51" xfId="0" applyNumberFormat="1" applyFont="1" applyFill="1" applyBorder="1" applyAlignment="1">
      <alignment horizontal="center" vertical="center" wrapText="1"/>
    </xf>
    <xf numFmtId="0" fontId="74" fillId="0" borderId="0" xfId="0" applyFont="1" applyBorder="1" applyAlignment="1">
      <alignment vertical="center"/>
    </xf>
    <xf numFmtId="190" fontId="74" fillId="0" borderId="0" xfId="0" applyNumberFormat="1" applyFont="1" applyBorder="1" applyAlignment="1">
      <alignment vertical="center"/>
    </xf>
    <xf numFmtId="190" fontId="74" fillId="0" borderId="0" xfId="0" applyNumberFormat="1" applyFont="1" applyBorder="1" applyAlignment="1">
      <alignment vertical="center" shrinkToFit="1"/>
    </xf>
    <xf numFmtId="0" fontId="74" fillId="0" borderId="0" xfId="0" applyNumberFormat="1" applyFont="1" applyBorder="1" applyAlignment="1">
      <alignment vertical="center" shrinkToFit="1"/>
    </xf>
    <xf numFmtId="190" fontId="74" fillId="0" borderId="19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200" fontId="74" fillId="0" borderId="0" xfId="0" applyNumberFormat="1" applyFont="1" applyBorder="1" applyAlignment="1">
      <alignment horizontal="left" vertical="center"/>
    </xf>
    <xf numFmtId="190" fontId="74" fillId="0" borderId="53" xfId="0" applyNumberFormat="1" applyFont="1" applyBorder="1" applyAlignment="1">
      <alignment horizontal="center" vertical="center"/>
    </xf>
    <xf numFmtId="189" fontId="74" fillId="0" borderId="30" xfId="0" applyNumberFormat="1" applyFont="1" applyBorder="1" applyAlignment="1">
      <alignment horizontal="center" vertical="center"/>
    </xf>
    <xf numFmtId="189" fontId="74" fillId="0" borderId="0" xfId="0" applyNumberFormat="1" applyFont="1" applyBorder="1" applyAlignment="1">
      <alignment horizontal="center" vertical="center"/>
    </xf>
    <xf numFmtId="0" fontId="79" fillId="0" borderId="19" xfId="0" applyNumberFormat="1" applyFont="1" applyBorder="1" applyAlignment="1">
      <alignment horizontal="center" vertical="center"/>
    </xf>
    <xf numFmtId="0" fontId="54" fillId="0" borderId="19" xfId="82" applyNumberFormat="1" applyFont="1" applyBorder="1" applyAlignment="1">
      <alignment vertical="center"/>
    </xf>
    <xf numFmtId="190" fontId="54" fillId="0" borderId="0" xfId="0" applyNumberFormat="1" applyFont="1" applyBorder="1" applyAlignment="1">
      <alignment vertical="center"/>
    </xf>
    <xf numFmtId="0" fontId="74" fillId="0" borderId="0" xfId="0" applyNumberFormat="1" applyFont="1" applyBorder="1" applyAlignment="1">
      <alignment horizontal="center" vertical="center"/>
    </xf>
    <xf numFmtId="2" fontId="74" fillId="0" borderId="30" xfId="0" applyNumberFormat="1" applyFont="1" applyBorder="1" applyAlignment="1">
      <alignment horizontal="center" vertical="center"/>
    </xf>
    <xf numFmtId="2" fontId="74" fillId="0" borderId="31" xfId="0" applyNumberFormat="1" applyFont="1" applyBorder="1" applyAlignment="1">
      <alignment horizontal="center" vertical="center"/>
    </xf>
    <xf numFmtId="2" fontId="74" fillId="0" borderId="18" xfId="0" applyNumberFormat="1" applyFont="1" applyBorder="1" applyAlignment="1">
      <alignment horizontal="center" vertical="center"/>
    </xf>
    <xf numFmtId="2" fontId="74" fillId="0" borderId="19" xfId="0" applyNumberFormat="1" applyFont="1" applyBorder="1" applyAlignment="1">
      <alignment horizontal="center" vertical="center"/>
    </xf>
    <xf numFmtId="2" fontId="74" fillId="0" borderId="20" xfId="0" applyNumberFormat="1" applyFont="1" applyBorder="1" applyAlignment="1">
      <alignment horizontal="center" vertical="center"/>
    </xf>
    <xf numFmtId="0" fontId="107" fillId="28" borderId="29" xfId="0" applyFont="1" applyFill="1" applyBorder="1" applyAlignment="1">
      <alignment horizontal="center" vertical="center" wrapText="1"/>
    </xf>
    <xf numFmtId="0" fontId="107" fillId="28" borderId="30" xfId="0" applyFont="1" applyFill="1" applyBorder="1" applyAlignment="1">
      <alignment horizontal="center" vertical="center" wrapText="1"/>
    </xf>
    <xf numFmtId="0" fontId="107" fillId="28" borderId="31" xfId="0" applyFont="1" applyFill="1" applyBorder="1" applyAlignment="1">
      <alignment horizontal="center" vertical="center" wrapText="1"/>
    </xf>
    <xf numFmtId="0" fontId="107" fillId="28" borderId="105" xfId="0" applyFont="1" applyFill="1" applyBorder="1" applyAlignment="1">
      <alignment horizontal="center" vertical="center" wrapText="1"/>
    </xf>
    <xf numFmtId="0" fontId="107" fillId="28" borderId="0" xfId="0" applyFont="1" applyFill="1" applyBorder="1" applyAlignment="1">
      <alignment horizontal="center" vertical="center" wrapText="1"/>
    </xf>
    <xf numFmtId="0" fontId="107" fillId="28" borderId="33" xfId="0" applyFont="1" applyFill="1" applyBorder="1" applyAlignment="1">
      <alignment horizontal="center" vertical="center" wrapText="1"/>
    </xf>
    <xf numFmtId="0" fontId="107" fillId="28" borderId="18" xfId="0" applyFont="1" applyFill="1" applyBorder="1" applyAlignment="1">
      <alignment horizontal="center" vertical="center" wrapText="1"/>
    </xf>
    <xf numFmtId="0" fontId="107" fillId="28" borderId="19" xfId="0" applyFont="1" applyFill="1" applyBorder="1" applyAlignment="1">
      <alignment horizontal="center" vertical="center" wrapText="1"/>
    </xf>
    <xf numFmtId="0" fontId="107" fillId="28" borderId="20" xfId="0" applyFont="1" applyFill="1" applyBorder="1" applyAlignment="1">
      <alignment horizontal="center" vertical="center" wrapText="1"/>
    </xf>
    <xf numFmtId="0" fontId="107" fillId="28" borderId="50" xfId="0" applyFont="1" applyFill="1" applyBorder="1" applyAlignment="1">
      <alignment horizontal="center" vertical="center"/>
    </xf>
    <xf numFmtId="0" fontId="107" fillId="28" borderId="53" xfId="0" applyFont="1" applyFill="1" applyBorder="1" applyAlignment="1">
      <alignment horizontal="center" vertical="center"/>
    </xf>
    <xf numFmtId="0" fontId="107" fillId="28" borderId="51" xfId="0" applyFont="1" applyFill="1" applyBorder="1" applyAlignment="1">
      <alignment horizontal="center" vertical="center"/>
    </xf>
    <xf numFmtId="0" fontId="107" fillId="28" borderId="50" xfId="0" applyNumberFormat="1" applyFont="1" applyFill="1" applyBorder="1" applyAlignment="1">
      <alignment horizontal="center" vertical="center"/>
    </xf>
    <xf numFmtId="0" fontId="107" fillId="28" borderId="53" xfId="0" applyNumberFormat="1" applyFont="1" applyFill="1" applyBorder="1" applyAlignment="1">
      <alignment horizontal="center" vertical="center"/>
    </xf>
    <xf numFmtId="0" fontId="107" fillId="28" borderId="51" xfId="0" applyNumberFormat="1" applyFont="1" applyFill="1" applyBorder="1" applyAlignment="1">
      <alignment horizontal="center" vertical="center"/>
    </xf>
    <xf numFmtId="0" fontId="107" fillId="28" borderId="30" xfId="0" applyFont="1" applyFill="1" applyBorder="1" applyAlignment="1">
      <alignment horizontal="center" vertical="center"/>
    </xf>
    <xf numFmtId="0" fontId="107" fillId="28" borderId="31" xfId="0" applyFont="1" applyFill="1" applyBorder="1" applyAlignment="1">
      <alignment horizontal="center" vertical="center"/>
    </xf>
    <xf numFmtId="0" fontId="107" fillId="28" borderId="18" xfId="0" applyFont="1" applyFill="1" applyBorder="1" applyAlignment="1">
      <alignment horizontal="center" vertical="center"/>
    </xf>
    <xf numFmtId="0" fontId="107" fillId="28" borderId="19" xfId="0" applyFont="1" applyFill="1" applyBorder="1" applyAlignment="1">
      <alignment horizontal="center" vertical="center"/>
    </xf>
    <xf numFmtId="0" fontId="107" fillId="28" borderId="20" xfId="0" applyFont="1" applyFill="1" applyBorder="1" applyAlignment="1">
      <alignment horizontal="center" vertical="center"/>
    </xf>
    <xf numFmtId="0" fontId="107" fillId="28" borderId="29" xfId="0" applyNumberFormat="1" applyFont="1" applyFill="1" applyBorder="1" applyAlignment="1">
      <alignment horizontal="center" vertical="center" wrapText="1"/>
    </xf>
    <xf numFmtId="0" fontId="107" fillId="28" borderId="30" xfId="0" applyNumberFormat="1" applyFont="1" applyFill="1" applyBorder="1" applyAlignment="1">
      <alignment horizontal="center" vertical="center"/>
    </xf>
    <xf numFmtId="0" fontId="107" fillId="28" borderId="31" xfId="0" applyNumberFormat="1" applyFont="1" applyFill="1" applyBorder="1" applyAlignment="1">
      <alignment horizontal="center" vertical="center"/>
    </xf>
    <xf numFmtId="0" fontId="107" fillId="28" borderId="18" xfId="0" applyNumberFormat="1" applyFont="1" applyFill="1" applyBorder="1" applyAlignment="1">
      <alignment horizontal="center" vertical="center"/>
    </xf>
    <xf numFmtId="0" fontId="107" fillId="28" borderId="19" xfId="0" applyNumberFormat="1" applyFont="1" applyFill="1" applyBorder="1" applyAlignment="1">
      <alignment horizontal="center" vertical="center"/>
    </xf>
    <xf numFmtId="0" fontId="107" fillId="28" borderId="20" xfId="0" applyNumberFormat="1" applyFont="1" applyFill="1" applyBorder="1" applyAlignment="1">
      <alignment horizontal="center" vertical="center"/>
    </xf>
    <xf numFmtId="0" fontId="107" fillId="28" borderId="29" xfId="0" applyNumberFormat="1" applyFont="1" applyFill="1" applyBorder="1" applyAlignment="1">
      <alignment horizontal="center" vertical="center"/>
    </xf>
    <xf numFmtId="0" fontId="107" fillId="28" borderId="30" xfId="0" applyNumberFormat="1" applyFont="1" applyFill="1" applyBorder="1" applyAlignment="1">
      <alignment horizontal="center" vertical="center" wrapText="1"/>
    </xf>
    <xf numFmtId="0" fontId="107" fillId="28" borderId="31" xfId="0" applyNumberFormat="1" applyFont="1" applyFill="1" applyBorder="1" applyAlignment="1">
      <alignment horizontal="center" vertical="center" wrapText="1"/>
    </xf>
    <xf numFmtId="0" fontId="107" fillId="28" borderId="18" xfId="0" applyNumberFormat="1" applyFont="1" applyFill="1" applyBorder="1" applyAlignment="1">
      <alignment horizontal="center" vertical="center" wrapText="1"/>
    </xf>
    <xf numFmtId="0" fontId="107" fillId="28" borderId="19" xfId="0" applyNumberFormat="1" applyFont="1" applyFill="1" applyBorder="1" applyAlignment="1">
      <alignment horizontal="center" vertical="center" wrapText="1"/>
    </xf>
    <xf numFmtId="0" fontId="107" fillId="28" borderId="20" xfId="0" applyNumberFormat="1" applyFont="1" applyFill="1" applyBorder="1" applyAlignment="1">
      <alignment horizontal="center" vertical="center" wrapText="1"/>
    </xf>
    <xf numFmtId="2" fontId="107" fillId="28" borderId="50" xfId="0" applyNumberFormat="1" applyFont="1" applyFill="1" applyBorder="1" applyAlignment="1">
      <alignment horizontal="center" vertical="center"/>
    </xf>
    <xf numFmtId="190" fontId="107" fillId="28" borderId="50" xfId="0" applyNumberFormat="1" applyFont="1" applyFill="1" applyBorder="1" applyAlignment="1">
      <alignment horizontal="center" vertical="center"/>
    </xf>
    <xf numFmtId="0" fontId="107" fillId="28" borderId="50" xfId="0" applyNumberFormat="1" applyFont="1" applyFill="1" applyBorder="1" applyAlignment="1">
      <alignment horizontal="center" vertical="center" wrapText="1"/>
    </xf>
    <xf numFmtId="0" fontId="107" fillId="28" borderId="53" xfId="0" applyNumberFormat="1" applyFont="1" applyFill="1" applyBorder="1" applyAlignment="1">
      <alignment horizontal="center" vertical="center" wrapText="1"/>
    </xf>
    <xf numFmtId="0" fontId="107" fillId="28" borderId="51" xfId="0" applyNumberFormat="1" applyFont="1" applyFill="1" applyBorder="1" applyAlignment="1">
      <alignment horizontal="center" vertical="center" wrapText="1"/>
    </xf>
    <xf numFmtId="2" fontId="107" fillId="28" borderId="53" xfId="0" applyNumberFormat="1" applyFont="1" applyFill="1" applyBorder="1" applyAlignment="1">
      <alignment horizontal="center" vertical="center"/>
    </xf>
    <xf numFmtId="2" fontId="107" fillId="28" borderId="51" xfId="0" applyNumberFormat="1" applyFont="1" applyFill="1" applyBorder="1" applyAlignment="1">
      <alignment horizontal="center" vertical="center"/>
    </xf>
    <xf numFmtId="190" fontId="107" fillId="28" borderId="53" xfId="0" applyNumberFormat="1" applyFont="1" applyFill="1" applyBorder="1" applyAlignment="1">
      <alignment horizontal="center" vertical="center"/>
    </xf>
    <xf numFmtId="190" fontId="107" fillId="28" borderId="51" xfId="0" applyNumberFormat="1" applyFont="1" applyFill="1" applyBorder="1" applyAlignment="1">
      <alignment horizontal="center" vertical="center"/>
    </xf>
    <xf numFmtId="2" fontId="74" fillId="0" borderId="105" xfId="0" applyNumberFormat="1" applyFont="1" applyBorder="1" applyAlignment="1">
      <alignment horizontal="center" vertical="center" wrapText="1"/>
    </xf>
    <xf numFmtId="2" fontId="74" fillId="0" borderId="0" xfId="0" applyNumberFormat="1" applyFont="1" applyBorder="1" applyAlignment="1">
      <alignment horizontal="center" vertical="center" wrapText="1"/>
    </xf>
    <xf numFmtId="2" fontId="74" fillId="0" borderId="33" xfId="0" applyNumberFormat="1" applyFont="1" applyBorder="1" applyAlignment="1">
      <alignment horizontal="center" vertical="center" wrapText="1"/>
    </xf>
    <xf numFmtId="0" fontId="74" fillId="0" borderId="105" xfId="0" applyNumberFormat="1" applyFont="1" applyBorder="1" applyAlignment="1">
      <alignment horizontal="center" vertical="center"/>
    </xf>
    <xf numFmtId="0" fontId="74" fillId="0" borderId="33" xfId="0" applyNumberFormat="1" applyFont="1" applyBorder="1" applyAlignment="1">
      <alignment horizontal="center" vertical="center"/>
    </xf>
    <xf numFmtId="2" fontId="74" fillId="0" borderId="18" xfId="0" applyNumberFormat="1" applyFont="1" applyBorder="1" applyAlignment="1">
      <alignment horizontal="center" vertical="center" wrapText="1"/>
    </xf>
    <xf numFmtId="2" fontId="74" fillId="0" borderId="19" xfId="0" applyNumberFormat="1" applyFont="1" applyBorder="1" applyAlignment="1">
      <alignment horizontal="center" vertical="center" wrapText="1"/>
    </xf>
    <xf numFmtId="2" fontId="74" fillId="0" borderId="20" xfId="0" applyNumberFormat="1" applyFont="1" applyBorder="1" applyAlignment="1">
      <alignment horizontal="center" vertical="center" wrapText="1"/>
    </xf>
    <xf numFmtId="0" fontId="74" fillId="0" borderId="18" xfId="0" applyNumberFormat="1" applyFont="1" applyBorder="1" applyAlignment="1">
      <alignment horizontal="center" vertical="center"/>
    </xf>
    <xf numFmtId="0" fontId="74" fillId="0" borderId="19" xfId="0" applyNumberFormat="1" applyFont="1" applyBorder="1" applyAlignment="1">
      <alignment horizontal="center" vertical="center"/>
    </xf>
    <xf numFmtId="0" fontId="74" fillId="0" borderId="20" xfId="0" applyNumberFormat="1" applyFont="1" applyBorder="1" applyAlignment="1">
      <alignment horizontal="center" vertical="center"/>
    </xf>
    <xf numFmtId="0" fontId="107" fillId="28" borderId="50" xfId="0" applyFont="1" applyFill="1" applyBorder="1" applyAlignment="1">
      <alignment horizontal="center" vertical="center" wrapText="1"/>
    </xf>
    <xf numFmtId="0" fontId="107" fillId="28" borderId="53" xfId="0" applyFont="1" applyFill="1" applyBorder="1" applyAlignment="1">
      <alignment horizontal="center" vertical="center" wrapText="1"/>
    </xf>
    <xf numFmtId="0" fontId="107" fillId="28" borderId="51" xfId="0" applyFont="1" applyFill="1" applyBorder="1" applyAlignment="1">
      <alignment horizontal="center" vertical="center" wrapText="1"/>
    </xf>
    <xf numFmtId="0" fontId="107" fillId="28" borderId="109" xfId="0" applyFont="1" applyFill="1" applyBorder="1" applyAlignment="1">
      <alignment horizontal="center" vertical="center" wrapText="1"/>
    </xf>
    <xf numFmtId="0" fontId="74" fillId="0" borderId="29" xfId="0" applyNumberFormat="1" applyFont="1" applyBorder="1" applyAlignment="1">
      <alignment horizontal="center" vertical="center" wrapText="1"/>
    </xf>
    <xf numFmtId="0" fontId="74" fillId="0" borderId="30" xfId="0" applyNumberFormat="1" applyFont="1" applyBorder="1" applyAlignment="1">
      <alignment horizontal="center" vertical="center" wrapText="1"/>
    </xf>
    <xf numFmtId="0" fontId="74" fillId="0" borderId="31" xfId="0" applyNumberFormat="1" applyFont="1" applyBorder="1" applyAlignment="1">
      <alignment horizontal="center" vertical="center" wrapText="1"/>
    </xf>
    <xf numFmtId="0" fontId="74" fillId="0" borderId="18" xfId="0" applyNumberFormat="1" applyFont="1" applyBorder="1" applyAlignment="1">
      <alignment horizontal="center" vertical="center" wrapText="1"/>
    </xf>
    <xf numFmtId="0" fontId="74" fillId="0" borderId="19" xfId="0" applyNumberFormat="1" applyFont="1" applyBorder="1" applyAlignment="1">
      <alignment horizontal="center" vertical="center" wrapText="1"/>
    </xf>
    <xf numFmtId="0" fontId="74" fillId="0" borderId="20" xfId="0" applyNumberFormat="1" applyFont="1" applyBorder="1" applyAlignment="1">
      <alignment horizontal="center" vertical="center" wrapText="1"/>
    </xf>
    <xf numFmtId="0" fontId="74" fillId="28" borderId="29" xfId="0" applyFont="1" applyFill="1" applyBorder="1" applyAlignment="1">
      <alignment horizontal="center" vertical="center"/>
    </xf>
    <xf numFmtId="0" fontId="74" fillId="28" borderId="31" xfId="0" applyFont="1" applyFill="1" applyBorder="1" applyAlignment="1">
      <alignment horizontal="center" vertical="center"/>
    </xf>
    <xf numFmtId="0" fontId="74" fillId="28" borderId="105" xfId="0" applyFont="1" applyFill="1" applyBorder="1" applyAlignment="1">
      <alignment horizontal="center" vertical="center"/>
    </xf>
    <xf numFmtId="0" fontId="74" fillId="28" borderId="33" xfId="0" applyFont="1" applyFill="1" applyBorder="1" applyAlignment="1">
      <alignment horizontal="center" vertical="center"/>
    </xf>
    <xf numFmtId="0" fontId="0" fillId="28" borderId="53" xfId="0" applyFill="1" applyBorder="1" applyAlignment="1">
      <alignment vertical="center"/>
    </xf>
    <xf numFmtId="0" fontId="0" fillId="28" borderId="51" xfId="0" applyFill="1" applyBorder="1" applyAlignment="1">
      <alignment vertical="center"/>
    </xf>
    <xf numFmtId="0" fontId="78" fillId="28" borderId="53" xfId="0" applyFont="1" applyFill="1" applyBorder="1" applyAlignment="1">
      <alignment vertical="center"/>
    </xf>
    <xf numFmtId="0" fontId="74" fillId="28" borderId="29" xfId="0" applyFont="1" applyFill="1" applyBorder="1" applyAlignment="1">
      <alignment horizontal="center" vertical="center" shrinkToFit="1"/>
    </xf>
    <xf numFmtId="0" fontId="74" fillId="28" borderId="30" xfId="0" applyFont="1" applyFill="1" applyBorder="1" applyAlignment="1">
      <alignment horizontal="center" vertical="center" shrinkToFit="1"/>
    </xf>
    <xf numFmtId="0" fontId="74" fillId="28" borderId="31" xfId="0" applyFont="1" applyFill="1" applyBorder="1" applyAlignment="1">
      <alignment horizontal="center" vertical="center" shrinkToFit="1"/>
    </xf>
    <xf numFmtId="0" fontId="0" fillId="28" borderId="30" xfId="0" applyFill="1" applyBorder="1" applyAlignment="1">
      <alignment vertical="center"/>
    </xf>
    <xf numFmtId="0" fontId="0" fillId="28" borderId="31" xfId="0" applyFill="1" applyBorder="1" applyAlignment="1">
      <alignment vertical="center"/>
    </xf>
    <xf numFmtId="0" fontId="78" fillId="28" borderId="30" xfId="0" applyFont="1" applyFill="1" applyBorder="1" applyAlignment="1">
      <alignment vertical="center"/>
    </xf>
    <xf numFmtId="0" fontId="79" fillId="28" borderId="18" xfId="0" applyFont="1" applyFill="1" applyBorder="1" applyAlignment="1">
      <alignment horizontal="center" vertical="center" shrinkToFit="1"/>
    </xf>
    <xf numFmtId="0" fontId="79" fillId="28" borderId="19" xfId="0" applyFont="1" applyFill="1" applyBorder="1" applyAlignment="1">
      <alignment horizontal="center" vertical="center" shrinkToFit="1"/>
    </xf>
    <xf numFmtId="0" fontId="79" fillId="28" borderId="20" xfId="0" applyFont="1" applyFill="1" applyBorder="1" applyAlignment="1">
      <alignment horizontal="center" vertical="center" shrinkToFit="1"/>
    </xf>
    <xf numFmtId="0" fontId="78" fillId="28" borderId="0" xfId="0" applyFont="1" applyFill="1" applyBorder="1" applyAlignment="1">
      <alignment vertical="center"/>
    </xf>
    <xf numFmtId="0" fontId="74" fillId="0" borderId="50" xfId="0" applyFont="1" applyBorder="1" applyAlignment="1">
      <alignment horizontal="center" vertical="center"/>
    </xf>
    <xf numFmtId="0" fontId="74" fillId="0" borderId="51" xfId="0" applyFont="1" applyBorder="1" applyAlignment="1">
      <alignment horizontal="center" vertical="center"/>
    </xf>
    <xf numFmtId="0" fontId="75" fillId="0" borderId="50" xfId="0" applyFont="1" applyBorder="1" applyAlignment="1">
      <alignment horizontal="left" vertical="center" indent="1" shrinkToFit="1"/>
    </xf>
    <xf numFmtId="0" fontId="75" fillId="0" borderId="53" xfId="0" applyFont="1" applyBorder="1" applyAlignment="1">
      <alignment horizontal="left" vertical="center" indent="1" shrinkToFit="1"/>
    </xf>
    <xf numFmtId="0" fontId="75" fillId="0" borderId="51" xfId="0" applyFont="1" applyBorder="1" applyAlignment="1">
      <alignment horizontal="left" vertical="center" indent="1" shrinkToFit="1"/>
    </xf>
    <xf numFmtId="0" fontId="74" fillId="0" borderId="50" xfId="0" applyNumberFormat="1" applyFont="1" applyBorder="1" applyAlignment="1">
      <alignment vertical="center"/>
    </xf>
    <xf numFmtId="190" fontId="74" fillId="0" borderId="50" xfId="0" applyNumberFormat="1" applyFont="1" applyBorder="1" applyAlignment="1">
      <alignment vertical="center"/>
    </xf>
    <xf numFmtId="190" fontId="74" fillId="0" borderId="53" xfId="0" applyNumberFormat="1" applyFont="1" applyBorder="1" applyAlignment="1">
      <alignment vertical="center"/>
    </xf>
    <xf numFmtId="0" fontId="74" fillId="0" borderId="50" xfId="0" applyNumberFormat="1" applyFont="1" applyBorder="1" applyAlignment="1">
      <alignment horizontal="left" vertical="center" shrinkToFit="1"/>
    </xf>
    <xf numFmtId="0" fontId="74" fillId="0" borderId="53" xfId="0" applyNumberFormat="1" applyFont="1" applyBorder="1" applyAlignment="1">
      <alignment horizontal="left" vertical="center" shrinkToFit="1"/>
    </xf>
    <xf numFmtId="0" fontId="74" fillId="0" borderId="51" xfId="0" applyNumberFormat="1" applyFont="1" applyBorder="1" applyAlignment="1">
      <alignment horizontal="left" vertical="center" shrinkToFit="1"/>
    </xf>
    <xf numFmtId="0" fontId="74" fillId="0" borderId="50" xfId="0" applyNumberFormat="1" applyFont="1" applyBorder="1" applyAlignment="1">
      <alignment horizontal="left" vertical="center" indent="1" shrinkToFit="1"/>
    </xf>
    <xf numFmtId="0" fontId="74" fillId="0" borderId="53" xfId="0" applyNumberFormat="1" applyFont="1" applyBorder="1" applyAlignment="1">
      <alignment horizontal="left" vertical="center" indent="1" shrinkToFit="1"/>
    </xf>
    <xf numFmtId="0" fontId="74" fillId="0" borderId="51" xfId="0" applyNumberFormat="1" applyFont="1" applyBorder="1" applyAlignment="1">
      <alignment horizontal="left" vertical="center" indent="1" shrinkToFit="1"/>
    </xf>
    <xf numFmtId="0" fontId="74" fillId="0" borderId="50" xfId="0" applyNumberFormat="1" applyFont="1" applyBorder="1" applyAlignment="1">
      <alignment horizontal="right" vertical="center" shrinkToFit="1"/>
    </xf>
    <xf numFmtId="0" fontId="74" fillId="0" borderId="53" xfId="0" applyNumberFormat="1" applyFont="1" applyBorder="1" applyAlignment="1">
      <alignment horizontal="right" vertical="center" shrinkToFit="1"/>
    </xf>
    <xf numFmtId="0" fontId="74" fillId="0" borderId="51" xfId="0" applyNumberFormat="1" applyFont="1" applyBorder="1" applyAlignment="1">
      <alignment horizontal="right" vertical="center" shrinkToFit="1"/>
    </xf>
    <xf numFmtId="201" fontId="74" fillId="0" borderId="53" xfId="0" applyNumberFormat="1" applyFont="1" applyBorder="1" applyAlignment="1">
      <alignment vertical="center" shrinkToFit="1"/>
    </xf>
    <xf numFmtId="201" fontId="74" fillId="0" borderId="51" xfId="0" applyNumberFormat="1" applyFont="1" applyBorder="1" applyAlignment="1">
      <alignment vertical="center" shrinkToFit="1"/>
    </xf>
    <xf numFmtId="190" fontId="74" fillId="0" borderId="50" xfId="0" applyNumberFormat="1" applyFont="1" applyBorder="1" applyAlignment="1">
      <alignment vertical="center" shrinkToFit="1"/>
    </xf>
    <xf numFmtId="190" fontId="74" fillId="0" borderId="53" xfId="0" applyNumberFormat="1" applyFont="1" applyBorder="1" applyAlignment="1">
      <alignment vertical="center" shrinkToFit="1"/>
    </xf>
    <xf numFmtId="206" fontId="74" fillId="0" borderId="50" xfId="0" applyNumberFormat="1" applyFont="1" applyBorder="1" applyAlignment="1">
      <alignment vertical="center" shrinkToFit="1"/>
    </xf>
    <xf numFmtId="206" fontId="74" fillId="0" borderId="53" xfId="0" applyNumberFormat="1" applyFont="1" applyBorder="1" applyAlignment="1">
      <alignment vertical="center" shrinkToFit="1"/>
    </xf>
    <xf numFmtId="207" fontId="74" fillId="0" borderId="50" xfId="0" applyNumberFormat="1" applyFont="1" applyBorder="1" applyAlignment="1">
      <alignment vertical="center" shrinkToFit="1"/>
    </xf>
    <xf numFmtId="207" fontId="74" fillId="0" borderId="53" xfId="0" applyNumberFormat="1" applyFont="1" applyBorder="1" applyAlignment="1">
      <alignment vertical="center" shrinkToFit="1"/>
    </xf>
    <xf numFmtId="0" fontId="75" fillId="0" borderId="50" xfId="0" applyFont="1" applyBorder="1" applyAlignment="1">
      <alignment horizontal="right" vertical="center" shrinkToFit="1"/>
    </xf>
    <xf numFmtId="0" fontId="75" fillId="0" borderId="53" xfId="0" applyFont="1" applyBorder="1" applyAlignment="1">
      <alignment horizontal="right" vertical="center" shrinkToFit="1"/>
    </xf>
    <xf numFmtId="0" fontId="75" fillId="0" borderId="51" xfId="0" applyFont="1" applyBorder="1" applyAlignment="1">
      <alignment horizontal="right" vertical="center" shrinkToFit="1"/>
    </xf>
    <xf numFmtId="0" fontId="74" fillId="0" borderId="50" xfId="0" applyNumberFormat="1" applyFont="1" applyBorder="1" applyAlignment="1">
      <alignment horizontal="center" vertical="center"/>
    </xf>
    <xf numFmtId="0" fontId="74" fillId="0" borderId="53" xfId="0" applyNumberFormat="1" applyFont="1" applyBorder="1" applyAlignment="1">
      <alignment horizontal="center" vertical="center"/>
    </xf>
    <xf numFmtId="0" fontId="74" fillId="0" borderId="51" xfId="0" applyNumberFormat="1" applyFont="1" applyBorder="1" applyAlignment="1">
      <alignment horizontal="center" vertical="center"/>
    </xf>
    <xf numFmtId="0" fontId="74" fillId="0" borderId="50" xfId="0" applyNumberFormat="1" applyFont="1" applyBorder="1" applyAlignment="1">
      <alignment horizontal="center" vertical="center" shrinkToFit="1"/>
    </xf>
    <xf numFmtId="0" fontId="74" fillId="0" borderId="53" xfId="0" applyNumberFormat="1" applyFont="1" applyBorder="1" applyAlignment="1">
      <alignment horizontal="center" vertical="center" shrinkToFit="1"/>
    </xf>
    <xf numFmtId="0" fontId="74" fillId="0" borderId="51" xfId="0" applyNumberFormat="1" applyFont="1" applyBorder="1" applyAlignment="1">
      <alignment horizontal="center" vertical="center" shrinkToFit="1"/>
    </xf>
    <xf numFmtId="195" fontId="54" fillId="0" borderId="0" xfId="0" applyNumberFormat="1" applyFont="1" applyAlignment="1">
      <alignment horizontal="right" vertical="center"/>
    </xf>
    <xf numFmtId="0" fontId="54" fillId="0" borderId="0" xfId="0" applyNumberFormat="1" applyFont="1" applyAlignment="1">
      <alignment horizontal="right" vertical="center"/>
    </xf>
    <xf numFmtId="0" fontId="54" fillId="0" borderId="0" xfId="0" applyNumberFormat="1" applyFont="1" applyAlignment="1">
      <alignment horizontal="center" vertical="center"/>
    </xf>
    <xf numFmtId="190" fontId="54" fillId="0" borderId="0" xfId="0" applyNumberFormat="1" applyFont="1" applyAlignment="1">
      <alignment horizontal="center" vertical="center"/>
    </xf>
    <xf numFmtId="0" fontId="54" fillId="0" borderId="0" xfId="0" applyNumberFormat="1" applyFont="1" applyBorder="1" applyAlignment="1">
      <alignment horizontal="left" vertical="center"/>
    </xf>
    <xf numFmtId="190" fontId="54" fillId="0" borderId="19" xfId="0" applyNumberFormat="1" applyFont="1" applyBorder="1" applyAlignment="1">
      <alignment horizontal="center" vertical="center"/>
    </xf>
    <xf numFmtId="0" fontId="74" fillId="0" borderId="0" xfId="0" applyNumberFormat="1" applyFont="1" applyBorder="1" applyAlignment="1">
      <alignment vertical="center"/>
    </xf>
    <xf numFmtId="195" fontId="54" fillId="0" borderId="0" xfId="82" applyNumberFormat="1" applyFont="1" applyBorder="1" applyAlignment="1">
      <alignment vertical="center"/>
    </xf>
    <xf numFmtId="10" fontId="54" fillId="0" borderId="0" xfId="82" applyNumberFormat="1" applyFont="1" applyBorder="1" applyAlignment="1">
      <alignment horizontal="left" vertical="center"/>
    </xf>
    <xf numFmtId="190" fontId="54" fillId="0" borderId="0" xfId="82" applyNumberFormat="1" applyFont="1" applyBorder="1" applyAlignment="1">
      <alignment vertical="center"/>
    </xf>
    <xf numFmtId="190" fontId="54" fillId="0" borderId="19" xfId="82" applyNumberFormat="1" applyFont="1" applyBorder="1" applyAlignment="1">
      <alignment vertical="center"/>
    </xf>
    <xf numFmtId="0" fontId="74" fillId="0" borderId="19" xfId="0" applyNumberFormat="1" applyFont="1" applyBorder="1" applyAlignment="1">
      <alignment vertical="center"/>
    </xf>
    <xf numFmtId="195" fontId="54" fillId="0" borderId="30" xfId="0" applyNumberFormat="1" applyFont="1" applyBorder="1" applyAlignment="1">
      <alignment vertical="center"/>
    </xf>
    <xf numFmtId="0" fontId="54" fillId="0" borderId="0" xfId="82" applyNumberFormat="1" applyFont="1" applyBorder="1" applyAlignment="1">
      <alignment vertical="center"/>
    </xf>
    <xf numFmtId="0" fontId="54" fillId="0" borderId="30" xfId="0" applyNumberFormat="1" applyFont="1" applyBorder="1" applyAlignment="1">
      <alignment vertical="center"/>
    </xf>
    <xf numFmtId="190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Alignment="1">
      <alignment vertical="center"/>
    </xf>
    <xf numFmtId="0" fontId="74" fillId="0" borderId="0" xfId="0" applyNumberFormat="1" applyFont="1" applyBorder="1" applyAlignment="1">
      <alignment horizontal="left" vertical="center"/>
    </xf>
    <xf numFmtId="0" fontId="61" fillId="27" borderId="50" xfId="81" applyFont="1" applyFill="1" applyBorder="1" applyAlignment="1">
      <alignment horizontal="center" vertical="center"/>
    </xf>
    <xf numFmtId="0" fontId="61" fillId="27" borderId="51" xfId="81" applyFont="1" applyFill="1" applyBorder="1" applyAlignment="1">
      <alignment horizontal="center" vertical="center"/>
    </xf>
    <xf numFmtId="0" fontId="61" fillId="27" borderId="53" xfId="81" applyFont="1" applyFill="1" applyBorder="1" applyAlignment="1">
      <alignment horizontal="center" vertical="center"/>
    </xf>
    <xf numFmtId="0" fontId="103" fillId="27" borderId="50" xfId="81" applyFont="1" applyFill="1" applyBorder="1" applyAlignment="1">
      <alignment horizontal="center" vertical="center"/>
    </xf>
    <xf numFmtId="0" fontId="103" fillId="27" borderId="51" xfId="81" applyFont="1" applyFill="1" applyBorder="1" applyAlignment="1">
      <alignment horizontal="center" vertical="center"/>
    </xf>
    <xf numFmtId="0" fontId="88" fillId="29" borderId="108" xfId="0" applyNumberFormat="1" applyFont="1" applyFill="1" applyBorder="1" applyAlignment="1">
      <alignment horizontal="center" vertical="center" wrapText="1"/>
    </xf>
    <xf numFmtId="0" fontId="61" fillId="27" borderId="109" xfId="81" applyFont="1" applyFill="1" applyBorder="1" applyAlignment="1">
      <alignment horizontal="center" vertical="center"/>
    </xf>
    <xf numFmtId="0" fontId="88" fillId="29" borderId="3" xfId="0" applyNumberFormat="1" applyFont="1" applyFill="1" applyBorder="1" applyAlignment="1">
      <alignment horizontal="center" vertical="center" wrapText="1"/>
    </xf>
    <xf numFmtId="0" fontId="63" fillId="0" borderId="91" xfId="0" applyFont="1" applyBorder="1" applyAlignment="1">
      <alignment horizontal="center" vertical="center"/>
    </xf>
    <xf numFmtId="0" fontId="63" fillId="0" borderId="88" xfId="0" applyFont="1" applyBorder="1" applyAlignment="1">
      <alignment horizontal="center" vertical="center"/>
    </xf>
    <xf numFmtId="0" fontId="88" fillId="29" borderId="91" xfId="0" applyNumberFormat="1" applyFont="1" applyFill="1" applyBorder="1" applyAlignment="1">
      <alignment horizontal="center" vertical="center" wrapText="1"/>
    </xf>
    <xf numFmtId="0" fontId="88" fillId="29" borderId="88" xfId="0" applyNumberFormat="1" applyFont="1" applyFill="1" applyBorder="1" applyAlignment="1">
      <alignment horizontal="center" vertical="center" wrapText="1"/>
    </xf>
    <xf numFmtId="193" fontId="88" fillId="29" borderId="91" xfId="0" applyNumberFormat="1" applyFont="1" applyFill="1" applyBorder="1" applyAlignment="1">
      <alignment horizontal="center" vertical="center" wrapText="1"/>
    </xf>
    <xf numFmtId="193" fontId="88" fillId="29" borderId="88" xfId="0" applyNumberFormat="1" applyFont="1" applyFill="1" applyBorder="1" applyAlignment="1">
      <alignment horizontal="center" vertical="center" wrapText="1"/>
    </xf>
    <xf numFmtId="0" fontId="88" fillId="29" borderId="72" xfId="0" applyNumberFormat="1" applyFont="1" applyFill="1" applyBorder="1" applyAlignment="1">
      <alignment horizontal="center" vertical="center"/>
    </xf>
    <xf numFmtId="0" fontId="88" fillId="29" borderId="26" xfId="0" applyNumberFormat="1" applyFont="1" applyFill="1" applyBorder="1" applyAlignment="1">
      <alignment horizontal="center" vertical="center"/>
    </xf>
    <xf numFmtId="0" fontId="88" fillId="29" borderId="72" xfId="0" applyNumberFormat="1" applyFont="1" applyFill="1" applyBorder="1" applyAlignment="1">
      <alignment horizontal="center" vertical="center" wrapText="1"/>
    </xf>
    <xf numFmtId="0" fontId="88" fillId="29" borderId="120" xfId="0" applyNumberFormat="1" applyFont="1" applyFill="1" applyBorder="1" applyAlignment="1">
      <alignment horizontal="center" vertical="center" wrapText="1"/>
    </xf>
    <xf numFmtId="0" fontId="88" fillId="29" borderId="26" xfId="0" applyNumberFormat="1" applyFont="1" applyFill="1" applyBorder="1" applyAlignment="1">
      <alignment horizontal="center" vertical="center" wrapText="1"/>
    </xf>
    <xf numFmtId="0" fontId="88" fillId="29" borderId="91" xfId="0" applyNumberFormat="1" applyFont="1" applyFill="1" applyBorder="1" applyAlignment="1">
      <alignment horizontal="center" vertical="center"/>
    </xf>
    <xf numFmtId="0" fontId="88" fillId="29" borderId="87" xfId="0" applyNumberFormat="1" applyFont="1" applyFill="1" applyBorder="1" applyAlignment="1">
      <alignment horizontal="center" vertical="center"/>
    </xf>
    <xf numFmtId="0" fontId="88" fillId="29" borderId="88" xfId="0" applyNumberFormat="1" applyFont="1" applyFill="1" applyBorder="1" applyAlignment="1">
      <alignment horizontal="center" vertical="center"/>
    </xf>
    <xf numFmtId="0" fontId="88" fillId="29" borderId="87" xfId="0" applyNumberFormat="1" applyFont="1" applyFill="1" applyBorder="1" applyAlignment="1">
      <alignment horizontal="center" vertical="center" wrapText="1"/>
    </xf>
    <xf numFmtId="0" fontId="88" fillId="29" borderId="79" xfId="0" applyNumberFormat="1" applyFont="1" applyFill="1" applyBorder="1" applyAlignment="1">
      <alignment horizontal="center" vertical="center" wrapText="1"/>
    </xf>
    <xf numFmtId="0" fontId="88" fillId="29" borderId="81" xfId="0" applyNumberFormat="1" applyFont="1" applyFill="1" applyBorder="1" applyAlignment="1">
      <alignment horizontal="center" vertical="center" wrapText="1"/>
    </xf>
    <xf numFmtId="0" fontId="88" fillId="29" borderId="119" xfId="0" applyNumberFormat="1" applyFont="1" applyFill="1" applyBorder="1" applyAlignment="1">
      <alignment horizontal="center" vertical="center" wrapText="1"/>
    </xf>
    <xf numFmtId="0" fontId="88" fillId="29" borderId="121" xfId="0" applyNumberFormat="1" applyFont="1" applyFill="1" applyBorder="1" applyAlignment="1">
      <alignment horizontal="center" vertical="center" wrapText="1"/>
    </xf>
    <xf numFmtId="0" fontId="88" fillId="29" borderId="86" xfId="0" applyNumberFormat="1" applyFont="1" applyFill="1" applyBorder="1" applyAlignment="1">
      <alignment horizontal="center" vertical="center" wrapText="1"/>
    </xf>
    <xf numFmtId="0" fontId="88" fillId="29" borderId="89" xfId="0" applyNumberFormat="1" applyFont="1" applyFill="1" applyBorder="1" applyAlignment="1">
      <alignment horizontal="center" vertical="center" wrapText="1"/>
    </xf>
    <xf numFmtId="0" fontId="88" fillId="29" borderId="115" xfId="0" applyNumberFormat="1" applyFont="1" applyFill="1" applyBorder="1" applyAlignment="1">
      <alignment horizontal="center" vertical="center"/>
    </xf>
    <xf numFmtId="0" fontId="86" fillId="0" borderId="84" xfId="0" applyNumberFormat="1" applyFont="1" applyBorder="1" applyAlignment="1">
      <alignment horizontal="center" vertical="center" wrapText="1"/>
    </xf>
    <xf numFmtId="0" fontId="86" fillId="0" borderId="122" xfId="0" applyNumberFormat="1" applyFont="1" applyBorder="1" applyAlignment="1">
      <alignment horizontal="center" vertical="center" wrapText="1"/>
    </xf>
    <xf numFmtId="0" fontId="86" fillId="0" borderId="13" xfId="0" applyNumberFormat="1" applyFont="1" applyBorder="1" applyAlignment="1">
      <alignment horizontal="center" vertical="center" wrapText="1"/>
    </xf>
    <xf numFmtId="41" fontId="86" fillId="0" borderId="84" xfId="132" applyFont="1" applyBorder="1" applyAlignment="1">
      <alignment horizontal="center" vertical="center"/>
    </xf>
    <xf numFmtId="41" fontId="86" fillId="0" borderId="122" xfId="132" applyFont="1" applyBorder="1" applyAlignment="1">
      <alignment horizontal="center" vertical="center"/>
    </xf>
    <xf numFmtId="41" fontId="86" fillId="0" borderId="13" xfId="132" applyFont="1" applyBorder="1" applyAlignment="1">
      <alignment horizontal="center" vertical="center"/>
    </xf>
    <xf numFmtId="0" fontId="88" fillId="29" borderId="79" xfId="0" applyNumberFormat="1" applyFont="1" applyFill="1" applyBorder="1" applyAlignment="1">
      <alignment horizontal="center" vertical="center"/>
    </xf>
    <xf numFmtId="0" fontId="88" fillId="29" borderId="80" xfId="0" applyNumberFormat="1" applyFont="1" applyFill="1" applyBorder="1" applyAlignment="1">
      <alignment horizontal="center" vertical="center"/>
    </xf>
    <xf numFmtId="0" fontId="88" fillId="29" borderId="81" xfId="0" applyNumberFormat="1" applyFont="1" applyFill="1" applyBorder="1" applyAlignment="1">
      <alignment horizontal="center" vertical="center"/>
    </xf>
    <xf numFmtId="0" fontId="88" fillId="29" borderId="73" xfId="0" applyNumberFormat="1" applyFont="1" applyFill="1" applyBorder="1" applyAlignment="1">
      <alignment horizontal="center" vertical="center" wrapText="1"/>
    </xf>
    <xf numFmtId="0" fontId="88" fillId="29" borderId="73" xfId="0" applyNumberFormat="1" applyFont="1" applyFill="1" applyBorder="1" applyAlignment="1">
      <alignment horizontal="center" vertical="center"/>
    </xf>
    <xf numFmtId="0" fontId="88" fillId="29" borderId="74" xfId="0" applyNumberFormat="1" applyFont="1" applyFill="1" applyBorder="1" applyAlignment="1">
      <alignment horizontal="center" vertical="center" wrapText="1"/>
    </xf>
    <xf numFmtId="0" fontId="88" fillId="29" borderId="75" xfId="0" applyNumberFormat="1" applyFont="1" applyFill="1" applyBorder="1" applyAlignment="1">
      <alignment horizontal="center" vertical="center" wrapText="1"/>
    </xf>
    <xf numFmtId="0" fontId="88" fillId="29" borderId="76" xfId="0" applyNumberFormat="1" applyFont="1" applyFill="1" applyBorder="1" applyAlignment="1">
      <alignment horizontal="center" vertical="center" wrapText="1"/>
    </xf>
    <xf numFmtId="0" fontId="88" fillId="29" borderId="85" xfId="0" applyNumberFormat="1" applyFont="1" applyFill="1" applyBorder="1" applyAlignment="1">
      <alignment horizontal="center" vertical="center" wrapText="1"/>
    </xf>
    <xf numFmtId="0" fontId="88" fillId="29" borderId="116" xfId="0" applyNumberFormat="1" applyFont="1" applyFill="1" applyBorder="1" applyAlignment="1">
      <alignment horizontal="center" vertical="center" wrapText="1"/>
    </xf>
    <xf numFmtId="0" fontId="88" fillId="29" borderId="117" xfId="0" applyNumberFormat="1" applyFont="1" applyFill="1" applyBorder="1" applyAlignment="1">
      <alignment horizontal="center" vertical="center" wrapText="1"/>
    </xf>
    <xf numFmtId="0" fontId="88" fillId="29" borderId="113" xfId="0" applyNumberFormat="1" applyFont="1" applyFill="1" applyBorder="1" applyAlignment="1">
      <alignment horizontal="center" vertical="center" wrapText="1"/>
    </xf>
    <xf numFmtId="0" fontId="88" fillId="29" borderId="0" xfId="0" applyNumberFormat="1" applyFont="1" applyFill="1" applyBorder="1" applyAlignment="1">
      <alignment horizontal="center" vertical="center" wrapText="1"/>
    </xf>
    <xf numFmtId="0" fontId="88" fillId="29" borderId="114" xfId="0" applyNumberFormat="1" applyFont="1" applyFill="1" applyBorder="1" applyAlignment="1">
      <alignment horizontal="center" vertical="center" wrapText="1"/>
    </xf>
    <xf numFmtId="0" fontId="88" fillId="29" borderId="93" xfId="0" applyNumberFormat="1" applyFont="1" applyFill="1" applyBorder="1" applyAlignment="1">
      <alignment horizontal="center" vertical="center" wrapText="1"/>
    </xf>
    <xf numFmtId="0" fontId="88" fillId="29" borderId="94" xfId="0" applyNumberFormat="1" applyFont="1" applyFill="1" applyBorder="1" applyAlignment="1">
      <alignment horizontal="center" vertical="center" wrapText="1"/>
    </xf>
    <xf numFmtId="0" fontId="88" fillId="29" borderId="120" xfId="0" applyNumberFormat="1" applyFont="1" applyFill="1" applyBorder="1" applyAlignment="1">
      <alignment horizontal="center" vertical="center"/>
    </xf>
    <xf numFmtId="0" fontId="88" fillId="29" borderId="85" xfId="0" applyNumberFormat="1" applyFont="1" applyFill="1" applyBorder="1" applyAlignment="1">
      <alignment horizontal="center" vertical="center"/>
    </xf>
    <xf numFmtId="0" fontId="88" fillId="29" borderId="118" xfId="0" applyNumberFormat="1" applyFont="1" applyFill="1" applyBorder="1" applyAlignment="1">
      <alignment horizontal="center" vertical="center"/>
    </xf>
    <xf numFmtId="0" fontId="88" fillId="29" borderId="90" xfId="0" applyNumberFormat="1" applyFont="1" applyFill="1" applyBorder="1" applyAlignment="1">
      <alignment horizontal="center" vertical="center"/>
    </xf>
    <xf numFmtId="0" fontId="6" fillId="29" borderId="72" xfId="0" applyNumberFormat="1" applyFont="1" applyFill="1" applyBorder="1" applyAlignment="1">
      <alignment horizontal="center" vertical="center"/>
    </xf>
    <xf numFmtId="0" fontId="6" fillId="29" borderId="26" xfId="0" applyNumberFormat="1" applyFont="1" applyFill="1" applyBorder="1" applyAlignment="1">
      <alignment horizontal="center" vertical="center"/>
    </xf>
    <xf numFmtId="193" fontId="88" fillId="29" borderId="93" xfId="0" applyNumberFormat="1" applyFont="1" applyFill="1" applyBorder="1" applyAlignment="1">
      <alignment horizontal="center" vertical="center"/>
    </xf>
    <xf numFmtId="193" fontId="88" fillId="29" borderId="94" xfId="0" applyNumberFormat="1" applyFont="1" applyFill="1" applyBorder="1" applyAlignment="1">
      <alignment horizontal="center" vertical="center"/>
    </xf>
  </cellXfs>
  <cellStyles count="145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1 2" xfId="88"/>
    <cellStyle name="20% - 강조색2" xfId="10" builtinId="34" customBuiltin="1"/>
    <cellStyle name="20% - 강조색2 2" xfId="89"/>
    <cellStyle name="20% - 강조색3" xfId="11" builtinId="38" customBuiltin="1"/>
    <cellStyle name="20% - 강조색3 2" xfId="90"/>
    <cellStyle name="20% - 강조색4" xfId="12" builtinId="42" customBuiltin="1"/>
    <cellStyle name="20% - 강조색4 2" xfId="91"/>
    <cellStyle name="20% - 강조색5" xfId="13" builtinId="46" customBuiltin="1"/>
    <cellStyle name="20% - 강조색5 2" xfId="92"/>
    <cellStyle name="20% - 강조색6" xfId="14" builtinId="50" customBuiltin="1"/>
    <cellStyle name="20% - 강조색6 2" xfId="93"/>
    <cellStyle name="40% - 강조색1" xfId="15" builtinId="31" customBuiltin="1"/>
    <cellStyle name="40% - 강조색1 2" xfId="94"/>
    <cellStyle name="40% - 강조색2" xfId="16" builtinId="35" customBuiltin="1"/>
    <cellStyle name="40% - 강조색2 2" xfId="95"/>
    <cellStyle name="40% - 강조색3" xfId="17" builtinId="39" customBuiltin="1"/>
    <cellStyle name="40% - 강조색3 2" xfId="96"/>
    <cellStyle name="40% - 강조색4" xfId="18" builtinId="43" customBuiltin="1"/>
    <cellStyle name="40% - 강조색4 2" xfId="97"/>
    <cellStyle name="40% - 강조색5" xfId="19" builtinId="47" customBuiltin="1"/>
    <cellStyle name="40% - 강조색5 2" xfId="98"/>
    <cellStyle name="40% - 강조색6" xfId="20" builtinId="51" customBuiltin="1"/>
    <cellStyle name="40% - 강조색6 2" xfId="99"/>
    <cellStyle name="60% - 강조색1" xfId="21" builtinId="32" customBuiltin="1"/>
    <cellStyle name="60% - 강조색1 2" xfId="100"/>
    <cellStyle name="60% - 강조색2" xfId="22" builtinId="36" customBuiltin="1"/>
    <cellStyle name="60% - 강조색2 2" xfId="101"/>
    <cellStyle name="60% - 강조색3" xfId="23" builtinId="40" customBuiltin="1"/>
    <cellStyle name="60% - 강조색3 2" xfId="102"/>
    <cellStyle name="60% - 강조색4" xfId="24" builtinId="44" customBuiltin="1"/>
    <cellStyle name="60% - 강조색4 2" xfId="103"/>
    <cellStyle name="60% - 강조색5" xfId="25" builtinId="48" customBuiltin="1"/>
    <cellStyle name="60% - 강조색5 2" xfId="104"/>
    <cellStyle name="60% - 강조색6" xfId="26" builtinId="52" customBuiltin="1"/>
    <cellStyle name="60% - 강조색6 2" xfId="105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106"/>
    <cellStyle name="Input [yellow] 3" xfId="138"/>
    <cellStyle name="Normal - Style1" xfId="38"/>
    <cellStyle name="Normal_ SG&amp;A Bridge " xfId="39"/>
    <cellStyle name="Percent [2]" xfId="40"/>
    <cellStyle name="강조색1" xfId="41" builtinId="29" customBuiltin="1"/>
    <cellStyle name="강조색1 2" xfId="107"/>
    <cellStyle name="강조색2" xfId="42" builtinId="33" customBuiltin="1"/>
    <cellStyle name="강조색2 2" xfId="108"/>
    <cellStyle name="강조색3" xfId="43" builtinId="37" customBuiltin="1"/>
    <cellStyle name="강조색3 2" xfId="109"/>
    <cellStyle name="강조색4" xfId="44" builtinId="41" customBuiltin="1"/>
    <cellStyle name="강조색4 2" xfId="110"/>
    <cellStyle name="강조색5" xfId="45" builtinId="45" customBuiltin="1"/>
    <cellStyle name="강조색5 2" xfId="111"/>
    <cellStyle name="강조색6" xfId="46" builtinId="49" customBuiltin="1"/>
    <cellStyle name="강조색6 2" xfId="112"/>
    <cellStyle name="경고문" xfId="47" builtinId="11" customBuiltin="1"/>
    <cellStyle name="경고문 2" xfId="113"/>
    <cellStyle name="계산" xfId="48" builtinId="22" customBuiltin="1"/>
    <cellStyle name="계산 2" xfId="114"/>
    <cellStyle name="계산 2 2" xfId="134"/>
    <cellStyle name="계산 3" xfId="139"/>
    <cellStyle name="나쁨" xfId="49" builtinId="27" customBuiltin="1"/>
    <cellStyle name="나쁨 2" xfId="115"/>
    <cellStyle name="뒤에 오는 하이퍼링크_불확도(OPM)" xfId="50"/>
    <cellStyle name="메모" xfId="51" builtinId="10" customBuiltin="1"/>
    <cellStyle name="메모 2" xfId="116"/>
    <cellStyle name="메모 2 2" xfId="135"/>
    <cellStyle name="메모 3" xfId="140"/>
    <cellStyle name="백분율" xfId="82" builtinId="5"/>
    <cellStyle name="백분율 2" xfId="83"/>
    <cellStyle name="보통" xfId="52" builtinId="28" customBuiltin="1"/>
    <cellStyle name="보통 2" xfId="117"/>
    <cellStyle name="뷭?_BOOKSHIP" xfId="53"/>
    <cellStyle name="설명 텍스트" xfId="54" builtinId="53" customBuiltin="1"/>
    <cellStyle name="설명 텍스트 2" xfId="118"/>
    <cellStyle name="셀 확인" xfId="55" builtinId="23" customBuiltin="1"/>
    <cellStyle name="셀 확인 2" xfId="119"/>
    <cellStyle name="쉼표 [0]" xfId="132" builtinId="6"/>
    <cellStyle name="쉼표 [0] 2" xfId="137"/>
    <cellStyle name="쉼표 [0] 3" xfId="133"/>
    <cellStyle name="스타일 1" xfId="56"/>
    <cellStyle name="연결된 셀" xfId="57" builtinId="24" customBuiltin="1"/>
    <cellStyle name="연결된 셀 2" xfId="120"/>
    <cellStyle name="요약" xfId="58" builtinId="25" customBuiltin="1"/>
    <cellStyle name="요약 2" xfId="121"/>
    <cellStyle name="요약 3" xfId="141"/>
    <cellStyle name="입력" xfId="59" builtinId="20" customBuiltin="1"/>
    <cellStyle name="입력 2" xfId="122"/>
    <cellStyle name="입력 2 2" xfId="136"/>
    <cellStyle name="입력 3" xfId="142"/>
    <cellStyle name="제목" xfId="60" builtinId="15" customBuiltin="1"/>
    <cellStyle name="제목 1" xfId="61" builtinId="16" customBuiltin="1"/>
    <cellStyle name="제목 1 2" xfId="124"/>
    <cellStyle name="제목 2" xfId="62" builtinId="17" customBuiltin="1"/>
    <cellStyle name="제목 2 2" xfId="125"/>
    <cellStyle name="제목 3" xfId="63" builtinId="18" customBuiltin="1"/>
    <cellStyle name="제목 3 2" xfId="126"/>
    <cellStyle name="제목 4" xfId="64" builtinId="19" customBuiltin="1"/>
    <cellStyle name="제목 4 2" xfId="127"/>
    <cellStyle name="제목 5" xfId="123"/>
    <cellStyle name="좋음" xfId="65" builtinId="26" customBuiltin="1"/>
    <cellStyle name="좋음 2" xfId="128"/>
    <cellStyle name="출력" xfId="66" builtinId="21" customBuiltin="1"/>
    <cellStyle name="출력 2" xfId="129"/>
    <cellStyle name="출력 3" xfId="143"/>
    <cellStyle name="콤마 [0]_  갑 지  " xfId="67"/>
    <cellStyle name="콤마_  갑 지  " xfId="68"/>
    <cellStyle name="표준" xfId="0" builtinId="0" customBuiltin="1"/>
    <cellStyle name="표준 10" xfId="86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 8" xfId="130"/>
    <cellStyle name="표준 9" xfId="87"/>
    <cellStyle name="표준_AGLIENT 34401A(12.22)" xfId="78"/>
    <cellStyle name="표준_ESS-2000" xfId="79"/>
    <cellStyle name="표준_Sheet1" xfId="81"/>
    <cellStyle name="표준_교정결과" xfId="144"/>
    <cellStyle name="표준_영문Reg004-X" xfId="131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31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486025" y="6329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86025" y="6329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31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867025" y="6515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867025" y="6515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30</xdr:row>
      <xdr:rowOff>9525</xdr:rowOff>
    </xdr:from>
    <xdr:to>
      <xdr:col>7</xdr:col>
      <xdr:colOff>267929</xdr:colOff>
      <xdr:row>30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527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527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120</xdr:row>
      <xdr:rowOff>71437</xdr:rowOff>
    </xdr:from>
    <xdr:ext cx="2894447" cy="581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61925" y="28455937"/>
              <a:ext cx="2894447" cy="581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𝜌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2000">
                <a:latin typeface="+mj-lt"/>
              </a:endParaRPr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61925" y="28455937"/>
              <a:ext cx="2894447" cy="581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2000" b="0" i="0">
                  <a:latin typeface="+mj-lt"/>
                </a:rPr>
                <a:t>ℎ_𝑐=ℎ_𝑠−ℎ_𝑖=𝑝_𝑠/(</a:t>
              </a:r>
              <a:r>
                <a:rPr lang="ko-KR" altLang="en-US" sz="2000" b="0" i="0">
                  <a:latin typeface="+mj-lt"/>
                </a:rPr>
                <a:t>𝜌</a:t>
              </a:r>
              <a:r>
                <a:rPr lang="en-US" altLang="ko-KR" sz="2000" b="0" i="0">
                  <a:latin typeface="+mj-lt"/>
                  <a:ea typeface="Cambria Math" panose="02040503050406030204" pitchFamily="18" charset="0"/>
                </a:rPr>
                <a:t>×𝑔)</a:t>
              </a:r>
              <a:r>
                <a:rPr lang="en-US" altLang="ko-KR" sz="2000" b="0" i="0">
                  <a:latin typeface="+mj-lt"/>
                </a:rPr>
                <a:t>−ℎ_𝑖</a:t>
              </a:r>
              <a:endParaRPr lang="ko-KR" altLang="en-US" sz="20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2</xdr:col>
      <xdr:colOff>12668</xdr:colOff>
      <xdr:row>131</xdr:row>
      <xdr:rowOff>13176</xdr:rowOff>
    </xdr:from>
    <xdr:ext cx="6195094" cy="1245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317468" y="30921801"/>
              <a:ext cx="6195094" cy="1245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en-US" altLang="ko-KR" sz="1100"/>
            </a:p>
            <a:p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ko-KR" alt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ko-KR" alt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  <a:p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𝑧𝑒𝑟𝑜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𝑒𝑟𝑟𝑜𝑟</m:t>
                                        </m:r>
                                      </m:sub>
                                    </m:sSub>
                                    <m:r>
                                      <a:rPr lang="ko-KR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𝑧𝑒𝑟𝑜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𝑒𝑟𝑟𝑜𝑟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𝑟𝑒𝑝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𝑟𝑒𝑝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h𝑦𝑠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h𝑦𝑠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317468" y="30921801"/>
              <a:ext cx="6195094" cy="1245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ℎ_𝑐 )</a:t>
              </a:r>
              <a:r>
                <a:rPr lang="en-US" altLang="ko-KR" sz="110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𝑢^2 (ℎ_𝑠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 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altLang="ko-KR" sz="1100"/>
            </a:p>
            <a:p>
              <a:pPr/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=√({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𝑐_(𝑝_𝑠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𝑝_𝑠 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+{𝑐_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)}^2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{𝑐_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)}^2 )</a:t>
              </a:r>
              <a:endParaRPr lang="ko-KR" altLang="ko-KR">
                <a:effectLst/>
              </a:endParaRPr>
            </a:p>
            <a:p>
              <a:pPr/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=√({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)∙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)}^2+{𝑐_(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)∙𝑢(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^2+{𝑐_(ℎ_𝑟𝑒𝑝 )∙𝑢(ℎ_𝑟𝑒𝑝 )}^2+{𝑐_(ℎ_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)∙𝑢(ℎ_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)}^2 )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3</xdr:col>
      <xdr:colOff>12668</xdr:colOff>
      <xdr:row>138</xdr:row>
      <xdr:rowOff>60801</xdr:rowOff>
    </xdr:from>
    <xdr:ext cx="5776581" cy="9035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469868" y="32636301"/>
              <a:ext cx="5776581" cy="9035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𝜕𝜌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ko-KR" altLang="ko-KR">
                <a:effectLst/>
              </a:endParaRPr>
            </a:p>
            <a:p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𝑒𝑟𝑟𝑜𝑟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𝑒𝑟𝑟𝑜𝑟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sub>
                    </m:sSub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469868" y="32636301"/>
              <a:ext cx="5776581" cy="9035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ℎ_𝑠)/(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𝑝_𝑠 )=1/(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𝑠)/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=𝑝_𝑠/(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),  𝑐_𝑔=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=𝑝_𝑠/(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ko-KR" altLang="ko-KR">
                <a:effectLst/>
              </a:endParaRPr>
            </a:p>
            <a:p>
              <a:pPr/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𝑐_(ℎ_𝑟𝑒𝑠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ℎ_𝑟𝑒𝑠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𝑧𝑒𝑟𝑜−𝑒𝑟𝑟𝑜𝑟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𝑐_(ℎ_𝑟𝑒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ℎ_𝑟𝑒𝑝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ℎ_ℎ𝑦𝑠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107918</xdr:colOff>
      <xdr:row>164</xdr:row>
      <xdr:rowOff>89376</xdr:rowOff>
    </xdr:from>
    <xdr:ext cx="829843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784318" y="38656101"/>
              <a:ext cx="829843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784318" y="38656101"/>
              <a:ext cx="829843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𝑝_𝑠/(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98393</xdr:colOff>
      <xdr:row>166</xdr:row>
      <xdr:rowOff>32226</xdr:rowOff>
    </xdr:from>
    <xdr:ext cx="314220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317593" y="39056151"/>
              <a:ext cx="314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ko-KR" alt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ko-KR" alt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317593" y="39056151"/>
              <a:ext cx="314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=√({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𝑐_(𝑝_𝑠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𝑝_𝑠 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+{𝑐_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)}^2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{𝑐_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)}^2 )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117443</xdr:colOff>
      <xdr:row>184</xdr:row>
      <xdr:rowOff>51276</xdr:rowOff>
    </xdr:from>
    <xdr:ext cx="1313629" cy="351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/>
            <xdr:cNvSpPr txBox="1"/>
          </xdr:nvSpPr>
          <xdr:spPr>
            <a:xfrm>
              <a:off x="1184243" y="43190001"/>
              <a:ext cx="1313629" cy="351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1184243" y="43190001"/>
              <a:ext cx="1313629" cy="351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ℎ_𝑠)/(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𝑝_𝑠 )=1/(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117443</xdr:colOff>
      <xdr:row>198</xdr:row>
      <xdr:rowOff>51276</xdr:rowOff>
    </xdr:from>
    <xdr:ext cx="1326773" cy="361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/>
            <xdr:cNvSpPr txBox="1"/>
          </xdr:nvSpPr>
          <xdr:spPr>
            <a:xfrm>
              <a:off x="1184243" y="46390401"/>
              <a:ext cx="1326773" cy="361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𝜕𝜌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1184243" y="46390401"/>
              <a:ext cx="1326773" cy="361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ℎ_𝑠)/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=𝑝_𝑠/(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50768</xdr:colOff>
      <xdr:row>196</xdr:row>
      <xdr:rowOff>22701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/>
            <xdr:cNvSpPr txBox="1"/>
          </xdr:nvSpPr>
          <xdr:spPr>
            <a:xfrm>
              <a:off x="1879568" y="4590462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89" name="TextBox 88"/>
            <xdr:cNvSpPr txBox="1"/>
          </xdr:nvSpPr>
          <xdr:spPr>
            <a:xfrm>
              <a:off x="1879568" y="4590462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60293</xdr:colOff>
      <xdr:row>196</xdr:row>
      <xdr:rowOff>22701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2651093" y="4590462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2651093" y="4590462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9525</xdr:colOff>
      <xdr:row>201</xdr:row>
      <xdr:rowOff>0</xdr:rowOff>
    </xdr:from>
    <xdr:ext cx="2276475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5"/>
            <xdr:cNvSpPr txBox="1"/>
          </xdr:nvSpPr>
          <xdr:spPr>
            <a:xfrm>
              <a:off x="923925" y="47024925"/>
              <a:ext cx="22764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5"/>
            <xdr:cNvSpPr txBox="1"/>
          </xdr:nvSpPr>
          <xdr:spPr>
            <a:xfrm>
              <a:off x="923925" y="47024925"/>
              <a:ext cx="22764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98393</xdr:colOff>
      <xdr:row>214</xdr:row>
      <xdr:rowOff>51276</xdr:rowOff>
    </xdr:from>
    <xdr:ext cx="1327095" cy="361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1165193" y="50048001"/>
              <a:ext cx="1327095" cy="361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𝑔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1165193" y="50048001"/>
              <a:ext cx="1327095" cy="361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𝑐_𝑔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ℎ_𝑠)/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𝑔=𝑝_𝑠/(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×𝑔^2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50768</xdr:colOff>
      <xdr:row>212</xdr:row>
      <xdr:rowOff>22701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1879568" y="4956222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1879568" y="4956222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60293</xdr:colOff>
      <xdr:row>212</xdr:row>
      <xdr:rowOff>22701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2651093" y="4956222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2651093" y="4956222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12668</xdr:colOff>
      <xdr:row>226</xdr:row>
      <xdr:rowOff>22701</xdr:rowOff>
    </xdr:from>
    <xdr:ext cx="602075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/>
            <xdr:cNvSpPr txBox="1"/>
          </xdr:nvSpPr>
          <xdr:spPr>
            <a:xfrm>
              <a:off x="1231868" y="52762626"/>
              <a:ext cx="602075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𝑧𝑒𝑟𝑜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𝑒𝑟𝑟𝑜𝑟</m:t>
                                        </m:r>
                                      </m:sub>
                                    </m:sSub>
                                    <m:r>
                                      <a:rPr lang="ko-KR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𝑧𝑒𝑟𝑜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𝑒𝑟𝑟𝑜𝑟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𝑟𝑒𝑝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𝑟𝑒𝑝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h𝑦𝑠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h𝑦𝑠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1231868" y="52762626"/>
              <a:ext cx="602075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=√({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)∙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)}^2+{𝑐_(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)∙𝑢(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^2+{𝑐_(ℎ_𝑟𝑒𝑝 )∙𝑢(ℎ_𝑟𝑒𝑝 )}^2+{𝑐_(ℎ_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)∙𝑢(ℎ_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)}^2 )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9525</xdr:colOff>
      <xdr:row>217</xdr:row>
      <xdr:rowOff>0</xdr:rowOff>
    </xdr:from>
    <xdr:ext cx="2276475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5"/>
            <xdr:cNvSpPr txBox="1"/>
          </xdr:nvSpPr>
          <xdr:spPr>
            <a:xfrm>
              <a:off x="923925" y="50682525"/>
              <a:ext cx="22764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5"/>
            <xdr:cNvSpPr txBox="1"/>
          </xdr:nvSpPr>
          <xdr:spPr>
            <a:xfrm>
              <a:off x="923925" y="50682525"/>
              <a:ext cx="22764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ν(𝑔)=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22193</xdr:colOff>
      <xdr:row>167</xdr:row>
      <xdr:rowOff>203676</xdr:rowOff>
    </xdr:from>
    <xdr:ext cx="2605265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1698593" y="39456201"/>
              <a:ext cx="2605265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1698593" y="39456201"/>
              <a:ext cx="2605265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^2+(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)^2+(              )^2 )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170</xdr:row>
      <xdr:rowOff>51276</xdr:rowOff>
    </xdr:from>
    <xdr:ext cx="759054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/>
            <xdr:cNvSpPr txBox="1"/>
          </xdr:nvSpPr>
          <xdr:spPr>
            <a:xfrm>
              <a:off x="1079468" y="39989601"/>
              <a:ext cx="759054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98" name="TextBox 97"/>
            <xdr:cNvSpPr txBox="1"/>
          </xdr:nvSpPr>
          <xdr:spPr>
            <a:xfrm>
              <a:off x="1079468" y="39989601"/>
              <a:ext cx="759054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𝑐_(ℎ_𝑠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ℎ_𝑐)/(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 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117443</xdr:colOff>
      <xdr:row>173</xdr:row>
      <xdr:rowOff>41751</xdr:rowOff>
    </xdr:from>
    <xdr:ext cx="1589089" cy="5282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/>
            <xdr:cNvSpPr txBox="1"/>
          </xdr:nvSpPr>
          <xdr:spPr>
            <a:xfrm>
              <a:off x="1031843" y="40665876"/>
              <a:ext cx="1589089" cy="528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{"/>
                                        <m:endChr m:val="}"/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d>
                                          <m:d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99" name="TextBox 98"/>
            <xdr:cNvSpPr txBox="1"/>
          </xdr:nvSpPr>
          <xdr:spPr>
            <a:xfrm>
              <a:off x="1031843" y="40665876"/>
              <a:ext cx="1589089" cy="528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𝑢_𝑐^4)/(∑24_(𝑖=1)^𝑛▒{𝑐_𝑖 𝑢(𝑥_𝑖 )}^4/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3143</xdr:colOff>
      <xdr:row>174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2593943" y="40884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2593943" y="40884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22</xdr:col>
      <xdr:colOff>3143</xdr:colOff>
      <xdr:row>174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3355943" y="40884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3355943" y="40884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27</xdr:col>
      <xdr:colOff>3143</xdr:colOff>
      <xdr:row>174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/>
            <xdr:cNvSpPr txBox="1"/>
          </xdr:nvSpPr>
          <xdr:spPr>
            <a:xfrm>
              <a:off x="4117943" y="40884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02" name="TextBox 101"/>
            <xdr:cNvSpPr txBox="1"/>
          </xdr:nvSpPr>
          <xdr:spPr>
            <a:xfrm>
              <a:off x="4117943" y="40884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22</xdr:col>
      <xdr:colOff>3143</xdr:colOff>
      <xdr:row>173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/>
            <xdr:cNvSpPr txBox="1"/>
          </xdr:nvSpPr>
          <xdr:spPr>
            <a:xfrm>
              <a:off x="3355943" y="406563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03" name="TextBox 102"/>
            <xdr:cNvSpPr txBox="1"/>
          </xdr:nvSpPr>
          <xdr:spPr>
            <a:xfrm>
              <a:off x="3355943" y="406563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12668</xdr:colOff>
      <xdr:row>224</xdr:row>
      <xdr:rowOff>60801</xdr:rowOff>
    </xdr:from>
    <xdr:ext cx="936025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/>
            <xdr:cNvSpPr txBox="1"/>
          </xdr:nvSpPr>
          <xdr:spPr>
            <a:xfrm>
              <a:off x="927068" y="52343526"/>
              <a:ext cx="93602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04" name="TextBox 103"/>
            <xdr:cNvSpPr txBox="1"/>
          </xdr:nvSpPr>
          <xdr:spPr>
            <a:xfrm>
              <a:off x="927068" y="52343526"/>
              <a:ext cx="93602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ℎ_1+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2)/2=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14</xdr:col>
      <xdr:colOff>107918</xdr:colOff>
      <xdr:row>255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2241518" y="593920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2241518" y="593920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19</xdr:col>
      <xdr:colOff>41243</xdr:colOff>
      <xdr:row>255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2936843" y="593920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2936843" y="593920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9524</xdr:colOff>
      <xdr:row>260</xdr:row>
      <xdr:rowOff>0</xdr:rowOff>
    </xdr:from>
    <xdr:ext cx="2962275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5"/>
            <xdr:cNvSpPr txBox="1"/>
          </xdr:nvSpPr>
          <xdr:spPr>
            <a:xfrm>
              <a:off x="923924" y="60512325"/>
              <a:ext cx="29622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𝑧𝑒𝑟𝑜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𝑒𝑟𝑟𝑜𝑟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5"/>
            <xdr:cNvSpPr txBox="1"/>
          </xdr:nvSpPr>
          <xdr:spPr>
            <a:xfrm>
              <a:off x="923924" y="60512325"/>
              <a:ext cx="29622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ν(ℎ_(𝑧𝑒𝑟𝑜−𝑒𝑟𝑟𝑜𝑟)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98393</xdr:colOff>
      <xdr:row>272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1927193" y="632782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1927193" y="632782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50768</xdr:colOff>
      <xdr:row>272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/>
            <xdr:cNvSpPr txBox="1"/>
          </xdr:nvSpPr>
          <xdr:spPr>
            <a:xfrm>
              <a:off x="2641568" y="632782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09" name="TextBox 108"/>
            <xdr:cNvSpPr txBox="1"/>
          </xdr:nvSpPr>
          <xdr:spPr>
            <a:xfrm>
              <a:off x="2641568" y="632782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9525</xdr:colOff>
      <xdr:row>277</xdr:row>
      <xdr:rowOff>0</xdr:rowOff>
    </xdr:from>
    <xdr:ext cx="240030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5"/>
            <xdr:cNvSpPr txBox="1"/>
          </xdr:nvSpPr>
          <xdr:spPr>
            <a:xfrm>
              <a:off x="923925" y="64398525"/>
              <a:ext cx="240030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𝑟𝑒𝑝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5"/>
            <xdr:cNvSpPr txBox="1"/>
          </xdr:nvSpPr>
          <xdr:spPr>
            <a:xfrm>
              <a:off x="923925" y="64398525"/>
              <a:ext cx="240030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ν(ℎ_𝑟𝑒𝑝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22193</xdr:colOff>
      <xdr:row>227</xdr:row>
      <xdr:rowOff>203676</xdr:rowOff>
    </xdr:from>
    <xdr:ext cx="3245760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/>
            <xdr:cNvSpPr txBox="1"/>
          </xdr:nvSpPr>
          <xdr:spPr>
            <a:xfrm>
              <a:off x="1698593" y="53172201"/>
              <a:ext cx="3245760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11" name="TextBox 110"/>
            <xdr:cNvSpPr txBox="1"/>
          </xdr:nvSpPr>
          <xdr:spPr>
            <a:xfrm>
              <a:off x="1698593" y="53172201"/>
              <a:ext cx="3245760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^2+(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)^2+(              )^2+(              )^2 )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117443</xdr:colOff>
      <xdr:row>233</xdr:row>
      <xdr:rowOff>41751</xdr:rowOff>
    </xdr:from>
    <xdr:ext cx="1625188" cy="51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1031843" y="54381876"/>
              <a:ext cx="1625188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{"/>
                                        <m:endChr m:val="}"/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d>
                                          <m:d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1031843" y="54381876"/>
              <a:ext cx="1625188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𝑢_𝑐^4)/(∑24_(𝑖=1)^𝑛▒{𝑐_𝑖 𝑢(𝑥_𝑖 )}^4/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3143</xdr:colOff>
      <xdr:row>234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/>
            <xdr:cNvSpPr txBox="1"/>
          </xdr:nvSpPr>
          <xdr:spPr>
            <a:xfrm>
              <a:off x="2593943" y="54600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13" name="TextBox 112"/>
            <xdr:cNvSpPr txBox="1"/>
          </xdr:nvSpPr>
          <xdr:spPr>
            <a:xfrm>
              <a:off x="2593943" y="54600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22</xdr:col>
      <xdr:colOff>3143</xdr:colOff>
      <xdr:row>234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/>
            <xdr:cNvSpPr txBox="1"/>
          </xdr:nvSpPr>
          <xdr:spPr>
            <a:xfrm>
              <a:off x="3355943" y="54600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14" name="TextBox 113"/>
            <xdr:cNvSpPr txBox="1"/>
          </xdr:nvSpPr>
          <xdr:spPr>
            <a:xfrm>
              <a:off x="3355943" y="54600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27</xdr:col>
      <xdr:colOff>3143</xdr:colOff>
      <xdr:row>234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/>
            <xdr:cNvSpPr txBox="1"/>
          </xdr:nvSpPr>
          <xdr:spPr>
            <a:xfrm>
              <a:off x="4117943" y="54600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15" name="TextBox 114"/>
            <xdr:cNvSpPr txBox="1"/>
          </xdr:nvSpPr>
          <xdr:spPr>
            <a:xfrm>
              <a:off x="4117943" y="54600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24</xdr:col>
      <xdr:colOff>107918</xdr:colOff>
      <xdr:row>233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/>
            <xdr:cNvSpPr txBox="1"/>
          </xdr:nvSpPr>
          <xdr:spPr>
            <a:xfrm>
              <a:off x="3765518" y="543723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16" name="TextBox 115"/>
            <xdr:cNvSpPr txBox="1"/>
          </xdr:nvSpPr>
          <xdr:spPr>
            <a:xfrm>
              <a:off x="3765518" y="543723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230</xdr:row>
      <xdr:rowOff>51276</xdr:rowOff>
    </xdr:from>
    <xdr:ext cx="795602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/>
            <xdr:cNvSpPr txBox="1"/>
          </xdr:nvSpPr>
          <xdr:spPr>
            <a:xfrm>
              <a:off x="1079468" y="53705601"/>
              <a:ext cx="79560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17" name="TextBox 116"/>
            <xdr:cNvSpPr txBox="1"/>
          </xdr:nvSpPr>
          <xdr:spPr>
            <a:xfrm>
              <a:off x="1079468" y="53705601"/>
              <a:ext cx="79560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ℎ_𝑟𝑒𝑠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32</xdr:col>
      <xdr:colOff>3143</xdr:colOff>
      <xdr:row>234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/>
            <xdr:cNvSpPr txBox="1"/>
          </xdr:nvSpPr>
          <xdr:spPr>
            <a:xfrm>
              <a:off x="4879943" y="54600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18" name="TextBox 117"/>
            <xdr:cNvSpPr txBox="1"/>
          </xdr:nvSpPr>
          <xdr:spPr>
            <a:xfrm>
              <a:off x="4879943" y="5460095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98393</xdr:colOff>
      <xdr:row>242</xdr:row>
      <xdr:rowOff>32226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1927193" y="5642975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1927193" y="5642975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22193</xdr:colOff>
      <xdr:row>242</xdr:row>
      <xdr:rowOff>32226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/>
            <xdr:cNvSpPr txBox="1"/>
          </xdr:nvSpPr>
          <xdr:spPr>
            <a:xfrm>
              <a:off x="2612993" y="5642975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2612993" y="5642975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244</xdr:row>
      <xdr:rowOff>51276</xdr:rowOff>
    </xdr:from>
    <xdr:ext cx="98687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/>
            <xdr:cNvSpPr txBox="1"/>
          </xdr:nvSpPr>
          <xdr:spPr>
            <a:xfrm>
              <a:off x="1079468" y="56906001"/>
              <a:ext cx="98687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21" name="TextBox 120"/>
            <xdr:cNvSpPr txBox="1"/>
          </xdr:nvSpPr>
          <xdr:spPr>
            <a:xfrm>
              <a:off x="1079468" y="56906001"/>
              <a:ext cx="98687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ℎ_𝑟𝑒𝑠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12668</xdr:colOff>
      <xdr:row>251</xdr:row>
      <xdr:rowOff>32226</xdr:rowOff>
    </xdr:from>
    <xdr:ext cx="2980881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/>
            <xdr:cNvSpPr txBox="1"/>
          </xdr:nvSpPr>
          <xdr:spPr>
            <a:xfrm>
              <a:off x="1384268" y="58487151"/>
              <a:ext cx="298088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5,0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22" name="TextBox 121"/>
            <xdr:cNvSpPr txBox="1"/>
          </xdr:nvSpPr>
          <xdr:spPr>
            <a:xfrm>
              <a:off x="1384268" y="58487151"/>
              <a:ext cx="298088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𝑓_0=MAX{|𝑥_2,0−𝑥_1,0 |,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257</xdr:row>
      <xdr:rowOff>47625</xdr:rowOff>
    </xdr:from>
    <xdr:ext cx="1778692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/>
            <xdr:cNvSpPr txBox="1"/>
          </xdr:nvSpPr>
          <xdr:spPr>
            <a:xfrm>
              <a:off x="1079468" y="59874150"/>
              <a:ext cx="177869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𝑒𝑟𝑟𝑜𝑟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𝑒𝑟𝑟𝑜𝑟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23" name="TextBox 122"/>
            <xdr:cNvSpPr txBox="1"/>
          </xdr:nvSpPr>
          <xdr:spPr>
            <a:xfrm>
              <a:off x="1079468" y="59874150"/>
              <a:ext cx="177869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𝑧𝑒𝑟𝑜−𝑒𝑟𝑟𝑜𝑟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15</xdr:col>
      <xdr:colOff>126968</xdr:colOff>
      <xdr:row>265</xdr:row>
      <xdr:rowOff>32226</xdr:rowOff>
    </xdr:from>
    <xdr:ext cx="6089872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/>
            <xdr:cNvSpPr txBox="1"/>
          </xdr:nvSpPr>
          <xdr:spPr>
            <a:xfrm>
              <a:off x="2412968" y="61687551"/>
              <a:ext cx="6089872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up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24" name="TextBox 123"/>
            <xdr:cNvSpPr txBox="1"/>
          </xdr:nvSpPr>
          <xdr:spPr>
            <a:xfrm>
              <a:off x="2412968" y="61687551"/>
              <a:ext cx="6089872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〖𝑏′〗_(up,𝑗)=MAX{|(𝑥_(3,𝑗)−𝑥_3,0 )−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,0 )−(𝑥_(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,0 )−(𝑥_(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15</xdr:col>
      <xdr:colOff>126968</xdr:colOff>
      <xdr:row>267</xdr:row>
      <xdr:rowOff>32226</xdr:rowOff>
    </xdr:from>
    <xdr:ext cx="6208687" cy="200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/>
            <xdr:cNvSpPr txBox="1"/>
          </xdr:nvSpPr>
          <xdr:spPr>
            <a:xfrm>
              <a:off x="2412968" y="62144751"/>
              <a:ext cx="6208687" cy="200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dn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25" name="TextBox 124"/>
            <xdr:cNvSpPr txBox="1"/>
          </xdr:nvSpPr>
          <xdr:spPr>
            <a:xfrm>
              <a:off x="2412968" y="62144751"/>
              <a:ext cx="6208687" cy="200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〖𝑏′〗_(dn,𝑗)=MAX{|(𝑥_(4,𝑗)−𝑥_4,0 )−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,0 )−(𝑥_(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,0 )−(𝑥_(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25</xdr:col>
      <xdr:colOff>136493</xdr:colOff>
      <xdr:row>269</xdr:row>
      <xdr:rowOff>22701</xdr:rowOff>
    </xdr:from>
    <xdr:ext cx="1450975" cy="1969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/>
            <xdr:cNvSpPr txBox="1"/>
          </xdr:nvSpPr>
          <xdr:spPr>
            <a:xfrm>
              <a:off x="3946493" y="62592426"/>
              <a:ext cx="1450975" cy="1969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up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dn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26" name="TextBox 125"/>
            <xdr:cNvSpPr txBox="1"/>
          </xdr:nvSpPr>
          <xdr:spPr>
            <a:xfrm>
              <a:off x="3946493" y="62592426"/>
              <a:ext cx="1450975" cy="1969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〖𝑏′〗_𝑗=MAX{〖𝑏′〗_(up,𝑗),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〖𝑏′〗_(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dn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}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274</xdr:row>
      <xdr:rowOff>47625</xdr:rowOff>
    </xdr:from>
    <xdr:ext cx="961930" cy="369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/>
            <xdr:cNvSpPr txBox="1"/>
          </xdr:nvSpPr>
          <xdr:spPr>
            <a:xfrm>
              <a:off x="1079468" y="63760350"/>
              <a:ext cx="961930" cy="36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27" name="TextBox 126"/>
            <xdr:cNvSpPr txBox="1"/>
          </xdr:nvSpPr>
          <xdr:spPr>
            <a:xfrm>
              <a:off x="1079468" y="63760350"/>
              <a:ext cx="961930" cy="36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𝑐_(ℎ_𝑟𝑒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ℎ_𝑟𝑒𝑝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98393</xdr:colOff>
      <xdr:row>285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/>
            <xdr:cNvSpPr txBox="1"/>
          </xdr:nvSpPr>
          <xdr:spPr>
            <a:xfrm>
              <a:off x="1927193" y="662500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28" name="TextBox 127"/>
            <xdr:cNvSpPr txBox="1"/>
          </xdr:nvSpPr>
          <xdr:spPr>
            <a:xfrm>
              <a:off x="1927193" y="662500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50768</xdr:colOff>
      <xdr:row>285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/>
            <xdr:cNvSpPr txBox="1"/>
          </xdr:nvSpPr>
          <xdr:spPr>
            <a:xfrm>
              <a:off x="2641568" y="662500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2641568" y="6625002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9525</xdr:colOff>
      <xdr:row>290</xdr:row>
      <xdr:rowOff>0</xdr:rowOff>
    </xdr:from>
    <xdr:ext cx="240030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5"/>
            <xdr:cNvSpPr txBox="1"/>
          </xdr:nvSpPr>
          <xdr:spPr>
            <a:xfrm>
              <a:off x="923925" y="67370325"/>
              <a:ext cx="240030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h𝑦𝑠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5"/>
            <xdr:cNvSpPr txBox="1"/>
          </xdr:nvSpPr>
          <xdr:spPr>
            <a:xfrm>
              <a:off x="923925" y="67370325"/>
              <a:ext cx="240030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ν(ℎ_ℎ𝑦𝑠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12668</xdr:colOff>
      <xdr:row>282</xdr:row>
      <xdr:rowOff>32226</xdr:rowOff>
    </xdr:from>
    <xdr:ext cx="1253356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841468" y="65573751"/>
              <a:ext cx="125335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841468" y="65573751"/>
              <a:ext cx="125335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ℎ_𝑗={|(𝑥_(2,𝑗)−𝑥_(1,𝑗) )|}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287</xdr:row>
      <xdr:rowOff>47625</xdr:rowOff>
    </xdr:from>
    <xdr:ext cx="992964" cy="369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079468" y="66732150"/>
              <a:ext cx="992964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079468" y="66732150"/>
              <a:ext cx="992964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ℎ_ℎ𝑦𝑠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57150</xdr:colOff>
      <xdr:row>294</xdr:row>
      <xdr:rowOff>9525</xdr:rowOff>
    </xdr:from>
    <xdr:ext cx="1678088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209550" y="68303775"/>
              <a:ext cx="1678088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209550" y="68303775"/>
              <a:ext cx="1678088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ℎ_𝑐 )</a:t>
              </a:r>
              <a:r>
                <a:rPr lang="en-US" altLang="ko-KR" sz="110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𝑢^2 (ℎ_𝑠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 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76200</xdr:colOff>
      <xdr:row>295</xdr:row>
      <xdr:rowOff>0</xdr:rowOff>
    </xdr:from>
    <xdr:ext cx="1815433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838200" y="68532375"/>
              <a:ext cx="1815433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838200" y="68532375"/>
              <a:ext cx="1815433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√((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)^2+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299</xdr:row>
      <xdr:rowOff>28575</xdr:rowOff>
    </xdr:from>
    <xdr:ext cx="1517210" cy="51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61925" y="69494400"/>
              <a:ext cx="1517210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{"/>
                                        <m:endChr m:val="}"/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d>
                                          <m:d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61925" y="69494400"/>
              <a:ext cx="1517210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𝑒𝑓𝑓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𝑢_𝑐^4)/(∑24_(𝑖=1)^𝑛▒{𝑐_𝑖 𝑢(𝑥_𝑖 )}^4/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47625</xdr:colOff>
      <xdr:row>300</xdr:row>
      <xdr:rowOff>19050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724025" y="6970395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724025" y="6970395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28575</xdr:colOff>
      <xdr:row>300</xdr:row>
      <xdr:rowOff>19050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2619375" y="6970395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2619375" y="6970395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14</xdr:col>
      <xdr:colOff>19050</xdr:colOff>
      <xdr:row>299</xdr:row>
      <xdr:rowOff>28575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/>
            <xdr:cNvSpPr txBox="1"/>
          </xdr:nvSpPr>
          <xdr:spPr>
            <a:xfrm>
              <a:off x="2152650" y="6949440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38" name="TextBox 137"/>
            <xdr:cNvSpPr txBox="1"/>
          </xdr:nvSpPr>
          <xdr:spPr>
            <a:xfrm>
              <a:off x="2152650" y="6949440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434</xdr:row>
      <xdr:rowOff>71437</xdr:rowOff>
    </xdr:from>
    <xdr:ext cx="2894447" cy="581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/>
            <xdr:cNvSpPr txBox="1"/>
          </xdr:nvSpPr>
          <xdr:spPr>
            <a:xfrm>
              <a:off x="161925" y="101398387"/>
              <a:ext cx="2894447" cy="581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𝜌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2000">
                <a:latin typeface="+mj-lt"/>
              </a:endParaRPr>
            </a:p>
          </xdr:txBody>
        </xdr:sp>
      </mc:Choice>
      <mc:Fallback xmlns="">
        <xdr:sp macro="" textlink="">
          <xdr:nvSpPr>
            <xdr:cNvPr id="139" name="TextBox 138"/>
            <xdr:cNvSpPr txBox="1"/>
          </xdr:nvSpPr>
          <xdr:spPr>
            <a:xfrm>
              <a:off x="161925" y="101398387"/>
              <a:ext cx="2894447" cy="581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2000" b="0" i="0">
                  <a:latin typeface="+mj-lt"/>
                </a:rPr>
                <a:t>ℎ_𝑐=ℎ_𝑠−ℎ_𝑖=𝑝_𝑠/(</a:t>
              </a:r>
              <a:r>
                <a:rPr lang="ko-KR" altLang="en-US" sz="2000" b="0" i="0">
                  <a:latin typeface="+mj-lt"/>
                </a:rPr>
                <a:t>𝜌</a:t>
              </a:r>
              <a:r>
                <a:rPr lang="en-US" altLang="ko-KR" sz="2000" b="0" i="0">
                  <a:latin typeface="+mj-lt"/>
                  <a:ea typeface="Cambria Math" panose="02040503050406030204" pitchFamily="18" charset="0"/>
                </a:rPr>
                <a:t>×𝑔)</a:t>
              </a:r>
              <a:r>
                <a:rPr lang="en-US" altLang="ko-KR" sz="2000" b="0" i="0">
                  <a:latin typeface="+mj-lt"/>
                </a:rPr>
                <a:t>−ℎ_𝑖</a:t>
              </a:r>
              <a:endParaRPr lang="ko-KR" altLang="en-US" sz="20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2</xdr:col>
      <xdr:colOff>12668</xdr:colOff>
      <xdr:row>445</xdr:row>
      <xdr:rowOff>13176</xdr:rowOff>
    </xdr:from>
    <xdr:ext cx="6195094" cy="1245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/>
            <xdr:cNvSpPr txBox="1"/>
          </xdr:nvSpPr>
          <xdr:spPr>
            <a:xfrm>
              <a:off x="317468" y="103864251"/>
              <a:ext cx="6195094" cy="1245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en-US" altLang="ko-KR" sz="1100"/>
            </a:p>
            <a:p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ko-KR" alt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ko-KR" alt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  <a:p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𝑧𝑒𝑟𝑜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𝑒𝑟𝑟𝑜𝑟</m:t>
                                        </m:r>
                                      </m:sub>
                                    </m:sSub>
                                    <m:r>
                                      <a:rPr lang="ko-KR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𝑧𝑒𝑟𝑜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𝑒𝑟𝑟𝑜𝑟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𝑟𝑒𝑝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𝑟𝑒𝑝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h𝑦𝑠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h𝑦𝑠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40" name="TextBox 139"/>
            <xdr:cNvSpPr txBox="1"/>
          </xdr:nvSpPr>
          <xdr:spPr>
            <a:xfrm>
              <a:off x="317468" y="103864251"/>
              <a:ext cx="6195094" cy="1245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ℎ_𝑐 )</a:t>
              </a:r>
              <a:r>
                <a:rPr lang="en-US" altLang="ko-KR" sz="110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𝑢^2 (ℎ_𝑠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 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altLang="ko-KR" sz="1100"/>
            </a:p>
            <a:p>
              <a:pPr/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=√({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𝑐_(𝑝_𝑠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𝑝_𝑠 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+{𝑐_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)}^2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{𝑐_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)}^2 )</a:t>
              </a:r>
              <a:endParaRPr lang="ko-KR" altLang="ko-KR">
                <a:effectLst/>
              </a:endParaRPr>
            </a:p>
            <a:p>
              <a:pPr/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=√({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)∙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)}^2+{𝑐_(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)∙𝑢(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^2+{𝑐_(ℎ_𝑟𝑒𝑝 )∙𝑢(ℎ_𝑟𝑒𝑝 )}^2+{𝑐_(ℎ_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)∙𝑢(ℎ_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)}^2 )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3</xdr:col>
      <xdr:colOff>12668</xdr:colOff>
      <xdr:row>452</xdr:row>
      <xdr:rowOff>60801</xdr:rowOff>
    </xdr:from>
    <xdr:ext cx="5776581" cy="9035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/>
            <xdr:cNvSpPr txBox="1"/>
          </xdr:nvSpPr>
          <xdr:spPr>
            <a:xfrm>
              <a:off x="469868" y="105578751"/>
              <a:ext cx="5776581" cy="9035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𝜕𝜌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ko-KR" altLang="ko-KR">
                <a:effectLst/>
              </a:endParaRPr>
            </a:p>
            <a:p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𝑒𝑟𝑟𝑜𝑟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𝑒𝑟𝑟𝑜𝑟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sub>
                    </m:sSub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41" name="TextBox 140"/>
            <xdr:cNvSpPr txBox="1"/>
          </xdr:nvSpPr>
          <xdr:spPr>
            <a:xfrm>
              <a:off x="469868" y="105578751"/>
              <a:ext cx="5776581" cy="9035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ℎ_𝑠)/(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𝑝_𝑠 )=1/(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𝑠)/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=𝑝_𝑠/(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),  𝑐_𝑔=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=𝑝_𝑠/(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ko-KR" altLang="ko-KR">
                <a:effectLst/>
              </a:endParaRPr>
            </a:p>
            <a:p>
              <a:pPr/>
              <a:endParaRPr lang="en-US" altLang="ko-KR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𝑐_(ℎ_𝑟𝑒𝑠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ℎ_𝑟𝑒𝑠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𝑧𝑒𝑟𝑜−𝑒𝑟𝑟𝑜𝑟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𝑐_(ℎ_𝑟𝑒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ℎ_𝑟𝑒𝑝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ℎ_ℎ𝑦𝑠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107918</xdr:colOff>
      <xdr:row>478</xdr:row>
      <xdr:rowOff>89376</xdr:rowOff>
    </xdr:from>
    <xdr:ext cx="829843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/>
            <xdr:cNvSpPr txBox="1"/>
          </xdr:nvSpPr>
          <xdr:spPr>
            <a:xfrm>
              <a:off x="1784318" y="111598551"/>
              <a:ext cx="829843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42" name="TextBox 141"/>
            <xdr:cNvSpPr txBox="1"/>
          </xdr:nvSpPr>
          <xdr:spPr>
            <a:xfrm>
              <a:off x="1784318" y="111598551"/>
              <a:ext cx="829843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𝑝_𝑠/(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98393</xdr:colOff>
      <xdr:row>480</xdr:row>
      <xdr:rowOff>32226</xdr:rowOff>
    </xdr:from>
    <xdr:ext cx="314220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/>
            <xdr:cNvSpPr txBox="1"/>
          </xdr:nvSpPr>
          <xdr:spPr>
            <a:xfrm>
              <a:off x="1317593" y="111998601"/>
              <a:ext cx="314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ko-KR" alt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ko-KR" alt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43" name="TextBox 142"/>
            <xdr:cNvSpPr txBox="1"/>
          </xdr:nvSpPr>
          <xdr:spPr>
            <a:xfrm>
              <a:off x="1317593" y="111998601"/>
              <a:ext cx="314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=√({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𝑐_(𝑝_𝑠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𝑝_𝑠 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+{𝑐_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)}^2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{𝑐_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)}^2 )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117443</xdr:colOff>
      <xdr:row>498</xdr:row>
      <xdr:rowOff>51276</xdr:rowOff>
    </xdr:from>
    <xdr:ext cx="1313629" cy="351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/>
            <xdr:cNvSpPr txBox="1"/>
          </xdr:nvSpPr>
          <xdr:spPr>
            <a:xfrm>
              <a:off x="1184243" y="116132451"/>
              <a:ext cx="1313629" cy="351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44" name="TextBox 143"/>
            <xdr:cNvSpPr txBox="1"/>
          </xdr:nvSpPr>
          <xdr:spPr>
            <a:xfrm>
              <a:off x="1184243" y="116132451"/>
              <a:ext cx="1313629" cy="351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ℎ_𝑠)/(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𝑝_𝑠 )=1/(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117443</xdr:colOff>
      <xdr:row>512</xdr:row>
      <xdr:rowOff>51276</xdr:rowOff>
    </xdr:from>
    <xdr:ext cx="1326773" cy="361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/>
            <xdr:cNvSpPr txBox="1"/>
          </xdr:nvSpPr>
          <xdr:spPr>
            <a:xfrm>
              <a:off x="1184243" y="119332851"/>
              <a:ext cx="1326773" cy="361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𝜕𝜌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45" name="TextBox 144"/>
            <xdr:cNvSpPr txBox="1"/>
          </xdr:nvSpPr>
          <xdr:spPr>
            <a:xfrm>
              <a:off x="1184243" y="119332851"/>
              <a:ext cx="1326773" cy="361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ℎ_𝑠)/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=𝑝_𝑠/(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×𝑔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50768</xdr:colOff>
      <xdr:row>510</xdr:row>
      <xdr:rowOff>22701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/>
            <xdr:cNvSpPr txBox="1"/>
          </xdr:nvSpPr>
          <xdr:spPr>
            <a:xfrm>
              <a:off x="1879568" y="11884707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46" name="TextBox 145"/>
            <xdr:cNvSpPr txBox="1"/>
          </xdr:nvSpPr>
          <xdr:spPr>
            <a:xfrm>
              <a:off x="1879568" y="11884707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60293</xdr:colOff>
      <xdr:row>510</xdr:row>
      <xdr:rowOff>22701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/>
            <xdr:cNvSpPr txBox="1"/>
          </xdr:nvSpPr>
          <xdr:spPr>
            <a:xfrm>
              <a:off x="2651093" y="11884707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47" name="TextBox 146"/>
            <xdr:cNvSpPr txBox="1"/>
          </xdr:nvSpPr>
          <xdr:spPr>
            <a:xfrm>
              <a:off x="2651093" y="11884707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9525</xdr:colOff>
      <xdr:row>515</xdr:row>
      <xdr:rowOff>0</xdr:rowOff>
    </xdr:from>
    <xdr:ext cx="2276475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5"/>
            <xdr:cNvSpPr txBox="1"/>
          </xdr:nvSpPr>
          <xdr:spPr>
            <a:xfrm>
              <a:off x="923925" y="119967375"/>
              <a:ext cx="22764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5"/>
            <xdr:cNvSpPr txBox="1"/>
          </xdr:nvSpPr>
          <xdr:spPr>
            <a:xfrm>
              <a:off x="923925" y="119967375"/>
              <a:ext cx="22764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98393</xdr:colOff>
      <xdr:row>528</xdr:row>
      <xdr:rowOff>51276</xdr:rowOff>
    </xdr:from>
    <xdr:ext cx="1327095" cy="361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/>
            <xdr:cNvSpPr txBox="1"/>
          </xdr:nvSpPr>
          <xdr:spPr>
            <a:xfrm>
              <a:off x="1165193" y="122990451"/>
              <a:ext cx="1327095" cy="361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𝑔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49" name="TextBox 148"/>
            <xdr:cNvSpPr txBox="1"/>
          </xdr:nvSpPr>
          <xdr:spPr>
            <a:xfrm>
              <a:off x="1165193" y="122990451"/>
              <a:ext cx="1327095" cy="361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𝑐_𝑔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ℎ_𝑠)/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𝑔=𝑝_𝑠/(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×𝑔^2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50768</xdr:colOff>
      <xdr:row>526</xdr:row>
      <xdr:rowOff>22701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/>
            <xdr:cNvSpPr txBox="1"/>
          </xdr:nvSpPr>
          <xdr:spPr>
            <a:xfrm>
              <a:off x="1879568" y="12250467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50" name="TextBox 149"/>
            <xdr:cNvSpPr txBox="1"/>
          </xdr:nvSpPr>
          <xdr:spPr>
            <a:xfrm>
              <a:off x="1879568" y="12250467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60293</xdr:colOff>
      <xdr:row>526</xdr:row>
      <xdr:rowOff>22701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/>
            <xdr:cNvSpPr txBox="1"/>
          </xdr:nvSpPr>
          <xdr:spPr>
            <a:xfrm>
              <a:off x="2651093" y="12250467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51" name="TextBox 150"/>
            <xdr:cNvSpPr txBox="1"/>
          </xdr:nvSpPr>
          <xdr:spPr>
            <a:xfrm>
              <a:off x="2651093" y="122504676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12668</xdr:colOff>
      <xdr:row>540</xdr:row>
      <xdr:rowOff>22701</xdr:rowOff>
    </xdr:from>
    <xdr:ext cx="602075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/>
            <xdr:cNvSpPr txBox="1"/>
          </xdr:nvSpPr>
          <xdr:spPr>
            <a:xfrm>
              <a:off x="1231868" y="125705076"/>
              <a:ext cx="602075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𝑧𝑒𝑟𝑜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𝑒𝑟𝑟𝑜𝑟</m:t>
                                        </m:r>
                                      </m:sub>
                                    </m:sSub>
                                    <m:r>
                                      <a:rPr lang="ko-KR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𝑧𝑒𝑟𝑜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𝑒𝑟𝑟𝑜𝑟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𝑟𝑒𝑝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𝑟𝑒𝑝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h𝑦𝑠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h𝑦𝑠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52" name="TextBox 151"/>
            <xdr:cNvSpPr txBox="1"/>
          </xdr:nvSpPr>
          <xdr:spPr>
            <a:xfrm>
              <a:off x="1231868" y="125705076"/>
              <a:ext cx="602075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=√({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)∙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)}^2+{𝑐_(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)∙𝑢(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^2+{𝑐_(ℎ_𝑟𝑒𝑝 )∙𝑢(ℎ_𝑟𝑒𝑝 )}^2+{𝑐_(ℎ_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)∙𝑢(ℎ_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)}^2 )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9525</xdr:colOff>
      <xdr:row>531</xdr:row>
      <xdr:rowOff>0</xdr:rowOff>
    </xdr:from>
    <xdr:ext cx="2276475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5"/>
            <xdr:cNvSpPr txBox="1"/>
          </xdr:nvSpPr>
          <xdr:spPr>
            <a:xfrm>
              <a:off x="923925" y="123624975"/>
              <a:ext cx="22764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5"/>
            <xdr:cNvSpPr txBox="1"/>
          </xdr:nvSpPr>
          <xdr:spPr>
            <a:xfrm>
              <a:off x="923925" y="123624975"/>
              <a:ext cx="22764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ν(𝑔)=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22193</xdr:colOff>
      <xdr:row>481</xdr:row>
      <xdr:rowOff>203676</xdr:rowOff>
    </xdr:from>
    <xdr:ext cx="2605265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/>
            <xdr:cNvSpPr txBox="1"/>
          </xdr:nvSpPr>
          <xdr:spPr>
            <a:xfrm>
              <a:off x="1698593" y="112398651"/>
              <a:ext cx="2605265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54" name="TextBox 153"/>
            <xdr:cNvSpPr txBox="1"/>
          </xdr:nvSpPr>
          <xdr:spPr>
            <a:xfrm>
              <a:off x="1698593" y="112398651"/>
              <a:ext cx="2605265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^2+(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)^2+(              )^2 )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484</xdr:row>
      <xdr:rowOff>51276</xdr:rowOff>
    </xdr:from>
    <xdr:ext cx="759054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/>
            <xdr:cNvSpPr txBox="1"/>
          </xdr:nvSpPr>
          <xdr:spPr>
            <a:xfrm>
              <a:off x="1079468" y="112932051"/>
              <a:ext cx="759054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55" name="TextBox 154"/>
            <xdr:cNvSpPr txBox="1"/>
          </xdr:nvSpPr>
          <xdr:spPr>
            <a:xfrm>
              <a:off x="1079468" y="112932051"/>
              <a:ext cx="759054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𝑐_(ℎ_𝑠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ℎ_𝑐)/(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 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117443</xdr:colOff>
      <xdr:row>487</xdr:row>
      <xdr:rowOff>41751</xdr:rowOff>
    </xdr:from>
    <xdr:ext cx="1589089" cy="5282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/>
            <xdr:cNvSpPr txBox="1"/>
          </xdr:nvSpPr>
          <xdr:spPr>
            <a:xfrm>
              <a:off x="1031843" y="113608326"/>
              <a:ext cx="1589089" cy="528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{"/>
                                        <m:endChr m:val="}"/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d>
                                          <m:d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56" name="TextBox 155"/>
            <xdr:cNvSpPr txBox="1"/>
          </xdr:nvSpPr>
          <xdr:spPr>
            <a:xfrm>
              <a:off x="1031843" y="113608326"/>
              <a:ext cx="1589089" cy="528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𝑢_𝑐^4)/(∑24_(𝑖=1)^𝑛▒{𝑐_𝑖 𝑢(𝑥_𝑖 )}^4/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3143</xdr:colOff>
      <xdr:row>488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/>
            <xdr:cNvSpPr txBox="1"/>
          </xdr:nvSpPr>
          <xdr:spPr>
            <a:xfrm>
              <a:off x="2593943" y="113827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57" name="TextBox 156"/>
            <xdr:cNvSpPr txBox="1"/>
          </xdr:nvSpPr>
          <xdr:spPr>
            <a:xfrm>
              <a:off x="2593943" y="113827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22</xdr:col>
      <xdr:colOff>3143</xdr:colOff>
      <xdr:row>488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/>
            <xdr:cNvSpPr txBox="1"/>
          </xdr:nvSpPr>
          <xdr:spPr>
            <a:xfrm>
              <a:off x="3355943" y="113827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58" name="TextBox 157"/>
            <xdr:cNvSpPr txBox="1"/>
          </xdr:nvSpPr>
          <xdr:spPr>
            <a:xfrm>
              <a:off x="3355943" y="113827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27</xdr:col>
      <xdr:colOff>3143</xdr:colOff>
      <xdr:row>488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158"/>
            <xdr:cNvSpPr txBox="1"/>
          </xdr:nvSpPr>
          <xdr:spPr>
            <a:xfrm>
              <a:off x="4117943" y="113827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59" name="TextBox 158"/>
            <xdr:cNvSpPr txBox="1"/>
          </xdr:nvSpPr>
          <xdr:spPr>
            <a:xfrm>
              <a:off x="4117943" y="113827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22</xdr:col>
      <xdr:colOff>3143</xdr:colOff>
      <xdr:row>487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/>
            <xdr:cNvSpPr txBox="1"/>
          </xdr:nvSpPr>
          <xdr:spPr>
            <a:xfrm>
              <a:off x="3355943" y="1135988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60" name="TextBox 159"/>
            <xdr:cNvSpPr txBox="1"/>
          </xdr:nvSpPr>
          <xdr:spPr>
            <a:xfrm>
              <a:off x="3355943" y="1135988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12668</xdr:colOff>
      <xdr:row>538</xdr:row>
      <xdr:rowOff>60801</xdr:rowOff>
    </xdr:from>
    <xdr:ext cx="936025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/>
            <xdr:cNvSpPr txBox="1"/>
          </xdr:nvSpPr>
          <xdr:spPr>
            <a:xfrm>
              <a:off x="927068" y="125285976"/>
              <a:ext cx="93602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61" name="TextBox 160"/>
            <xdr:cNvSpPr txBox="1"/>
          </xdr:nvSpPr>
          <xdr:spPr>
            <a:xfrm>
              <a:off x="927068" y="125285976"/>
              <a:ext cx="93602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ℎ_1+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2)/2=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14</xdr:col>
      <xdr:colOff>107918</xdr:colOff>
      <xdr:row>569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/>
            <xdr:cNvSpPr txBox="1"/>
          </xdr:nvSpPr>
          <xdr:spPr>
            <a:xfrm>
              <a:off x="2241518" y="1323344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62" name="TextBox 161"/>
            <xdr:cNvSpPr txBox="1"/>
          </xdr:nvSpPr>
          <xdr:spPr>
            <a:xfrm>
              <a:off x="2241518" y="1323344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19</xdr:col>
      <xdr:colOff>41243</xdr:colOff>
      <xdr:row>569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162"/>
            <xdr:cNvSpPr txBox="1"/>
          </xdr:nvSpPr>
          <xdr:spPr>
            <a:xfrm>
              <a:off x="2936843" y="1323344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63" name="TextBox 162"/>
            <xdr:cNvSpPr txBox="1"/>
          </xdr:nvSpPr>
          <xdr:spPr>
            <a:xfrm>
              <a:off x="2936843" y="1323344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9524</xdr:colOff>
      <xdr:row>574</xdr:row>
      <xdr:rowOff>0</xdr:rowOff>
    </xdr:from>
    <xdr:ext cx="2962275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5"/>
            <xdr:cNvSpPr txBox="1"/>
          </xdr:nvSpPr>
          <xdr:spPr>
            <a:xfrm>
              <a:off x="923924" y="133454775"/>
              <a:ext cx="29622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𝑧𝑒𝑟𝑜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𝑒𝑟𝑟𝑜𝑟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5"/>
            <xdr:cNvSpPr txBox="1"/>
          </xdr:nvSpPr>
          <xdr:spPr>
            <a:xfrm>
              <a:off x="923924" y="133454775"/>
              <a:ext cx="296227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ν(ℎ_(𝑧𝑒𝑟𝑜−𝑒𝑟𝑟𝑜𝑟)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98393</xdr:colOff>
      <xdr:row>586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/>
            <xdr:cNvSpPr txBox="1"/>
          </xdr:nvSpPr>
          <xdr:spPr>
            <a:xfrm>
              <a:off x="1927193" y="1362206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65" name="TextBox 164"/>
            <xdr:cNvSpPr txBox="1"/>
          </xdr:nvSpPr>
          <xdr:spPr>
            <a:xfrm>
              <a:off x="1927193" y="1362206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50768</xdr:colOff>
      <xdr:row>586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/>
            <xdr:cNvSpPr txBox="1"/>
          </xdr:nvSpPr>
          <xdr:spPr>
            <a:xfrm>
              <a:off x="2641568" y="1362206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66" name="TextBox 165"/>
            <xdr:cNvSpPr txBox="1"/>
          </xdr:nvSpPr>
          <xdr:spPr>
            <a:xfrm>
              <a:off x="2641568" y="1362206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9525</xdr:colOff>
      <xdr:row>591</xdr:row>
      <xdr:rowOff>0</xdr:rowOff>
    </xdr:from>
    <xdr:ext cx="240030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5"/>
            <xdr:cNvSpPr txBox="1"/>
          </xdr:nvSpPr>
          <xdr:spPr>
            <a:xfrm>
              <a:off x="923925" y="137340975"/>
              <a:ext cx="240030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𝑟𝑒𝑝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5"/>
            <xdr:cNvSpPr txBox="1"/>
          </xdr:nvSpPr>
          <xdr:spPr>
            <a:xfrm>
              <a:off x="923925" y="137340975"/>
              <a:ext cx="240030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ν(ℎ_𝑟𝑒𝑝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22193</xdr:colOff>
      <xdr:row>541</xdr:row>
      <xdr:rowOff>203676</xdr:rowOff>
    </xdr:from>
    <xdr:ext cx="3245760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/>
            <xdr:cNvSpPr txBox="1"/>
          </xdr:nvSpPr>
          <xdr:spPr>
            <a:xfrm>
              <a:off x="1698593" y="126114651"/>
              <a:ext cx="3245760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68" name="TextBox 167"/>
            <xdr:cNvSpPr txBox="1"/>
          </xdr:nvSpPr>
          <xdr:spPr>
            <a:xfrm>
              <a:off x="1698593" y="126114651"/>
              <a:ext cx="3245760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^2+(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)^2+(              )^2+(              )^2 )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117443</xdr:colOff>
      <xdr:row>547</xdr:row>
      <xdr:rowOff>41751</xdr:rowOff>
    </xdr:from>
    <xdr:ext cx="1625188" cy="51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/>
            <xdr:cNvSpPr txBox="1"/>
          </xdr:nvSpPr>
          <xdr:spPr>
            <a:xfrm>
              <a:off x="1031843" y="127324326"/>
              <a:ext cx="1625188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{"/>
                                        <m:endChr m:val="}"/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d>
                                          <m:d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69" name="TextBox 168"/>
            <xdr:cNvSpPr txBox="1"/>
          </xdr:nvSpPr>
          <xdr:spPr>
            <a:xfrm>
              <a:off x="1031843" y="127324326"/>
              <a:ext cx="1625188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𝑢_𝑐^4)/(∑24_(𝑖=1)^𝑛▒{𝑐_𝑖 𝑢(𝑥_𝑖 )}^4/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3143</xdr:colOff>
      <xdr:row>548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2593943" y="127543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2593943" y="127543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22</xdr:col>
      <xdr:colOff>3143</xdr:colOff>
      <xdr:row>548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/>
            <xdr:cNvSpPr txBox="1"/>
          </xdr:nvSpPr>
          <xdr:spPr>
            <a:xfrm>
              <a:off x="3355943" y="127543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71" name="TextBox 170"/>
            <xdr:cNvSpPr txBox="1"/>
          </xdr:nvSpPr>
          <xdr:spPr>
            <a:xfrm>
              <a:off x="3355943" y="127543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27</xdr:col>
      <xdr:colOff>3143</xdr:colOff>
      <xdr:row>548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/>
            <xdr:cNvSpPr txBox="1"/>
          </xdr:nvSpPr>
          <xdr:spPr>
            <a:xfrm>
              <a:off x="4117943" y="127543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72" name="TextBox 171"/>
            <xdr:cNvSpPr txBox="1"/>
          </xdr:nvSpPr>
          <xdr:spPr>
            <a:xfrm>
              <a:off x="4117943" y="127543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24</xdr:col>
      <xdr:colOff>107918</xdr:colOff>
      <xdr:row>547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/>
            <xdr:cNvSpPr txBox="1"/>
          </xdr:nvSpPr>
          <xdr:spPr>
            <a:xfrm>
              <a:off x="3765518" y="1273148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73" name="TextBox 172"/>
            <xdr:cNvSpPr txBox="1"/>
          </xdr:nvSpPr>
          <xdr:spPr>
            <a:xfrm>
              <a:off x="3765518" y="1273148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544</xdr:row>
      <xdr:rowOff>51276</xdr:rowOff>
    </xdr:from>
    <xdr:ext cx="795602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1079468" y="126648051"/>
              <a:ext cx="79560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1079468" y="126648051"/>
              <a:ext cx="79560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ℎ_𝑟𝑒𝑠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32</xdr:col>
      <xdr:colOff>3143</xdr:colOff>
      <xdr:row>548</xdr:row>
      <xdr:rowOff>32226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/>
            <xdr:cNvSpPr txBox="1"/>
          </xdr:nvSpPr>
          <xdr:spPr>
            <a:xfrm>
              <a:off x="4879943" y="127543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75" name="TextBox 174"/>
            <xdr:cNvSpPr txBox="1"/>
          </xdr:nvSpPr>
          <xdr:spPr>
            <a:xfrm>
              <a:off x="4879943" y="127543401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98393</xdr:colOff>
      <xdr:row>556</xdr:row>
      <xdr:rowOff>32226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/>
            <xdr:cNvSpPr txBox="1"/>
          </xdr:nvSpPr>
          <xdr:spPr>
            <a:xfrm>
              <a:off x="1927193" y="12937220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76" name="TextBox 175"/>
            <xdr:cNvSpPr txBox="1"/>
          </xdr:nvSpPr>
          <xdr:spPr>
            <a:xfrm>
              <a:off x="1927193" y="12937220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22193</xdr:colOff>
      <xdr:row>556</xdr:row>
      <xdr:rowOff>32226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/>
            <xdr:cNvSpPr txBox="1"/>
          </xdr:nvSpPr>
          <xdr:spPr>
            <a:xfrm>
              <a:off x="2612993" y="12937220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77" name="TextBox 176"/>
            <xdr:cNvSpPr txBox="1"/>
          </xdr:nvSpPr>
          <xdr:spPr>
            <a:xfrm>
              <a:off x="2612993" y="12937220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558</xdr:row>
      <xdr:rowOff>51276</xdr:rowOff>
    </xdr:from>
    <xdr:ext cx="98687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/>
            <xdr:cNvSpPr txBox="1"/>
          </xdr:nvSpPr>
          <xdr:spPr>
            <a:xfrm>
              <a:off x="1079468" y="129848451"/>
              <a:ext cx="98687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78" name="TextBox 177"/>
            <xdr:cNvSpPr txBox="1"/>
          </xdr:nvSpPr>
          <xdr:spPr>
            <a:xfrm>
              <a:off x="1079468" y="129848451"/>
              <a:ext cx="98687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ℎ_𝑟𝑒𝑠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12668</xdr:colOff>
      <xdr:row>565</xdr:row>
      <xdr:rowOff>32226</xdr:rowOff>
    </xdr:from>
    <xdr:ext cx="2980881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/>
            <xdr:cNvSpPr txBox="1"/>
          </xdr:nvSpPr>
          <xdr:spPr>
            <a:xfrm>
              <a:off x="1384268" y="131429601"/>
              <a:ext cx="298088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5,0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79" name="TextBox 178"/>
            <xdr:cNvSpPr txBox="1"/>
          </xdr:nvSpPr>
          <xdr:spPr>
            <a:xfrm>
              <a:off x="1384268" y="131429601"/>
              <a:ext cx="298088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𝑓_0=MAX{|𝑥_2,0−𝑥_1,0 |,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571</xdr:row>
      <xdr:rowOff>47625</xdr:rowOff>
    </xdr:from>
    <xdr:ext cx="1778692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179"/>
            <xdr:cNvSpPr txBox="1"/>
          </xdr:nvSpPr>
          <xdr:spPr>
            <a:xfrm>
              <a:off x="1079468" y="132816600"/>
              <a:ext cx="177869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𝑒𝑟𝑟𝑜𝑟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𝑒𝑟𝑟𝑜𝑟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80" name="TextBox 179"/>
            <xdr:cNvSpPr txBox="1"/>
          </xdr:nvSpPr>
          <xdr:spPr>
            <a:xfrm>
              <a:off x="1079468" y="132816600"/>
              <a:ext cx="177869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𝑧𝑒𝑟𝑜−𝑒𝑟𝑟𝑜𝑟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ℎ_(𝑧𝑒𝑟𝑜−𝑒𝑟𝑟𝑜𝑟)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15</xdr:col>
      <xdr:colOff>126968</xdr:colOff>
      <xdr:row>579</xdr:row>
      <xdr:rowOff>32226</xdr:rowOff>
    </xdr:from>
    <xdr:ext cx="6089872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/>
            <xdr:cNvSpPr txBox="1"/>
          </xdr:nvSpPr>
          <xdr:spPr>
            <a:xfrm>
              <a:off x="2412968" y="134630001"/>
              <a:ext cx="6089872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up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81" name="TextBox 180"/>
            <xdr:cNvSpPr txBox="1"/>
          </xdr:nvSpPr>
          <xdr:spPr>
            <a:xfrm>
              <a:off x="2412968" y="134630001"/>
              <a:ext cx="6089872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〖𝑏′〗_(up,𝑗)=MAX{|(𝑥_(3,𝑗)−𝑥_3,0 )−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,0 )−(𝑥_(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,0 )−(𝑥_(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15</xdr:col>
      <xdr:colOff>126968</xdr:colOff>
      <xdr:row>581</xdr:row>
      <xdr:rowOff>32226</xdr:rowOff>
    </xdr:from>
    <xdr:ext cx="6208687" cy="200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/>
            <xdr:cNvSpPr txBox="1"/>
          </xdr:nvSpPr>
          <xdr:spPr>
            <a:xfrm>
              <a:off x="2412968" y="135087201"/>
              <a:ext cx="6208687" cy="200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dn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82" name="TextBox 181"/>
            <xdr:cNvSpPr txBox="1"/>
          </xdr:nvSpPr>
          <xdr:spPr>
            <a:xfrm>
              <a:off x="2412968" y="135087201"/>
              <a:ext cx="6208687" cy="200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〖𝑏′〗_(dn,𝑗)=MAX{|(𝑥_(4,𝑗)−𝑥_4,0 )−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,0 )−(𝑥_(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,0 )−(𝑥_(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25</xdr:col>
      <xdr:colOff>136493</xdr:colOff>
      <xdr:row>583</xdr:row>
      <xdr:rowOff>22701</xdr:rowOff>
    </xdr:from>
    <xdr:ext cx="1450975" cy="1969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/>
            <xdr:cNvSpPr txBox="1"/>
          </xdr:nvSpPr>
          <xdr:spPr>
            <a:xfrm>
              <a:off x="3946493" y="135534876"/>
              <a:ext cx="1450975" cy="1969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up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dn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83" name="TextBox 182"/>
            <xdr:cNvSpPr txBox="1"/>
          </xdr:nvSpPr>
          <xdr:spPr>
            <a:xfrm>
              <a:off x="3946493" y="135534876"/>
              <a:ext cx="1450975" cy="1969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〖𝑏′〗_𝑗=MAX{〖𝑏′〗_(up,𝑗),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〖𝑏′〗_(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dn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}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588</xdr:row>
      <xdr:rowOff>47625</xdr:rowOff>
    </xdr:from>
    <xdr:ext cx="961930" cy="369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/>
            <xdr:cNvSpPr txBox="1"/>
          </xdr:nvSpPr>
          <xdr:spPr>
            <a:xfrm>
              <a:off x="1079468" y="136702800"/>
              <a:ext cx="961930" cy="36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84" name="TextBox 183"/>
            <xdr:cNvSpPr txBox="1"/>
          </xdr:nvSpPr>
          <xdr:spPr>
            <a:xfrm>
              <a:off x="1079468" y="136702800"/>
              <a:ext cx="961930" cy="36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𝑐_(ℎ_𝑟𝑒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ℎ_𝑟𝑒𝑝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98393</xdr:colOff>
      <xdr:row>599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/>
            <xdr:cNvSpPr txBox="1"/>
          </xdr:nvSpPr>
          <xdr:spPr>
            <a:xfrm>
              <a:off x="1927193" y="1391924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85" name="TextBox 184"/>
            <xdr:cNvSpPr txBox="1"/>
          </xdr:nvSpPr>
          <xdr:spPr>
            <a:xfrm>
              <a:off x="1927193" y="1391924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50768</xdr:colOff>
      <xdr:row>599</xdr:row>
      <xdr:rowOff>22701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/>
            <xdr:cNvSpPr txBox="1"/>
          </xdr:nvSpPr>
          <xdr:spPr>
            <a:xfrm>
              <a:off x="2641568" y="1391924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86" name="TextBox 185"/>
            <xdr:cNvSpPr txBox="1"/>
          </xdr:nvSpPr>
          <xdr:spPr>
            <a:xfrm>
              <a:off x="2641568" y="139192476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9525</xdr:colOff>
      <xdr:row>604</xdr:row>
      <xdr:rowOff>0</xdr:rowOff>
    </xdr:from>
    <xdr:ext cx="240030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5"/>
            <xdr:cNvSpPr txBox="1"/>
          </xdr:nvSpPr>
          <xdr:spPr>
            <a:xfrm>
              <a:off x="923925" y="140312775"/>
              <a:ext cx="240030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h𝑦𝑠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5"/>
            <xdr:cNvSpPr txBox="1"/>
          </xdr:nvSpPr>
          <xdr:spPr>
            <a:xfrm>
              <a:off x="923925" y="140312775"/>
              <a:ext cx="240030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ν(ℎ_ℎ𝑦𝑠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12668</xdr:colOff>
      <xdr:row>596</xdr:row>
      <xdr:rowOff>32226</xdr:rowOff>
    </xdr:from>
    <xdr:ext cx="1253356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/>
            <xdr:cNvSpPr txBox="1"/>
          </xdr:nvSpPr>
          <xdr:spPr>
            <a:xfrm>
              <a:off x="1841468" y="138516201"/>
              <a:ext cx="125335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88" name="TextBox 187"/>
            <xdr:cNvSpPr txBox="1"/>
          </xdr:nvSpPr>
          <xdr:spPr>
            <a:xfrm>
              <a:off x="1841468" y="138516201"/>
              <a:ext cx="125335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ℎ_𝑗={|(𝑥_(2,𝑗)−𝑥_(1,𝑗) )|}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12668</xdr:colOff>
      <xdr:row>601</xdr:row>
      <xdr:rowOff>47625</xdr:rowOff>
    </xdr:from>
    <xdr:ext cx="992964" cy="369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/>
            <xdr:cNvSpPr txBox="1"/>
          </xdr:nvSpPr>
          <xdr:spPr>
            <a:xfrm>
              <a:off x="1079468" y="139674600"/>
              <a:ext cx="992964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89" name="TextBox 188"/>
            <xdr:cNvSpPr txBox="1"/>
          </xdr:nvSpPr>
          <xdr:spPr>
            <a:xfrm>
              <a:off x="1079468" y="139674600"/>
              <a:ext cx="992964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ℎ_𝑖)/(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ℎ_ℎ𝑦𝑠 )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57150</xdr:colOff>
      <xdr:row>608</xdr:row>
      <xdr:rowOff>9525</xdr:rowOff>
    </xdr:from>
    <xdr:ext cx="1678088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/>
            <xdr:cNvSpPr txBox="1"/>
          </xdr:nvSpPr>
          <xdr:spPr>
            <a:xfrm>
              <a:off x="209550" y="141246225"/>
              <a:ext cx="1678088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90" name="TextBox 189"/>
            <xdr:cNvSpPr txBox="1"/>
          </xdr:nvSpPr>
          <xdr:spPr>
            <a:xfrm>
              <a:off x="209550" y="141246225"/>
              <a:ext cx="1678088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ℎ_𝑐 )</a:t>
              </a:r>
              <a:r>
                <a:rPr lang="en-US" altLang="ko-KR" sz="110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𝑢^2 (ℎ_𝑠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 (ℎ_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76200</xdr:colOff>
      <xdr:row>609</xdr:row>
      <xdr:rowOff>0</xdr:rowOff>
    </xdr:from>
    <xdr:ext cx="1815433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/>
            <xdr:cNvSpPr txBox="1"/>
          </xdr:nvSpPr>
          <xdr:spPr>
            <a:xfrm>
              <a:off x="838200" y="141474825"/>
              <a:ext cx="1815433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91" name="TextBox 190"/>
            <xdr:cNvSpPr txBox="1"/>
          </xdr:nvSpPr>
          <xdr:spPr>
            <a:xfrm>
              <a:off x="838200" y="141474825"/>
              <a:ext cx="1815433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√((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)^2+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613</xdr:row>
      <xdr:rowOff>28575</xdr:rowOff>
    </xdr:from>
    <xdr:ext cx="1517210" cy="51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191"/>
            <xdr:cNvSpPr txBox="1"/>
          </xdr:nvSpPr>
          <xdr:spPr>
            <a:xfrm>
              <a:off x="161925" y="142436850"/>
              <a:ext cx="1517210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{"/>
                                        <m:endChr m:val="}"/>
                                        <m:ctrlPr>
                                          <a:rPr lang="en-US" altLang="ko-K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d>
                                          <m:d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altLang="ko-K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92" name="TextBox 191"/>
            <xdr:cNvSpPr txBox="1"/>
          </xdr:nvSpPr>
          <xdr:spPr>
            <a:xfrm>
              <a:off x="161925" y="142436850"/>
              <a:ext cx="1517210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𝑒𝑓𝑓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𝑢_𝑐^4)/(∑24_(𝑖=1)^𝑛▒{𝑐_𝑖 𝑢(𝑥_𝑖 )}^4/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)=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47625</xdr:colOff>
      <xdr:row>614</xdr:row>
      <xdr:rowOff>19050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192"/>
            <xdr:cNvSpPr txBox="1"/>
          </xdr:nvSpPr>
          <xdr:spPr>
            <a:xfrm>
              <a:off x="1724025" y="14264640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93" name="TextBox 192"/>
            <xdr:cNvSpPr txBox="1"/>
          </xdr:nvSpPr>
          <xdr:spPr>
            <a:xfrm>
              <a:off x="1724025" y="14264640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28575</xdr:colOff>
      <xdr:row>614</xdr:row>
      <xdr:rowOff>19050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193"/>
            <xdr:cNvSpPr txBox="1"/>
          </xdr:nvSpPr>
          <xdr:spPr>
            <a:xfrm>
              <a:off x="2619375" y="14264640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94" name="TextBox 193"/>
            <xdr:cNvSpPr txBox="1"/>
          </xdr:nvSpPr>
          <xdr:spPr>
            <a:xfrm>
              <a:off x="2619375" y="14264640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14</xdr:col>
      <xdr:colOff>19050</xdr:colOff>
      <xdr:row>613</xdr:row>
      <xdr:rowOff>28575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5" name="TextBox 194"/>
            <xdr:cNvSpPr txBox="1"/>
          </xdr:nvSpPr>
          <xdr:spPr>
            <a:xfrm>
              <a:off x="2152650" y="14243685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95" name="TextBox 194"/>
            <xdr:cNvSpPr txBox="1"/>
          </xdr:nvSpPr>
          <xdr:spPr>
            <a:xfrm>
              <a:off x="2152650" y="142436850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340550</xdr:colOff>
      <xdr:row>1</xdr:row>
      <xdr:rowOff>65690</xdr:rowOff>
    </xdr:from>
    <xdr:ext cx="1588512" cy="4755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246425" y="484790"/>
              <a:ext cx="1588512" cy="4755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num>
                          <m:den>
                            <m:d>
                              <m:dPr>
                                <m:begChr m:val="{"/>
                                <m:endChr m:val="}"/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den>
                        </m:f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246425" y="484790"/>
              <a:ext cx="1588512" cy="4755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1=</a:t>
              </a:r>
              <a:r>
                <a:rPr lang="ko-KR" altLang="en-US" sz="110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0/(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{1+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(𝑡_1−𝑡_0 )}/{1+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(𝑝_1−𝑝_0 )/𝐸_0 } )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" customWidth="1"/>
    <col min="12" max="16384" width="8.109375" style="3"/>
  </cols>
  <sheetData>
    <row r="1" spans="1:13" ht="51.95" customHeight="1">
      <c r="A1" s="411" t="s">
        <v>226</v>
      </c>
      <c r="B1" s="412"/>
      <c r="C1" s="412"/>
      <c r="D1" s="412"/>
      <c r="E1" s="412"/>
      <c r="F1" s="412"/>
      <c r="G1" s="412"/>
      <c r="H1" s="413"/>
      <c r="I1" s="414"/>
      <c r="J1" s="415"/>
    </row>
    <row r="2" spans="1:13" ht="12.95" customHeight="1">
      <c r="A2" s="416" t="s">
        <v>1</v>
      </c>
      <c r="B2" s="416"/>
      <c r="C2" s="416"/>
      <c r="D2" s="416"/>
      <c r="E2" s="416"/>
      <c r="F2" s="416"/>
      <c r="G2" s="416"/>
      <c r="H2" s="416"/>
      <c r="I2" s="416"/>
      <c r="J2" s="416"/>
    </row>
    <row r="3" spans="1:13" ht="12.95" customHeight="1">
      <c r="A3" s="406" t="s">
        <v>2</v>
      </c>
      <c r="B3" s="403"/>
      <c r="C3" s="417"/>
      <c r="D3" s="417"/>
      <c r="E3" s="417"/>
      <c r="F3" s="403" t="s">
        <v>3</v>
      </c>
      <c r="G3" s="403"/>
      <c r="H3" s="418"/>
      <c r="I3" s="405"/>
      <c r="J3" s="405"/>
    </row>
    <row r="4" spans="1:13" ht="12.95" customHeight="1">
      <c r="A4" s="403" t="s">
        <v>4</v>
      </c>
      <c r="B4" s="403"/>
      <c r="C4" s="404"/>
      <c r="D4" s="403"/>
      <c r="E4" s="403"/>
      <c r="F4" s="403" t="s">
        <v>5</v>
      </c>
      <c r="G4" s="403"/>
      <c r="H4" s="403"/>
      <c r="I4" s="405"/>
      <c r="J4" s="405"/>
    </row>
    <row r="5" spans="1:13" ht="12.95" customHeight="1">
      <c r="A5" s="403" t="s">
        <v>6</v>
      </c>
      <c r="B5" s="403"/>
      <c r="C5" s="403"/>
      <c r="D5" s="405"/>
      <c r="E5" s="405"/>
      <c r="F5" s="406" t="s">
        <v>7</v>
      </c>
      <c r="G5" s="403"/>
      <c r="H5" s="409"/>
      <c r="I5" s="410"/>
      <c r="J5" s="410"/>
    </row>
    <row r="6" spans="1:13" ht="12.95" customHeight="1">
      <c r="A6" s="403" t="s">
        <v>8</v>
      </c>
      <c r="B6" s="403"/>
      <c r="C6" s="403"/>
      <c r="D6" s="405"/>
      <c r="E6" s="405"/>
      <c r="F6" s="406" t="s">
        <v>9</v>
      </c>
      <c r="G6" s="403"/>
      <c r="H6" s="409"/>
      <c r="I6" s="410"/>
      <c r="J6" s="410"/>
    </row>
    <row r="7" spans="1:13" ht="12.95" customHeight="1">
      <c r="A7" s="403" t="s">
        <v>10</v>
      </c>
      <c r="B7" s="403"/>
      <c r="C7" s="420"/>
      <c r="D7" s="405"/>
      <c r="E7" s="405"/>
      <c r="F7" s="406" t="s">
        <v>11</v>
      </c>
      <c r="G7" s="403"/>
      <c r="H7" s="403"/>
      <c r="I7" s="405"/>
      <c r="J7" s="405"/>
    </row>
    <row r="8" spans="1:13" ht="12.95" customHeight="1">
      <c r="A8" s="403" t="s">
        <v>12</v>
      </c>
      <c r="B8" s="403"/>
      <c r="C8" s="418"/>
      <c r="D8" s="419"/>
      <c r="E8" s="419"/>
      <c r="F8" s="406" t="s">
        <v>13</v>
      </c>
      <c r="G8" s="403"/>
      <c r="H8" s="403"/>
      <c r="I8" s="405"/>
      <c r="J8" s="405"/>
    </row>
    <row r="9" spans="1:13" ht="12.95" customHeight="1">
      <c r="A9" s="406" t="s">
        <v>35</v>
      </c>
      <c r="B9" s="403"/>
      <c r="C9" s="409"/>
      <c r="D9" s="410"/>
      <c r="E9" s="410"/>
      <c r="F9" s="421" t="s">
        <v>14</v>
      </c>
      <c r="G9" s="421"/>
      <c r="H9" s="409"/>
      <c r="I9" s="410"/>
      <c r="J9" s="410"/>
    </row>
    <row r="10" spans="1:13" ht="23.25" customHeight="1">
      <c r="A10" s="403" t="s">
        <v>15</v>
      </c>
      <c r="B10" s="403"/>
      <c r="C10" s="409"/>
      <c r="D10" s="410"/>
      <c r="E10" s="410"/>
      <c r="F10" s="403" t="s">
        <v>16</v>
      </c>
      <c r="G10" s="403"/>
      <c r="H10" s="50"/>
      <c r="I10" s="427" t="s">
        <v>17</v>
      </c>
      <c r="J10" s="428"/>
      <c r="K10" s="6"/>
    </row>
    <row r="11" spans="1:13" ht="12.95" customHeight="1">
      <c r="A11" s="416" t="s">
        <v>18</v>
      </c>
      <c r="B11" s="416"/>
      <c r="C11" s="416"/>
      <c r="D11" s="416"/>
      <c r="E11" s="416"/>
      <c r="F11" s="416"/>
      <c r="G11" s="416"/>
      <c r="H11" s="416"/>
      <c r="I11" s="416"/>
      <c r="J11" s="416"/>
      <c r="K11" s="7"/>
    </row>
    <row r="12" spans="1:13" ht="17.25" customHeight="1">
      <c r="A12" s="5" t="s">
        <v>19</v>
      </c>
      <c r="B12" s="8"/>
      <c r="C12" s="9" t="s">
        <v>20</v>
      </c>
      <c r="D12" s="10"/>
      <c r="E12" s="9" t="s">
        <v>21</v>
      </c>
      <c r="F12" s="11"/>
      <c r="G12" s="429" t="s">
        <v>22</v>
      </c>
      <c r="H12" s="425"/>
      <c r="I12" s="431" t="s">
        <v>23</v>
      </c>
      <c r="J12" s="432"/>
      <c r="K12" s="6"/>
      <c r="L12" s="12"/>
      <c r="M12" s="12"/>
    </row>
    <row r="13" spans="1:13" ht="17.25" customHeight="1">
      <c r="A13" s="13" t="s">
        <v>24</v>
      </c>
      <c r="B13" s="8"/>
      <c r="C13" s="13" t="s">
        <v>25</v>
      </c>
      <c r="D13" s="10"/>
      <c r="E13" s="9" t="s">
        <v>26</v>
      </c>
      <c r="F13" s="11"/>
      <c r="G13" s="430"/>
      <c r="H13" s="426"/>
      <c r="I13" s="433"/>
      <c r="J13" s="434"/>
      <c r="K13" s="7"/>
    </row>
    <row r="14" spans="1:13" ht="12.95" customHeight="1">
      <c r="A14" s="416" t="s">
        <v>27</v>
      </c>
      <c r="B14" s="416"/>
      <c r="C14" s="416"/>
      <c r="D14" s="416"/>
      <c r="E14" s="416"/>
      <c r="F14" s="416"/>
      <c r="G14" s="416"/>
      <c r="H14" s="416"/>
      <c r="I14" s="416"/>
      <c r="J14" s="416"/>
      <c r="K14" s="7"/>
    </row>
    <row r="15" spans="1:13" ht="39" customHeight="1">
      <c r="A15" s="422"/>
      <c r="B15" s="423"/>
      <c r="C15" s="423"/>
      <c r="D15" s="423"/>
      <c r="E15" s="423"/>
      <c r="F15" s="423"/>
      <c r="G15" s="423"/>
      <c r="H15" s="423"/>
      <c r="I15" s="423"/>
      <c r="J15" s="424"/>
    </row>
    <row r="16" spans="1:13" ht="12.95" customHeight="1">
      <c r="A16" s="416" t="s">
        <v>28</v>
      </c>
      <c r="B16" s="416"/>
      <c r="C16" s="416"/>
      <c r="D16" s="416"/>
      <c r="E16" s="416"/>
      <c r="F16" s="416"/>
      <c r="G16" s="416"/>
      <c r="H16" s="416"/>
      <c r="I16" s="416"/>
      <c r="J16" s="416"/>
    </row>
    <row r="17" spans="1:12" ht="12.95" customHeight="1">
      <c r="A17" s="5" t="s">
        <v>29</v>
      </c>
      <c r="B17" s="406" t="s">
        <v>30</v>
      </c>
      <c r="C17" s="403"/>
      <c r="D17" s="403"/>
      <c r="E17" s="403"/>
      <c r="F17" s="406" t="s">
        <v>31</v>
      </c>
      <c r="G17" s="403"/>
      <c r="H17" s="5" t="s">
        <v>10</v>
      </c>
      <c r="I17" s="4" t="s">
        <v>32</v>
      </c>
      <c r="J17" s="4" t="s">
        <v>33</v>
      </c>
      <c r="L17" s="7"/>
    </row>
    <row r="18" spans="1:12" ht="12.95" customHeight="1">
      <c r="A18" s="51"/>
      <c r="B18" s="407"/>
      <c r="C18" s="408"/>
      <c r="D18" s="408"/>
      <c r="E18" s="408"/>
      <c r="F18" s="407"/>
      <c r="G18" s="408"/>
      <c r="H18" s="58"/>
      <c r="I18" s="29"/>
      <c r="J18" s="157"/>
      <c r="L18" s="7"/>
    </row>
    <row r="19" spans="1:12" ht="12.95" customHeight="1">
      <c r="A19" s="51"/>
      <c r="B19" s="407"/>
      <c r="C19" s="408"/>
      <c r="D19" s="408"/>
      <c r="E19" s="408"/>
      <c r="F19" s="407"/>
      <c r="G19" s="408"/>
      <c r="H19" s="32"/>
      <c r="I19" s="32"/>
      <c r="J19" s="157"/>
      <c r="L19" s="7"/>
    </row>
    <row r="20" spans="1:12" ht="12.95" customHeight="1">
      <c r="A20" s="51"/>
      <c r="B20" s="407"/>
      <c r="C20" s="408"/>
      <c r="D20" s="408"/>
      <c r="E20" s="408"/>
      <c r="F20" s="407"/>
      <c r="G20" s="408"/>
      <c r="H20" s="46"/>
      <c r="I20" s="46"/>
      <c r="J20" s="157"/>
      <c r="L20" s="7"/>
    </row>
    <row r="21" spans="1:12" ht="12.95" customHeight="1">
      <c r="A21" s="51"/>
      <c r="B21" s="407"/>
      <c r="C21" s="408"/>
      <c r="D21" s="408"/>
      <c r="E21" s="408"/>
      <c r="F21" s="407"/>
      <c r="G21" s="408"/>
      <c r="H21" s="46"/>
      <c r="I21" s="14"/>
      <c r="J21" s="157"/>
      <c r="L21" s="7"/>
    </row>
    <row r="22" spans="1:12" ht="12.95" customHeight="1">
      <c r="A22" s="51"/>
      <c r="B22" s="407"/>
      <c r="C22" s="408"/>
      <c r="D22" s="408"/>
      <c r="E22" s="408"/>
      <c r="F22" s="407"/>
      <c r="G22" s="408"/>
      <c r="H22" s="31"/>
      <c r="I22" s="21"/>
      <c r="J22" s="157"/>
      <c r="L22" s="7"/>
    </row>
    <row r="23" spans="1:12" ht="12.95" customHeight="1">
      <c r="A23" s="51"/>
      <c r="B23" s="407"/>
      <c r="C23" s="408"/>
      <c r="D23" s="408"/>
      <c r="E23" s="408"/>
      <c r="F23" s="407"/>
      <c r="G23" s="408"/>
      <c r="H23" s="21"/>
      <c r="I23" s="14"/>
      <c r="J23" s="157"/>
      <c r="L23" s="7"/>
    </row>
    <row r="24" spans="1:12" ht="12.95" customHeight="1">
      <c r="A24" s="51"/>
      <c r="B24" s="407"/>
      <c r="C24" s="408"/>
      <c r="D24" s="408"/>
      <c r="E24" s="408"/>
      <c r="F24" s="407"/>
      <c r="G24" s="408"/>
      <c r="H24" s="27"/>
      <c r="I24" s="14"/>
      <c r="J24" s="157"/>
      <c r="L24" s="7"/>
    </row>
    <row r="25" spans="1:12" ht="12.95" customHeight="1">
      <c r="A25" s="51"/>
      <c r="B25" s="407"/>
      <c r="C25" s="408"/>
      <c r="D25" s="408"/>
      <c r="E25" s="408"/>
      <c r="F25" s="407"/>
      <c r="G25" s="408"/>
      <c r="H25" s="27"/>
      <c r="I25" s="14"/>
      <c r="J25" s="157"/>
      <c r="L25" s="7"/>
    </row>
    <row r="26" spans="1:12" ht="12.95" customHeight="1">
      <c r="A26" s="51"/>
      <c r="B26" s="407"/>
      <c r="C26" s="408"/>
      <c r="D26" s="408"/>
      <c r="E26" s="408"/>
      <c r="F26" s="407"/>
      <c r="G26" s="408"/>
      <c r="H26" s="27"/>
      <c r="I26" s="14"/>
      <c r="J26" s="157"/>
      <c r="L26" s="7"/>
    </row>
    <row r="27" spans="1:12" ht="12.95" customHeight="1">
      <c r="A27" s="51"/>
      <c r="B27" s="407"/>
      <c r="C27" s="408"/>
      <c r="D27" s="408"/>
      <c r="E27" s="408"/>
      <c r="F27" s="407"/>
      <c r="G27" s="408"/>
      <c r="H27" s="14"/>
      <c r="I27" s="14"/>
      <c r="J27" s="157"/>
    </row>
    <row r="28" spans="1:12" ht="12.95" customHeight="1">
      <c r="A28" s="51"/>
      <c r="B28" s="407"/>
      <c r="C28" s="408"/>
      <c r="D28" s="408"/>
      <c r="E28" s="408"/>
      <c r="F28" s="407"/>
      <c r="G28" s="408"/>
      <c r="H28" s="14"/>
      <c r="I28" s="14"/>
      <c r="J28" s="157"/>
    </row>
    <row r="29" spans="1:12" ht="12.95" customHeight="1">
      <c r="A29" s="51"/>
      <c r="B29" s="407"/>
      <c r="C29" s="408"/>
      <c r="D29" s="408"/>
      <c r="E29" s="408"/>
      <c r="F29" s="407"/>
      <c r="G29" s="408"/>
      <c r="H29" s="14"/>
      <c r="I29" s="14"/>
      <c r="J29" s="157"/>
    </row>
    <row r="30" spans="1:12" ht="12.95" customHeight="1">
      <c r="A30" s="51"/>
      <c r="B30" s="407"/>
      <c r="C30" s="408"/>
      <c r="D30" s="408"/>
      <c r="E30" s="408"/>
      <c r="F30" s="407"/>
      <c r="G30" s="408"/>
      <c r="H30" s="14"/>
      <c r="I30" s="14"/>
      <c r="J30" s="157"/>
    </row>
    <row r="31" spans="1:12" ht="12.95" customHeight="1">
      <c r="A31" s="51"/>
      <c r="B31" s="407"/>
      <c r="C31" s="408"/>
      <c r="D31" s="408"/>
      <c r="E31" s="408"/>
      <c r="F31" s="407"/>
      <c r="G31" s="408"/>
      <c r="H31" s="14"/>
      <c r="I31" s="14"/>
      <c r="J31" s="157"/>
    </row>
    <row r="32" spans="1:12" ht="12.95" customHeight="1">
      <c r="A32" s="51"/>
      <c r="B32" s="407"/>
      <c r="C32" s="408"/>
      <c r="D32" s="408"/>
      <c r="E32" s="408"/>
      <c r="F32" s="407"/>
      <c r="G32" s="408"/>
      <c r="H32" s="14"/>
      <c r="I32" s="14"/>
      <c r="J32" s="157"/>
    </row>
    <row r="33" spans="1:10" ht="12.95" customHeight="1">
      <c r="A33" s="51"/>
      <c r="B33" s="407"/>
      <c r="C33" s="408"/>
      <c r="D33" s="408"/>
      <c r="E33" s="408"/>
      <c r="F33" s="407"/>
      <c r="G33" s="408"/>
      <c r="H33" s="14"/>
      <c r="I33" s="14"/>
      <c r="J33" s="157"/>
    </row>
    <row r="34" spans="1:10" ht="12.95" customHeight="1">
      <c r="A34" s="51"/>
      <c r="B34" s="407"/>
      <c r="C34" s="408"/>
      <c r="D34" s="408"/>
      <c r="E34" s="408"/>
      <c r="F34" s="407"/>
      <c r="G34" s="408"/>
      <c r="H34" s="14"/>
      <c r="I34" s="14"/>
      <c r="J34" s="157"/>
    </row>
    <row r="35" spans="1:10" ht="12.95" customHeight="1">
      <c r="A35" s="51"/>
      <c r="B35" s="407"/>
      <c r="C35" s="408"/>
      <c r="D35" s="408"/>
      <c r="E35" s="408"/>
      <c r="F35" s="407"/>
      <c r="G35" s="408"/>
      <c r="H35" s="14"/>
      <c r="I35" s="14"/>
      <c r="J35" s="157"/>
    </row>
    <row r="36" spans="1:10" ht="12.95" customHeight="1">
      <c r="A36" s="51"/>
      <c r="B36" s="407"/>
      <c r="C36" s="408"/>
      <c r="D36" s="408"/>
      <c r="E36" s="408"/>
      <c r="F36" s="407"/>
      <c r="G36" s="408"/>
      <c r="H36" s="14"/>
      <c r="I36" s="14"/>
      <c r="J36" s="157"/>
    </row>
    <row r="37" spans="1:10" ht="12.95" customHeight="1">
      <c r="A37" s="51"/>
      <c r="B37" s="407"/>
      <c r="C37" s="408"/>
      <c r="D37" s="408"/>
      <c r="E37" s="408"/>
      <c r="F37" s="407"/>
      <c r="G37" s="408"/>
      <c r="H37" s="14"/>
      <c r="I37" s="14"/>
      <c r="J37" s="157"/>
    </row>
    <row r="38" spans="1:10" ht="12.95" customHeight="1">
      <c r="A38" s="57" t="s">
        <v>37</v>
      </c>
      <c r="B38" s="7"/>
      <c r="C38" s="7"/>
      <c r="D38" s="7"/>
      <c r="E38" s="7"/>
      <c r="J38" s="15"/>
    </row>
    <row r="39" spans="1:10" ht="12.95" customHeight="1">
      <c r="A39" s="402" t="s">
        <v>38</v>
      </c>
      <c r="B39" s="402"/>
      <c r="C39" s="402"/>
      <c r="D39" s="402"/>
      <c r="E39" s="402"/>
      <c r="F39" s="435" t="s">
        <v>39</v>
      </c>
      <c r="G39" s="438"/>
      <c r="H39" s="439"/>
      <c r="I39" s="439"/>
      <c r="J39" s="440"/>
    </row>
    <row r="40" spans="1:10" ht="12.95" customHeight="1">
      <c r="A40" s="402" t="s">
        <v>40</v>
      </c>
      <c r="B40" s="402"/>
      <c r="C40" s="402"/>
      <c r="D40" s="402"/>
      <c r="E40" s="402"/>
      <c r="F40" s="436"/>
      <c r="G40" s="441"/>
      <c r="H40" s="442"/>
      <c r="I40" s="442"/>
      <c r="J40" s="443"/>
    </row>
    <row r="41" spans="1:10" ht="12.95" customHeight="1">
      <c r="A41" s="402" t="s">
        <v>41</v>
      </c>
      <c r="B41" s="402"/>
      <c r="C41" s="402"/>
      <c r="D41" s="402"/>
      <c r="E41" s="402"/>
      <c r="F41" s="436"/>
      <c r="G41" s="441"/>
      <c r="H41" s="442"/>
      <c r="I41" s="442"/>
      <c r="J41" s="443"/>
    </row>
    <row r="42" spans="1:10" ht="12.95" customHeight="1">
      <c r="A42" s="402" t="s">
        <v>42</v>
      </c>
      <c r="B42" s="402"/>
      <c r="C42" s="447" t="s">
        <v>43</v>
      </c>
      <c r="D42" s="447"/>
      <c r="E42" s="447"/>
      <c r="F42" s="437"/>
      <c r="G42" s="444"/>
      <c r="H42" s="445"/>
      <c r="I42" s="445"/>
      <c r="J42" s="446"/>
    </row>
    <row r="43" spans="1:10" ht="12.95" customHeight="1">
      <c r="A43" s="402" t="s">
        <v>54</v>
      </c>
      <c r="B43" s="402"/>
      <c r="C43" s="402" t="e">
        <f>IF(Calcu_ADJ!R9=FALSE,Calcu!L3,Calcu_ADJ!J3)</f>
        <v>#N/A</v>
      </c>
      <c r="D43" s="402"/>
      <c r="E43" s="402"/>
    </row>
    <row r="46" spans="1:10" ht="12.95" customHeight="1">
      <c r="B46" s="3" t="s">
        <v>203</v>
      </c>
    </row>
    <row r="47" spans="1:10" ht="12.95" customHeight="1">
      <c r="B47" s="3" t="s">
        <v>204</v>
      </c>
    </row>
    <row r="48" spans="1:10" ht="12.95" customHeight="1">
      <c r="A48" s="185">
        <f>Calcu!S91</f>
        <v>0</v>
      </c>
      <c r="B48" s="3" t="s">
        <v>208</v>
      </c>
    </row>
    <row r="49" spans="1:2" ht="12.95" customHeight="1">
      <c r="A49" s="243"/>
    </row>
    <row r="50" spans="1:2" ht="12.95" customHeight="1">
      <c r="A50" s="3">
        <f ca="1">IF(Calcu_ADJ!R9=FALSE,Calcu!N64,Calcu_ADJ!N64)</f>
        <v>0</v>
      </c>
      <c r="B50" s="3" t="s">
        <v>209</v>
      </c>
    </row>
    <row r="52" spans="1:2" ht="12.95" customHeight="1">
      <c r="B52" s="3" t="s">
        <v>227</v>
      </c>
    </row>
  </sheetData>
  <sheetProtection selectLockedCells="1"/>
  <mergeCells count="95"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H12:H13"/>
    <mergeCell ref="A14:J14"/>
    <mergeCell ref="I10:J10"/>
    <mergeCell ref="A11:J11"/>
    <mergeCell ref="G12:G13"/>
    <mergeCell ref="I12:J13"/>
    <mergeCell ref="B21:E21"/>
    <mergeCell ref="F21:G21"/>
    <mergeCell ref="A15:J15"/>
    <mergeCell ref="A16:J16"/>
    <mergeCell ref="B17:E17"/>
    <mergeCell ref="F17:G17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H9:J9"/>
    <mergeCell ref="C10:E10"/>
    <mergeCell ref="A10:B10"/>
    <mergeCell ref="A1:J1"/>
    <mergeCell ref="A2:J2"/>
    <mergeCell ref="A3:B3"/>
    <mergeCell ref="C3:E3"/>
    <mergeCell ref="F3:G3"/>
    <mergeCell ref="H3:J3"/>
    <mergeCell ref="H4:J4"/>
    <mergeCell ref="A5:B5"/>
    <mergeCell ref="C5:E5"/>
    <mergeCell ref="F5:G5"/>
    <mergeCell ref="H5:J5"/>
    <mergeCell ref="A43:B43"/>
    <mergeCell ref="C43:E43"/>
    <mergeCell ref="A4:B4"/>
    <mergeCell ref="C4:E4"/>
    <mergeCell ref="F4:G4"/>
    <mergeCell ref="A6:B6"/>
    <mergeCell ref="C6:E6"/>
    <mergeCell ref="F6:G6"/>
    <mergeCell ref="B22:E22"/>
    <mergeCell ref="F22:G22"/>
    <mergeCell ref="B20:E20"/>
    <mergeCell ref="F18:G18"/>
    <mergeCell ref="F19:G19"/>
    <mergeCell ref="B18:E18"/>
    <mergeCell ref="B19:E19"/>
    <mergeCell ref="F20:G20"/>
  </mergeCells>
  <phoneticPr fontId="5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10"/>
  <sheetViews>
    <sheetView showGridLines="0" workbookViewId="0"/>
  </sheetViews>
  <sheetFormatPr defaultColWidth="8.77734375" defaultRowHeight="15" customHeight="1"/>
  <cols>
    <col min="1" max="1" width="3.77734375" style="161" customWidth="1"/>
    <col min="2" max="4" width="8.77734375" style="172"/>
    <col min="5" max="20" width="8.77734375" style="170"/>
    <col min="21" max="16384" width="8.77734375" style="161"/>
  </cols>
  <sheetData>
    <row r="1" spans="1:37" ht="15" customHeight="1">
      <c r="A1" s="158" t="s">
        <v>413</v>
      </c>
      <c r="B1" s="159"/>
      <c r="C1" s="159"/>
      <c r="D1" s="159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</row>
    <row r="2" spans="1:37" ht="15" customHeight="1" thickBot="1">
      <c r="B2" s="268" t="s">
        <v>158</v>
      </c>
      <c r="C2" s="268" t="s">
        <v>136</v>
      </c>
      <c r="D2" s="268" t="s">
        <v>267</v>
      </c>
      <c r="E2" s="268" t="s">
        <v>268</v>
      </c>
      <c r="F2" s="305" t="s">
        <v>137</v>
      </c>
      <c r="G2" s="305" t="s">
        <v>160</v>
      </c>
      <c r="H2" s="305" t="s">
        <v>269</v>
      </c>
      <c r="I2" s="305" t="s">
        <v>121</v>
      </c>
      <c r="J2" s="305" t="s">
        <v>263</v>
      </c>
      <c r="K2" s="293" t="s">
        <v>161</v>
      </c>
      <c r="L2" s="268" t="s">
        <v>270</v>
      </c>
      <c r="M2" s="268" t="s">
        <v>271</v>
      </c>
      <c r="N2" s="160"/>
      <c r="O2" s="160"/>
      <c r="P2" s="160"/>
      <c r="Q2" s="160"/>
      <c r="R2" s="160"/>
      <c r="S2" s="160"/>
      <c r="T2" s="161"/>
    </row>
    <row r="3" spans="1:37" ht="15" customHeight="1" thickBot="1">
      <c r="B3" s="306">
        <f>COUNTIF(B9:B38,TRUE)/2</f>
        <v>0</v>
      </c>
      <c r="C3" s="306">
        <f>Pressure_3_R1!F$4</f>
        <v>0</v>
      </c>
      <c r="D3" s="306">
        <f>Pressure_3_R1_Result2</f>
        <v>0</v>
      </c>
      <c r="E3" s="306">
        <v>9.8066499999999994</v>
      </c>
      <c r="F3" s="248">
        <f>Pressure_3_R1!K4</f>
        <v>0</v>
      </c>
      <c r="G3" s="248">
        <f>Pressure_3_R1!L4</f>
        <v>0</v>
      </c>
      <c r="H3" s="248">
        <f>IF(TYPE(FIND(".",G3))=16,0,LEN(G3)-2)+M3</f>
        <v>1</v>
      </c>
      <c r="I3" s="248" t="str">
        <f ca="1">OFFSET(T63,MATCH(H3,U64:U73,0),0)</f>
        <v>0.0</v>
      </c>
      <c r="J3" s="248" t="e">
        <f>INDEX(표준압력!C3:J10,MATCH(H8,표준압력!C2:J2,0),MATCH("Pa",표준압력!B3:B10,0))</f>
        <v>#N/A</v>
      </c>
      <c r="K3" s="181" t="str">
        <f>IF(SUM(AK45:AK59)=0,"","초과")</f>
        <v/>
      </c>
      <c r="L3" s="269" t="b">
        <f>기본정보!A46=0</f>
        <v>1</v>
      </c>
      <c r="M3" s="269">
        <f>IF(L3=TRUE,1,기본정보!A47)</f>
        <v>1</v>
      </c>
      <c r="N3" s="160"/>
      <c r="O3" s="160"/>
      <c r="P3" s="160"/>
      <c r="Q3" s="160"/>
      <c r="R3" s="160"/>
      <c r="S3" s="160"/>
      <c r="T3" s="161"/>
    </row>
    <row r="4" spans="1:37" ht="15" customHeight="1">
      <c r="B4" s="159"/>
      <c r="C4" s="160"/>
      <c r="D4" s="160"/>
      <c r="E4" s="160"/>
      <c r="G4" s="160"/>
      <c r="H4" s="160"/>
      <c r="J4" s="160"/>
      <c r="K4" s="160"/>
      <c r="L4" s="160"/>
      <c r="M4" s="160"/>
      <c r="N4" s="160"/>
      <c r="O4" s="161"/>
      <c r="P4" s="161"/>
      <c r="Q4" s="161"/>
      <c r="R4" s="161"/>
      <c r="S4" s="161"/>
      <c r="T4" s="161"/>
    </row>
    <row r="5" spans="1:37" s="165" customFormat="1" ht="15" customHeight="1">
      <c r="B5" s="164" t="s">
        <v>272</v>
      </c>
      <c r="C5" s="162"/>
      <c r="D5" s="162"/>
      <c r="E5" s="163"/>
      <c r="F5" s="163"/>
      <c r="G5" s="163"/>
      <c r="H5" s="162"/>
      <c r="I5" s="159"/>
      <c r="J5" s="159"/>
      <c r="K5" s="159"/>
      <c r="L5" s="159"/>
      <c r="M5" s="162"/>
      <c r="N5" s="162"/>
      <c r="O5" s="162"/>
      <c r="P5" s="162"/>
      <c r="Q5" s="164" t="s">
        <v>273</v>
      </c>
      <c r="R5" s="162"/>
      <c r="S5" s="162"/>
      <c r="T5" s="162"/>
    </row>
    <row r="6" spans="1:37" s="160" customFormat="1" ht="15" customHeight="1">
      <c r="B6" s="797" t="s">
        <v>274</v>
      </c>
      <c r="C6" s="797" t="s">
        <v>275</v>
      </c>
      <c r="D6" s="797" t="s">
        <v>276</v>
      </c>
      <c r="E6" s="796" t="s">
        <v>277</v>
      </c>
      <c r="F6" s="797" t="s">
        <v>278</v>
      </c>
      <c r="G6" s="797" t="s">
        <v>279</v>
      </c>
      <c r="H6" s="796" t="s">
        <v>280</v>
      </c>
      <c r="I6" s="796" t="s">
        <v>281</v>
      </c>
      <c r="J6" s="797" t="s">
        <v>164</v>
      </c>
      <c r="K6" s="797"/>
      <c r="L6" s="797"/>
      <c r="M6" s="797" t="s">
        <v>527</v>
      </c>
      <c r="N6" s="797"/>
      <c r="O6" s="797"/>
      <c r="P6" s="162"/>
      <c r="Q6" s="793" t="s">
        <v>274</v>
      </c>
      <c r="R6" s="793" t="s">
        <v>283</v>
      </c>
      <c r="S6" s="793" t="s">
        <v>284</v>
      </c>
      <c r="T6" s="798" t="s">
        <v>282</v>
      </c>
      <c r="U6" s="799"/>
      <c r="V6" s="799"/>
      <c r="W6" s="800"/>
      <c r="X6" s="798" t="s">
        <v>285</v>
      </c>
      <c r="Y6" s="799"/>
      <c r="Z6" s="799"/>
      <c r="AA6" s="800"/>
      <c r="AC6" s="305" t="s">
        <v>286</v>
      </c>
      <c r="AD6" s="247" t="s">
        <v>287</v>
      </c>
      <c r="AE6" s="247" t="s">
        <v>288</v>
      </c>
      <c r="AF6" s="247" t="s">
        <v>289</v>
      </c>
      <c r="AG6" s="247" t="s">
        <v>151</v>
      </c>
      <c r="AH6" s="247" t="s">
        <v>290</v>
      </c>
      <c r="AI6" s="247" t="s">
        <v>291</v>
      </c>
      <c r="AJ6" s="247" t="s">
        <v>292</v>
      </c>
      <c r="AK6" s="247" t="s">
        <v>293</v>
      </c>
    </row>
    <row r="7" spans="1:37" s="160" customFormat="1" ht="15" customHeight="1">
      <c r="B7" s="797"/>
      <c r="C7" s="797"/>
      <c r="D7" s="797"/>
      <c r="E7" s="796"/>
      <c r="F7" s="797"/>
      <c r="G7" s="797"/>
      <c r="H7" s="796"/>
      <c r="I7" s="796"/>
      <c r="J7" s="330" t="s">
        <v>63</v>
      </c>
      <c r="K7" s="330" t="s">
        <v>64</v>
      </c>
      <c r="L7" s="330" t="s">
        <v>0</v>
      </c>
      <c r="M7" s="330" t="s">
        <v>294</v>
      </c>
      <c r="N7" s="330" t="s">
        <v>295</v>
      </c>
      <c r="O7" s="330" t="s">
        <v>0</v>
      </c>
      <c r="P7" s="162"/>
      <c r="Q7" s="794"/>
      <c r="R7" s="794"/>
      <c r="S7" s="794"/>
      <c r="T7" s="296" t="s">
        <v>294</v>
      </c>
      <c r="U7" s="296" t="s">
        <v>295</v>
      </c>
      <c r="V7" s="296" t="s">
        <v>296</v>
      </c>
      <c r="W7" s="296" t="s">
        <v>297</v>
      </c>
      <c r="X7" s="296" t="s">
        <v>63</v>
      </c>
      <c r="Y7" s="296" t="s">
        <v>298</v>
      </c>
      <c r="Z7" s="296" t="s">
        <v>296</v>
      </c>
      <c r="AA7" s="296" t="s">
        <v>299</v>
      </c>
      <c r="AC7" s="247" t="s">
        <v>149</v>
      </c>
      <c r="AD7" s="248">
        <f t="shared" ref="AD7:AD21" si="0">AF7*1000</f>
        <v>1</v>
      </c>
      <c r="AE7" s="248">
        <f>AF7*10</f>
        <v>0.01</v>
      </c>
      <c r="AF7" s="248">
        <f t="shared" ref="AF7:AF21" si="1">AG7*1000</f>
        <v>1E-3</v>
      </c>
      <c r="AG7" s="248">
        <v>9.9999999999999995E-7</v>
      </c>
      <c r="AH7" s="248">
        <f t="shared" ref="AH7:AH21" si="2">AJ7*1000</f>
        <v>1</v>
      </c>
      <c r="AI7" s="248">
        <f>AJ7*10</f>
        <v>0.01</v>
      </c>
      <c r="AJ7" s="248">
        <f t="shared" ref="AJ7:AJ21" si="3">AK7*1000</f>
        <v>1E-3</v>
      </c>
      <c r="AK7" s="248">
        <v>9.9999999999999995E-7</v>
      </c>
    </row>
    <row r="8" spans="1:37" s="160" customFormat="1" ht="15" customHeight="1">
      <c r="B8" s="797"/>
      <c r="C8" s="797"/>
      <c r="D8" s="797"/>
      <c r="E8" s="345" t="s">
        <v>445</v>
      </c>
      <c r="F8" s="345">
        <f>H8</f>
        <v>0</v>
      </c>
      <c r="G8" s="345">
        <f>C3</f>
        <v>0</v>
      </c>
      <c r="H8" s="345">
        <f>표준압력!C18</f>
        <v>0</v>
      </c>
      <c r="I8" s="345">
        <f>G8</f>
        <v>0</v>
      </c>
      <c r="J8" s="345">
        <f>I8</f>
        <v>0</v>
      </c>
      <c r="K8" s="345">
        <f t="shared" ref="K8:O8" si="4">J8</f>
        <v>0</v>
      </c>
      <c r="L8" s="345">
        <f t="shared" si="4"/>
        <v>0</v>
      </c>
      <c r="M8" s="345">
        <f t="shared" si="4"/>
        <v>0</v>
      </c>
      <c r="N8" s="345">
        <f t="shared" si="4"/>
        <v>0</v>
      </c>
      <c r="O8" s="345">
        <f t="shared" si="4"/>
        <v>0</v>
      </c>
      <c r="P8" s="162"/>
      <c r="Q8" s="795"/>
      <c r="R8" s="795"/>
      <c r="S8" s="795"/>
      <c r="T8" s="344">
        <f>O8</f>
        <v>0</v>
      </c>
      <c r="U8" s="344">
        <f>T8</f>
        <v>0</v>
      </c>
      <c r="V8" s="344">
        <f>U8</f>
        <v>0</v>
      </c>
      <c r="W8" s="344">
        <f>V8</f>
        <v>0</v>
      </c>
      <c r="X8" s="344">
        <f t="shared" ref="X8:AA8" si="5">W8</f>
        <v>0</v>
      </c>
      <c r="Y8" s="344">
        <f t="shared" si="5"/>
        <v>0</v>
      </c>
      <c r="Z8" s="344">
        <f t="shared" si="5"/>
        <v>0</v>
      </c>
      <c r="AA8" s="344">
        <f t="shared" si="5"/>
        <v>0</v>
      </c>
      <c r="AC8" s="247" t="s">
        <v>288</v>
      </c>
      <c r="AD8" s="248">
        <f t="shared" si="0"/>
        <v>100</v>
      </c>
      <c r="AE8" s="248">
        <f t="shared" ref="AE8:AE30" si="6">AF8*10</f>
        <v>1</v>
      </c>
      <c r="AF8" s="248">
        <f t="shared" si="1"/>
        <v>0.1</v>
      </c>
      <c r="AG8" s="248">
        <v>1E-4</v>
      </c>
      <c r="AH8" s="248">
        <f t="shared" si="2"/>
        <v>100</v>
      </c>
      <c r="AI8" s="248">
        <f t="shared" ref="AI8:AI30" si="7">AJ8*10</f>
        <v>1</v>
      </c>
      <c r="AJ8" s="248">
        <f t="shared" si="3"/>
        <v>0.1</v>
      </c>
      <c r="AK8" s="248">
        <v>1E-4</v>
      </c>
    </row>
    <row r="9" spans="1:37" s="160" customFormat="1" ht="15" customHeight="1">
      <c r="B9" s="166" t="b">
        <f>IF(Pressure_3_R1!A4="",FALSE,TRUE)</f>
        <v>0</v>
      </c>
      <c r="C9" s="190" t="b">
        <f>TYPE(Pressure_3_R1!R4)=1</f>
        <v>1</v>
      </c>
      <c r="D9" s="167">
        <v>1</v>
      </c>
      <c r="E9" s="284" t="str">
        <f>IF($B9=FALSE,"",IF(D$3="해수",1026,표준압력!AI18))</f>
        <v/>
      </c>
      <c r="F9" s="169" t="str">
        <f>IF($B9=FALSE,"",VALUE(Pressure_3_R1!B4))</f>
        <v/>
      </c>
      <c r="G9" s="284" t="str">
        <f t="shared" ref="G9:G38" si="8">IF($B9=FALSE,"",(F9*J$3)/(E9*E$3))</f>
        <v/>
      </c>
      <c r="H9" s="284" t="str">
        <f>IF($B9=FALSE,"",표준압력!G18)</f>
        <v/>
      </c>
      <c r="I9" s="284" t="str">
        <f t="shared" ref="I9:I38" si="9">IF($B9=FALSE,"",(H9*J$3)/(E9*E$3))</f>
        <v/>
      </c>
      <c r="J9" s="169" t="str">
        <f>IF($B9=FALSE,"",Pressure_3_R1!Q4)</f>
        <v/>
      </c>
      <c r="K9" s="285" t="str">
        <f>IF($B9=FALSE,"",Pressure_3_R1!R4)</f>
        <v/>
      </c>
      <c r="L9" s="285" t="str">
        <f>IF($B9=FALSE,"",Pressure_3_R1!S4)</f>
        <v/>
      </c>
      <c r="M9" s="169" t="str">
        <f>IF($B9=FALSE,"",J9)</f>
        <v/>
      </c>
      <c r="N9" s="285" t="str">
        <f>IF($B9=FALSE,"",IF(K9="ⅹ",M9,K9))</f>
        <v/>
      </c>
      <c r="O9" s="285" t="str">
        <f>IF($B9=FALSE,"",IF(L9="ⅹ",M9,L9))</f>
        <v/>
      </c>
      <c r="P9" s="162"/>
      <c r="Q9" s="168" t="b">
        <f t="shared" ref="Q9:Q38" si="10">IF($S9&gt;$B$3,FALSE,TRUE)</f>
        <v>0</v>
      </c>
      <c r="R9" s="369" t="s">
        <v>300</v>
      </c>
      <c r="S9" s="370">
        <v>1</v>
      </c>
      <c r="T9" s="224" t="str">
        <f t="shared" ref="T9:T23" ca="1" si="11">IF($Q9=FALSE,"",IF($R9="가압",M9,OFFSET(M$8,$B$3*2-($S9-1),0)))</f>
        <v/>
      </c>
      <c r="U9" s="224" t="str">
        <f t="shared" ref="U9:U38" ca="1" si="12">IF($Q9=FALSE,"",IF($R9="가압",N9,OFFSET(N$8,$B$3*2-($S9-1),0)))</f>
        <v/>
      </c>
      <c r="V9" s="224" t="str">
        <f t="shared" ref="V9:V38" ca="1" si="13">IF($Q9=FALSE,"",IF($R9="가압",O9,OFFSET(O$8,$B$3*2-($S9-1),0)))</f>
        <v/>
      </c>
      <c r="W9" s="374" t="str">
        <f t="shared" ref="W9:W38" si="14">IF($Q9=FALSE,"",AVERAGE(T9:V9))</f>
        <v/>
      </c>
      <c r="X9" s="373" t="str">
        <f t="shared" ref="X9:X23" si="15">IF($Q9=FALSE,"",T9-T$9)</f>
        <v/>
      </c>
      <c r="Y9" s="171" t="str">
        <f t="shared" ref="Y9:Y23" si="16">IF($Q9=FALSE,"",U9-U$9)</f>
        <v/>
      </c>
      <c r="Z9" s="171" t="str">
        <f t="shared" ref="Z9:Z23" si="17">IF($Q9=FALSE,"",V9-V$9)</f>
        <v/>
      </c>
      <c r="AA9" s="377" t="str">
        <f t="shared" ref="AA9:AA38" si="18">IF($Q9=FALSE,"",MAX(ABS(Y9-X9),ABS(Z9-X9),ABS(Z9-Y9)))</f>
        <v/>
      </c>
      <c r="AC9" s="247" t="s">
        <v>289</v>
      </c>
      <c r="AD9" s="248">
        <f t="shared" si="0"/>
        <v>1000</v>
      </c>
      <c r="AE9" s="248">
        <f t="shared" si="6"/>
        <v>10</v>
      </c>
      <c r="AF9" s="248">
        <f t="shared" si="1"/>
        <v>1</v>
      </c>
      <c r="AG9" s="248">
        <v>1E-3</v>
      </c>
      <c r="AH9" s="248">
        <f t="shared" si="2"/>
        <v>1000</v>
      </c>
      <c r="AI9" s="248">
        <f t="shared" si="7"/>
        <v>10</v>
      </c>
      <c r="AJ9" s="248">
        <f t="shared" si="3"/>
        <v>1</v>
      </c>
      <c r="AK9" s="248">
        <v>1E-3</v>
      </c>
    </row>
    <row r="10" spans="1:37" s="160" customFormat="1" ht="15" customHeight="1">
      <c r="B10" s="166" t="b">
        <f>IF(Pressure_3_R1!A5="",FALSE,TRUE)</f>
        <v>0</v>
      </c>
      <c r="C10" s="190" t="b">
        <f>TYPE(Pressure_3_R1!R5)=1</f>
        <v>1</v>
      </c>
      <c r="D10" s="167">
        <v>2</v>
      </c>
      <c r="E10" s="284" t="str">
        <f>IF($B10=FALSE,"",IF(D$3="해수",1026,표준압력!AI19))</f>
        <v/>
      </c>
      <c r="F10" s="169" t="str">
        <f>IF($B10=FALSE,"",VALUE(Pressure_3_R1!B5))</f>
        <v/>
      </c>
      <c r="G10" s="284" t="str">
        <f t="shared" si="8"/>
        <v/>
      </c>
      <c r="H10" s="284" t="str">
        <f>IF($B10=FALSE,"",표준압력!G19)</f>
        <v/>
      </c>
      <c r="I10" s="284" t="str">
        <f t="shared" si="9"/>
        <v/>
      </c>
      <c r="J10" s="169" t="str">
        <f>IF($B10=FALSE,"",Pressure_3_R1!Q5)</f>
        <v/>
      </c>
      <c r="K10" s="285" t="str">
        <f>IF($B10=FALSE,"",Pressure_3_R1!R5)</f>
        <v/>
      </c>
      <c r="L10" s="285" t="str">
        <f>IF($B10=FALSE,"",Pressure_3_R1!S5)</f>
        <v/>
      </c>
      <c r="M10" s="169" t="str">
        <f t="shared" ref="M10:M38" si="19">IF($B10=FALSE,"",J10)</f>
        <v/>
      </c>
      <c r="N10" s="285" t="str">
        <f t="shared" ref="N10:N38" si="20">IF($B10=FALSE,"",IF(K10="ⅹ",M10,K10))</f>
        <v/>
      </c>
      <c r="O10" s="285" t="str">
        <f t="shared" ref="O10:O38" si="21">IF($B10=FALSE,"",IF(L10="ⅹ",M10,L10))</f>
        <v/>
      </c>
      <c r="P10" s="162"/>
      <c r="Q10" s="168" t="b">
        <f t="shared" si="10"/>
        <v>0</v>
      </c>
      <c r="R10" s="369" t="s">
        <v>1013</v>
      </c>
      <c r="S10" s="370">
        <v>2</v>
      </c>
      <c r="T10" s="224" t="str">
        <f t="shared" ca="1" si="11"/>
        <v/>
      </c>
      <c r="U10" s="224" t="str">
        <f t="shared" ca="1" si="12"/>
        <v/>
      </c>
      <c r="V10" s="224" t="str">
        <f t="shared" ca="1" si="13"/>
        <v/>
      </c>
      <c r="W10" s="374" t="str">
        <f t="shared" si="14"/>
        <v/>
      </c>
      <c r="X10" s="373" t="str">
        <f t="shared" si="15"/>
        <v/>
      </c>
      <c r="Y10" s="171" t="str">
        <f t="shared" si="16"/>
        <v/>
      </c>
      <c r="Z10" s="171" t="str">
        <f t="shared" si="17"/>
        <v/>
      </c>
      <c r="AA10" s="377" t="str">
        <f t="shared" si="18"/>
        <v/>
      </c>
      <c r="AC10" s="247" t="s">
        <v>151</v>
      </c>
      <c r="AD10" s="248">
        <f t="shared" si="0"/>
        <v>1000000</v>
      </c>
      <c r="AE10" s="248">
        <f t="shared" si="6"/>
        <v>10000</v>
      </c>
      <c r="AF10" s="248">
        <f t="shared" si="1"/>
        <v>1000</v>
      </c>
      <c r="AG10" s="248">
        <v>1</v>
      </c>
      <c r="AH10" s="248">
        <f t="shared" si="2"/>
        <v>1000000</v>
      </c>
      <c r="AI10" s="248">
        <f t="shared" si="7"/>
        <v>10000</v>
      </c>
      <c r="AJ10" s="248">
        <f t="shared" si="3"/>
        <v>1000</v>
      </c>
      <c r="AK10" s="248">
        <v>1</v>
      </c>
    </row>
    <row r="11" spans="1:37" s="160" customFormat="1" ht="15" customHeight="1">
      <c r="B11" s="166" t="b">
        <f>IF(Pressure_3_R1!A6="",FALSE,TRUE)</f>
        <v>0</v>
      </c>
      <c r="C11" s="190" t="b">
        <f>TYPE(Pressure_3_R1!R6)=1</f>
        <v>1</v>
      </c>
      <c r="D11" s="167">
        <v>3</v>
      </c>
      <c r="E11" s="284" t="str">
        <f>IF($B11=FALSE,"",IF(D$3="해수",1026,표준압력!AI20))</f>
        <v/>
      </c>
      <c r="F11" s="169" t="str">
        <f>IF($B11=FALSE,"",VALUE(Pressure_3_R1!B6))</f>
        <v/>
      </c>
      <c r="G11" s="284" t="str">
        <f t="shared" si="8"/>
        <v/>
      </c>
      <c r="H11" s="284" t="str">
        <f>IF($B11=FALSE,"",표준압력!G20)</f>
        <v/>
      </c>
      <c r="I11" s="284" t="str">
        <f t="shared" si="9"/>
        <v/>
      </c>
      <c r="J11" s="169" t="str">
        <f>IF($B11=FALSE,"",Pressure_3_R1!Q6)</f>
        <v/>
      </c>
      <c r="K11" s="285" t="str">
        <f>IF($B11=FALSE,"",Pressure_3_R1!R6)</f>
        <v/>
      </c>
      <c r="L11" s="285" t="str">
        <f>IF($B11=FALSE,"",Pressure_3_R1!S6)</f>
        <v/>
      </c>
      <c r="M11" s="169" t="str">
        <f t="shared" si="19"/>
        <v/>
      </c>
      <c r="N11" s="285" t="str">
        <f t="shared" si="20"/>
        <v/>
      </c>
      <c r="O11" s="285" t="str">
        <f t="shared" si="21"/>
        <v/>
      </c>
      <c r="P11" s="162"/>
      <c r="Q11" s="168" t="b">
        <f t="shared" si="10"/>
        <v>0</v>
      </c>
      <c r="R11" s="369" t="s">
        <v>300</v>
      </c>
      <c r="S11" s="370">
        <v>3</v>
      </c>
      <c r="T11" s="224" t="str">
        <f t="shared" ca="1" si="11"/>
        <v/>
      </c>
      <c r="U11" s="224" t="str">
        <f t="shared" ca="1" si="12"/>
        <v/>
      </c>
      <c r="V11" s="224" t="str">
        <f t="shared" ca="1" si="13"/>
        <v/>
      </c>
      <c r="W11" s="374" t="str">
        <f t="shared" si="14"/>
        <v/>
      </c>
      <c r="X11" s="373" t="str">
        <f t="shared" si="15"/>
        <v/>
      </c>
      <c r="Y11" s="171" t="str">
        <f t="shared" si="16"/>
        <v/>
      </c>
      <c r="Z11" s="171" t="str">
        <f t="shared" si="17"/>
        <v/>
      </c>
      <c r="AA11" s="377" t="str">
        <f t="shared" si="18"/>
        <v/>
      </c>
      <c r="AC11" s="247" t="s">
        <v>301</v>
      </c>
      <c r="AD11" s="248">
        <f t="shared" si="0"/>
        <v>100</v>
      </c>
      <c r="AE11" s="248">
        <f t="shared" si="6"/>
        <v>1</v>
      </c>
      <c r="AF11" s="248">
        <f t="shared" si="1"/>
        <v>0.1</v>
      </c>
      <c r="AG11" s="248">
        <v>1E-4</v>
      </c>
      <c r="AH11" s="248">
        <f t="shared" si="2"/>
        <v>100</v>
      </c>
      <c r="AI11" s="248">
        <f t="shared" si="7"/>
        <v>1</v>
      </c>
      <c r="AJ11" s="248">
        <f t="shared" si="3"/>
        <v>0.1</v>
      </c>
      <c r="AK11" s="248">
        <v>1E-4</v>
      </c>
    </row>
    <row r="12" spans="1:37" s="160" customFormat="1" ht="15" customHeight="1">
      <c r="B12" s="166" t="b">
        <f>IF(Pressure_3_R1!A7="",FALSE,TRUE)</f>
        <v>0</v>
      </c>
      <c r="C12" s="190" t="b">
        <f>TYPE(Pressure_3_R1!R7)=1</f>
        <v>1</v>
      </c>
      <c r="D12" s="167">
        <v>4</v>
      </c>
      <c r="E12" s="284" t="str">
        <f>IF($B12=FALSE,"",IF(D$3="해수",1026,표준압력!AI21))</f>
        <v/>
      </c>
      <c r="F12" s="169" t="str">
        <f>IF($B12=FALSE,"",VALUE(Pressure_3_R1!B7))</f>
        <v/>
      </c>
      <c r="G12" s="284" t="str">
        <f t="shared" si="8"/>
        <v/>
      </c>
      <c r="H12" s="284" t="str">
        <f>IF($B12=FALSE,"",표준압력!G21)</f>
        <v/>
      </c>
      <c r="I12" s="284" t="str">
        <f t="shared" si="9"/>
        <v/>
      </c>
      <c r="J12" s="169" t="str">
        <f>IF($B12=FALSE,"",Pressure_3_R1!Q7)</f>
        <v/>
      </c>
      <c r="K12" s="285" t="str">
        <f>IF($B12=FALSE,"",Pressure_3_R1!R7)</f>
        <v/>
      </c>
      <c r="L12" s="285" t="str">
        <f>IF($B12=FALSE,"",Pressure_3_R1!S7)</f>
        <v/>
      </c>
      <c r="M12" s="169" t="str">
        <f t="shared" si="19"/>
        <v/>
      </c>
      <c r="N12" s="285" t="str">
        <f t="shared" si="20"/>
        <v/>
      </c>
      <c r="O12" s="285" t="str">
        <f t="shared" si="21"/>
        <v/>
      </c>
      <c r="P12" s="162"/>
      <c r="Q12" s="168" t="b">
        <f t="shared" si="10"/>
        <v>0</v>
      </c>
      <c r="R12" s="369" t="s">
        <v>300</v>
      </c>
      <c r="S12" s="370">
        <v>4</v>
      </c>
      <c r="T12" s="224" t="str">
        <f t="shared" ca="1" si="11"/>
        <v/>
      </c>
      <c r="U12" s="224" t="str">
        <f t="shared" ca="1" si="12"/>
        <v/>
      </c>
      <c r="V12" s="224" t="str">
        <f t="shared" ca="1" si="13"/>
        <v/>
      </c>
      <c r="W12" s="374" t="str">
        <f t="shared" si="14"/>
        <v/>
      </c>
      <c r="X12" s="373" t="str">
        <f t="shared" si="15"/>
        <v/>
      </c>
      <c r="Y12" s="171" t="str">
        <f t="shared" si="16"/>
        <v/>
      </c>
      <c r="Z12" s="171" t="str">
        <f t="shared" si="17"/>
        <v/>
      </c>
      <c r="AA12" s="377" t="str">
        <f t="shared" si="18"/>
        <v/>
      </c>
      <c r="AC12" s="247" t="s">
        <v>302</v>
      </c>
      <c r="AD12" s="248">
        <f t="shared" si="0"/>
        <v>100000</v>
      </c>
      <c r="AE12" s="248">
        <f t="shared" si="6"/>
        <v>1000</v>
      </c>
      <c r="AF12" s="248">
        <f t="shared" si="1"/>
        <v>100</v>
      </c>
      <c r="AG12" s="248">
        <v>0.1</v>
      </c>
      <c r="AH12" s="248">
        <f t="shared" si="2"/>
        <v>100000</v>
      </c>
      <c r="AI12" s="248">
        <f t="shared" si="7"/>
        <v>1000</v>
      </c>
      <c r="AJ12" s="248">
        <f t="shared" si="3"/>
        <v>100</v>
      </c>
      <c r="AK12" s="248">
        <v>0.1</v>
      </c>
    </row>
    <row r="13" spans="1:37" s="160" customFormat="1" ht="15" customHeight="1">
      <c r="B13" s="166" t="b">
        <f>IF(Pressure_3_R1!A8="",FALSE,TRUE)</f>
        <v>0</v>
      </c>
      <c r="C13" s="190" t="b">
        <f>TYPE(Pressure_3_R1!R8)=1</f>
        <v>1</v>
      </c>
      <c r="D13" s="167">
        <v>5</v>
      </c>
      <c r="E13" s="284" t="str">
        <f>IF($B13=FALSE,"",IF(D$3="해수",1026,표준압력!AI22))</f>
        <v/>
      </c>
      <c r="F13" s="169" t="str">
        <f>IF($B13=FALSE,"",VALUE(Pressure_3_R1!B8))</f>
        <v/>
      </c>
      <c r="G13" s="284" t="str">
        <f t="shared" si="8"/>
        <v/>
      </c>
      <c r="H13" s="284" t="str">
        <f>IF($B13=FALSE,"",표준압력!G22)</f>
        <v/>
      </c>
      <c r="I13" s="284" t="str">
        <f t="shared" si="9"/>
        <v/>
      </c>
      <c r="J13" s="169" t="str">
        <f>IF($B13=FALSE,"",Pressure_3_R1!Q8)</f>
        <v/>
      </c>
      <c r="K13" s="285" t="str">
        <f>IF($B13=FALSE,"",Pressure_3_R1!R8)</f>
        <v/>
      </c>
      <c r="L13" s="285" t="str">
        <f>IF($B13=FALSE,"",Pressure_3_R1!S8)</f>
        <v/>
      </c>
      <c r="M13" s="169" t="str">
        <f t="shared" si="19"/>
        <v/>
      </c>
      <c r="N13" s="285" t="str">
        <f t="shared" si="20"/>
        <v/>
      </c>
      <c r="O13" s="285" t="str">
        <f t="shared" si="21"/>
        <v/>
      </c>
      <c r="P13" s="162"/>
      <c r="Q13" s="168" t="b">
        <f t="shared" si="10"/>
        <v>0</v>
      </c>
      <c r="R13" s="369" t="s">
        <v>1013</v>
      </c>
      <c r="S13" s="370">
        <v>5</v>
      </c>
      <c r="T13" s="224" t="str">
        <f t="shared" ca="1" si="11"/>
        <v/>
      </c>
      <c r="U13" s="224" t="str">
        <f t="shared" ca="1" si="12"/>
        <v/>
      </c>
      <c r="V13" s="224" t="str">
        <f t="shared" ca="1" si="13"/>
        <v/>
      </c>
      <c r="W13" s="374" t="str">
        <f t="shared" si="14"/>
        <v/>
      </c>
      <c r="X13" s="373" t="str">
        <f t="shared" si="15"/>
        <v/>
      </c>
      <c r="Y13" s="171" t="str">
        <f t="shared" si="16"/>
        <v/>
      </c>
      <c r="Z13" s="171" t="str">
        <f t="shared" si="17"/>
        <v/>
      </c>
      <c r="AA13" s="377" t="str">
        <f t="shared" si="18"/>
        <v/>
      </c>
      <c r="AC13" s="247" t="s">
        <v>303</v>
      </c>
      <c r="AD13" s="248">
        <f t="shared" si="0"/>
        <v>6894.7569999999996</v>
      </c>
      <c r="AE13" s="248">
        <f t="shared" si="6"/>
        <v>68.947569999999999</v>
      </c>
      <c r="AF13" s="248">
        <f t="shared" si="1"/>
        <v>6.8947569999999994</v>
      </c>
      <c r="AG13" s="248">
        <v>6.8947569999999996E-3</v>
      </c>
      <c r="AH13" s="248">
        <f t="shared" si="2"/>
        <v>6894.7569999999996</v>
      </c>
      <c r="AI13" s="248">
        <f t="shared" si="7"/>
        <v>68.947569999999999</v>
      </c>
      <c r="AJ13" s="248">
        <f t="shared" si="3"/>
        <v>6.8947569999999994</v>
      </c>
      <c r="AK13" s="248">
        <v>6.8947569999999996E-3</v>
      </c>
    </row>
    <row r="14" spans="1:37" s="160" customFormat="1" ht="15" customHeight="1">
      <c r="B14" s="166" t="b">
        <f>IF(Pressure_3_R1!A9="",FALSE,TRUE)</f>
        <v>0</v>
      </c>
      <c r="C14" s="190" t="b">
        <f>TYPE(Pressure_3_R1!R9)=1</f>
        <v>1</v>
      </c>
      <c r="D14" s="167">
        <v>6</v>
      </c>
      <c r="E14" s="284" t="str">
        <f>IF($B14=FALSE,"",IF(D$3="해수",1026,표준압력!AI23))</f>
        <v/>
      </c>
      <c r="F14" s="169" t="str">
        <f>IF($B14=FALSE,"",VALUE(Pressure_3_R1!B9))</f>
        <v/>
      </c>
      <c r="G14" s="284" t="str">
        <f t="shared" si="8"/>
        <v/>
      </c>
      <c r="H14" s="284" t="str">
        <f>IF($B14=FALSE,"",표준압력!G23)</f>
        <v/>
      </c>
      <c r="I14" s="284" t="str">
        <f t="shared" si="9"/>
        <v/>
      </c>
      <c r="J14" s="169" t="str">
        <f>IF($B14=FALSE,"",Pressure_3_R1!Q9)</f>
        <v/>
      </c>
      <c r="K14" s="285" t="str">
        <f>IF($B14=FALSE,"",Pressure_3_R1!R9)</f>
        <v/>
      </c>
      <c r="L14" s="285" t="str">
        <f>IF($B14=FALSE,"",Pressure_3_R1!S9)</f>
        <v/>
      </c>
      <c r="M14" s="169" t="str">
        <f t="shared" si="19"/>
        <v/>
      </c>
      <c r="N14" s="285" t="str">
        <f t="shared" si="20"/>
        <v/>
      </c>
      <c r="O14" s="285" t="str">
        <f t="shared" si="21"/>
        <v/>
      </c>
      <c r="P14" s="162"/>
      <c r="Q14" s="168" t="b">
        <f t="shared" si="10"/>
        <v>0</v>
      </c>
      <c r="R14" s="369" t="s">
        <v>1013</v>
      </c>
      <c r="S14" s="370">
        <v>6</v>
      </c>
      <c r="T14" s="224" t="str">
        <f t="shared" ca="1" si="11"/>
        <v/>
      </c>
      <c r="U14" s="224" t="str">
        <f t="shared" ca="1" si="12"/>
        <v/>
      </c>
      <c r="V14" s="224" t="str">
        <f t="shared" ca="1" si="13"/>
        <v/>
      </c>
      <c r="W14" s="374" t="str">
        <f t="shared" si="14"/>
        <v/>
      </c>
      <c r="X14" s="373" t="str">
        <f t="shared" si="15"/>
        <v/>
      </c>
      <c r="Y14" s="171" t="str">
        <f t="shared" si="16"/>
        <v/>
      </c>
      <c r="Z14" s="171" t="str">
        <f t="shared" si="17"/>
        <v/>
      </c>
      <c r="AA14" s="377" t="str">
        <f t="shared" si="18"/>
        <v/>
      </c>
      <c r="AC14" s="247" t="s">
        <v>165</v>
      </c>
      <c r="AD14" s="248">
        <f t="shared" si="0"/>
        <v>98066.5</v>
      </c>
      <c r="AE14" s="248">
        <f t="shared" si="6"/>
        <v>980.66500000000008</v>
      </c>
      <c r="AF14" s="248">
        <f t="shared" si="1"/>
        <v>98.066500000000005</v>
      </c>
      <c r="AG14" s="248">
        <v>9.8066500000000001E-2</v>
      </c>
      <c r="AH14" s="248">
        <f t="shared" si="2"/>
        <v>98066.5</v>
      </c>
      <c r="AI14" s="248">
        <f t="shared" si="7"/>
        <v>980.66500000000008</v>
      </c>
      <c r="AJ14" s="248">
        <f t="shared" si="3"/>
        <v>98.066500000000005</v>
      </c>
      <c r="AK14" s="248">
        <v>9.8066500000000001E-2</v>
      </c>
    </row>
    <row r="15" spans="1:37" s="160" customFormat="1" ht="15" customHeight="1">
      <c r="B15" s="166" t="b">
        <f>IF(Pressure_3_R1!A10="",FALSE,TRUE)</f>
        <v>0</v>
      </c>
      <c r="C15" s="190" t="b">
        <f>TYPE(Pressure_3_R1!R10)=1</f>
        <v>1</v>
      </c>
      <c r="D15" s="167">
        <v>7</v>
      </c>
      <c r="E15" s="284" t="str">
        <f>IF($B15=FALSE,"",IF(D$3="해수",1026,표준압력!AI24))</f>
        <v/>
      </c>
      <c r="F15" s="169" t="str">
        <f>IF($B15=FALSE,"",VALUE(Pressure_3_R1!B10))</f>
        <v/>
      </c>
      <c r="G15" s="284" t="str">
        <f t="shared" si="8"/>
        <v/>
      </c>
      <c r="H15" s="284" t="str">
        <f>IF($B15=FALSE,"",표준압력!G24)</f>
        <v/>
      </c>
      <c r="I15" s="284" t="str">
        <f t="shared" si="9"/>
        <v/>
      </c>
      <c r="J15" s="169" t="str">
        <f>IF($B15=FALSE,"",Pressure_3_R1!Q10)</f>
        <v/>
      </c>
      <c r="K15" s="285" t="str">
        <f>IF($B15=FALSE,"",Pressure_3_R1!R10)</f>
        <v/>
      </c>
      <c r="L15" s="285" t="str">
        <f>IF($B15=FALSE,"",Pressure_3_R1!S10)</f>
        <v/>
      </c>
      <c r="M15" s="169" t="str">
        <f t="shared" si="19"/>
        <v/>
      </c>
      <c r="N15" s="285" t="str">
        <f t="shared" si="20"/>
        <v/>
      </c>
      <c r="O15" s="285" t="str">
        <f t="shared" si="21"/>
        <v/>
      </c>
      <c r="P15" s="162"/>
      <c r="Q15" s="168" t="b">
        <f t="shared" si="10"/>
        <v>0</v>
      </c>
      <c r="R15" s="369" t="s">
        <v>300</v>
      </c>
      <c r="S15" s="370">
        <v>7</v>
      </c>
      <c r="T15" s="224" t="str">
        <f t="shared" ca="1" si="11"/>
        <v/>
      </c>
      <c r="U15" s="224" t="str">
        <f t="shared" ca="1" si="12"/>
        <v/>
      </c>
      <c r="V15" s="224" t="str">
        <f t="shared" ca="1" si="13"/>
        <v/>
      </c>
      <c r="W15" s="374" t="str">
        <f t="shared" si="14"/>
        <v/>
      </c>
      <c r="X15" s="373" t="str">
        <f t="shared" si="15"/>
        <v/>
      </c>
      <c r="Y15" s="171" t="str">
        <f t="shared" si="16"/>
        <v/>
      </c>
      <c r="Z15" s="171" t="str">
        <f t="shared" si="17"/>
        <v/>
      </c>
      <c r="AA15" s="377" t="str">
        <f t="shared" si="18"/>
        <v/>
      </c>
      <c r="AC15" s="247" t="s">
        <v>101</v>
      </c>
      <c r="AD15" s="248">
        <f t="shared" si="0"/>
        <v>9.8066499999999994</v>
      </c>
      <c r="AE15" s="248">
        <f t="shared" si="6"/>
        <v>9.8066500000000001E-2</v>
      </c>
      <c r="AF15" s="248">
        <f t="shared" si="1"/>
        <v>9.8066500000000001E-3</v>
      </c>
      <c r="AG15" s="307">
        <v>9.8066500000000004E-6</v>
      </c>
      <c r="AH15" s="248">
        <f t="shared" si="2"/>
        <v>9.8066499999999994</v>
      </c>
      <c r="AI15" s="248">
        <f t="shared" si="7"/>
        <v>9.8066500000000001E-2</v>
      </c>
      <c r="AJ15" s="248">
        <f t="shared" si="3"/>
        <v>9.8066500000000001E-3</v>
      </c>
      <c r="AK15" s="307">
        <v>9.8066500000000004E-6</v>
      </c>
    </row>
    <row r="16" spans="1:37" s="160" customFormat="1" ht="15" customHeight="1">
      <c r="B16" s="166" t="b">
        <f>IF(Pressure_3_R1!A11="",FALSE,TRUE)</f>
        <v>0</v>
      </c>
      <c r="C16" s="190" t="b">
        <f>TYPE(Pressure_3_R1!R11)=1</f>
        <v>1</v>
      </c>
      <c r="D16" s="167">
        <v>8</v>
      </c>
      <c r="E16" s="284" t="str">
        <f>IF($B16=FALSE,"",IF(D$3="해수",1026,표준압력!AI25))</f>
        <v/>
      </c>
      <c r="F16" s="169" t="str">
        <f>IF($B16=FALSE,"",VALUE(Pressure_3_R1!B11))</f>
        <v/>
      </c>
      <c r="G16" s="284" t="str">
        <f t="shared" si="8"/>
        <v/>
      </c>
      <c r="H16" s="284" t="str">
        <f>IF($B16=FALSE,"",표준압력!G25)</f>
        <v/>
      </c>
      <c r="I16" s="284" t="str">
        <f t="shared" si="9"/>
        <v/>
      </c>
      <c r="J16" s="169" t="str">
        <f>IF($B16=FALSE,"",Pressure_3_R1!Q11)</f>
        <v/>
      </c>
      <c r="K16" s="285" t="str">
        <f>IF($B16=FALSE,"",Pressure_3_R1!R11)</f>
        <v/>
      </c>
      <c r="L16" s="285" t="str">
        <f>IF($B16=FALSE,"",Pressure_3_R1!S11)</f>
        <v/>
      </c>
      <c r="M16" s="169" t="str">
        <f t="shared" si="19"/>
        <v/>
      </c>
      <c r="N16" s="285" t="str">
        <f t="shared" si="20"/>
        <v/>
      </c>
      <c r="O16" s="285" t="str">
        <f t="shared" si="21"/>
        <v/>
      </c>
      <c r="P16" s="162"/>
      <c r="Q16" s="168" t="b">
        <f t="shared" si="10"/>
        <v>0</v>
      </c>
      <c r="R16" s="369" t="s">
        <v>300</v>
      </c>
      <c r="S16" s="370">
        <v>8</v>
      </c>
      <c r="T16" s="224" t="str">
        <f t="shared" ca="1" si="11"/>
        <v/>
      </c>
      <c r="U16" s="224" t="str">
        <f t="shared" ca="1" si="12"/>
        <v/>
      </c>
      <c r="V16" s="224" t="str">
        <f t="shared" ca="1" si="13"/>
        <v/>
      </c>
      <c r="W16" s="374" t="str">
        <f t="shared" si="14"/>
        <v/>
      </c>
      <c r="X16" s="373" t="str">
        <f t="shared" si="15"/>
        <v/>
      </c>
      <c r="Y16" s="171" t="str">
        <f t="shared" si="16"/>
        <v/>
      </c>
      <c r="Z16" s="171" t="str">
        <f t="shared" si="17"/>
        <v/>
      </c>
      <c r="AA16" s="377" t="str">
        <f t="shared" si="18"/>
        <v/>
      </c>
      <c r="AC16" s="247" t="s">
        <v>166</v>
      </c>
      <c r="AD16" s="248">
        <f t="shared" si="0"/>
        <v>3386.3889999999997</v>
      </c>
      <c r="AE16" s="248">
        <f t="shared" si="6"/>
        <v>33.863889999999998</v>
      </c>
      <c r="AF16" s="248">
        <f t="shared" si="1"/>
        <v>3.3863889999999999</v>
      </c>
      <c r="AG16" s="248">
        <v>3.3863890000000001E-3</v>
      </c>
      <c r="AH16" s="248">
        <f t="shared" si="2"/>
        <v>3386.3889999999997</v>
      </c>
      <c r="AI16" s="248">
        <f t="shared" si="7"/>
        <v>33.863889999999998</v>
      </c>
      <c r="AJ16" s="248">
        <f t="shared" si="3"/>
        <v>3.3863889999999999</v>
      </c>
      <c r="AK16" s="248">
        <v>3.3863890000000001E-3</v>
      </c>
    </row>
    <row r="17" spans="2:37" s="160" customFormat="1" ht="15" customHeight="1">
      <c r="B17" s="166" t="b">
        <f>IF(Pressure_3_R1!A12="",FALSE,TRUE)</f>
        <v>0</v>
      </c>
      <c r="C17" s="190" t="b">
        <f>TYPE(Pressure_3_R1!R12)=1</f>
        <v>1</v>
      </c>
      <c r="D17" s="167">
        <v>9</v>
      </c>
      <c r="E17" s="284" t="str">
        <f>IF($B17=FALSE,"",IF(D$3="해수",1026,표준압력!AI26))</f>
        <v/>
      </c>
      <c r="F17" s="169" t="str">
        <f>IF($B17=FALSE,"",VALUE(Pressure_3_R1!B12))</f>
        <v/>
      </c>
      <c r="G17" s="284" t="str">
        <f t="shared" si="8"/>
        <v/>
      </c>
      <c r="H17" s="284" t="str">
        <f>IF($B17=FALSE,"",표준압력!G26)</f>
        <v/>
      </c>
      <c r="I17" s="284" t="str">
        <f t="shared" si="9"/>
        <v/>
      </c>
      <c r="J17" s="169" t="str">
        <f>IF($B17=FALSE,"",Pressure_3_R1!Q12)</f>
        <v/>
      </c>
      <c r="K17" s="285" t="str">
        <f>IF($B17=FALSE,"",Pressure_3_R1!R12)</f>
        <v/>
      </c>
      <c r="L17" s="285" t="str">
        <f>IF($B17=FALSE,"",Pressure_3_R1!S12)</f>
        <v/>
      </c>
      <c r="M17" s="169" t="str">
        <f t="shared" si="19"/>
        <v/>
      </c>
      <c r="N17" s="285" t="str">
        <f t="shared" si="20"/>
        <v/>
      </c>
      <c r="O17" s="285" t="str">
        <f t="shared" si="21"/>
        <v/>
      </c>
      <c r="P17" s="162"/>
      <c r="Q17" s="168" t="b">
        <f t="shared" si="10"/>
        <v>0</v>
      </c>
      <c r="R17" s="369" t="s">
        <v>1013</v>
      </c>
      <c r="S17" s="370">
        <v>9</v>
      </c>
      <c r="T17" s="224" t="str">
        <f t="shared" ca="1" si="11"/>
        <v/>
      </c>
      <c r="U17" s="224" t="str">
        <f t="shared" ca="1" si="12"/>
        <v/>
      </c>
      <c r="V17" s="224" t="str">
        <f t="shared" ca="1" si="13"/>
        <v/>
      </c>
      <c r="W17" s="374" t="str">
        <f t="shared" si="14"/>
        <v/>
      </c>
      <c r="X17" s="373" t="str">
        <f t="shared" si="15"/>
        <v/>
      </c>
      <c r="Y17" s="171" t="str">
        <f t="shared" si="16"/>
        <v/>
      </c>
      <c r="Z17" s="171" t="str">
        <f t="shared" si="17"/>
        <v/>
      </c>
      <c r="AA17" s="377" t="str">
        <f t="shared" si="18"/>
        <v/>
      </c>
      <c r="AC17" s="247" t="s">
        <v>167</v>
      </c>
      <c r="AD17" s="248">
        <f t="shared" si="0"/>
        <v>133.32240000000002</v>
      </c>
      <c r="AE17" s="248">
        <f t="shared" si="6"/>
        <v>1.333224</v>
      </c>
      <c r="AF17" s="248">
        <f t="shared" si="1"/>
        <v>0.13332240000000001</v>
      </c>
      <c r="AG17" s="248">
        <v>1.3332240000000001E-4</v>
      </c>
      <c r="AH17" s="248">
        <f t="shared" si="2"/>
        <v>133.32240000000002</v>
      </c>
      <c r="AI17" s="248">
        <f t="shared" si="7"/>
        <v>1.333224</v>
      </c>
      <c r="AJ17" s="248">
        <f t="shared" si="3"/>
        <v>0.13332240000000001</v>
      </c>
      <c r="AK17" s="248">
        <v>1.3332240000000001E-4</v>
      </c>
    </row>
    <row r="18" spans="2:37" s="160" customFormat="1" ht="15" customHeight="1">
      <c r="B18" s="166" t="b">
        <f>IF(Pressure_3_R1!A13="",FALSE,TRUE)</f>
        <v>0</v>
      </c>
      <c r="C18" s="190" t="b">
        <f>TYPE(Pressure_3_R1!R13)=1</f>
        <v>1</v>
      </c>
      <c r="D18" s="167">
        <v>10</v>
      </c>
      <c r="E18" s="284" t="str">
        <f>IF($B18=FALSE,"",IF(D$3="해수",1026,표준압력!AI27))</f>
        <v/>
      </c>
      <c r="F18" s="169" t="str">
        <f>IF($B18=FALSE,"",VALUE(Pressure_3_R1!B13))</f>
        <v/>
      </c>
      <c r="G18" s="284" t="str">
        <f t="shared" si="8"/>
        <v/>
      </c>
      <c r="H18" s="284" t="str">
        <f>IF($B18=FALSE,"",표준압력!G27)</f>
        <v/>
      </c>
      <c r="I18" s="284" t="str">
        <f t="shared" si="9"/>
        <v/>
      </c>
      <c r="J18" s="169" t="str">
        <f>IF($B18=FALSE,"",Pressure_3_R1!Q13)</f>
        <v/>
      </c>
      <c r="K18" s="285" t="str">
        <f>IF($B18=FALSE,"",Pressure_3_R1!R13)</f>
        <v/>
      </c>
      <c r="L18" s="285" t="str">
        <f>IF($B18=FALSE,"",Pressure_3_R1!S13)</f>
        <v/>
      </c>
      <c r="M18" s="169" t="str">
        <f t="shared" si="19"/>
        <v/>
      </c>
      <c r="N18" s="285" t="str">
        <f t="shared" si="20"/>
        <v/>
      </c>
      <c r="O18" s="285" t="str">
        <f t="shared" si="21"/>
        <v/>
      </c>
      <c r="P18" s="162"/>
      <c r="Q18" s="168" t="b">
        <f t="shared" si="10"/>
        <v>0</v>
      </c>
      <c r="R18" s="369" t="s">
        <v>1013</v>
      </c>
      <c r="S18" s="370">
        <v>10</v>
      </c>
      <c r="T18" s="224" t="str">
        <f t="shared" ca="1" si="11"/>
        <v/>
      </c>
      <c r="U18" s="224" t="str">
        <f t="shared" ca="1" si="12"/>
        <v/>
      </c>
      <c r="V18" s="224" t="str">
        <f t="shared" ca="1" si="13"/>
        <v/>
      </c>
      <c r="W18" s="374" t="str">
        <f t="shared" si="14"/>
        <v/>
      </c>
      <c r="X18" s="373" t="str">
        <f t="shared" si="15"/>
        <v/>
      </c>
      <c r="Y18" s="171" t="str">
        <f t="shared" si="16"/>
        <v/>
      </c>
      <c r="Z18" s="171" t="str">
        <f t="shared" si="17"/>
        <v/>
      </c>
      <c r="AA18" s="377" t="str">
        <f t="shared" si="18"/>
        <v/>
      </c>
      <c r="AC18" s="247" t="s">
        <v>304</v>
      </c>
      <c r="AD18" s="248">
        <f t="shared" si="0"/>
        <v>1333.2239999999999</v>
      </c>
      <c r="AE18" s="248">
        <f t="shared" si="6"/>
        <v>13.332239999999999</v>
      </c>
      <c r="AF18" s="248">
        <f t="shared" si="1"/>
        <v>1.333224</v>
      </c>
      <c r="AG18" s="248">
        <v>1.333224E-3</v>
      </c>
      <c r="AH18" s="248">
        <f t="shared" si="2"/>
        <v>1333.2239999999999</v>
      </c>
      <c r="AI18" s="248">
        <f t="shared" si="7"/>
        <v>13.332239999999999</v>
      </c>
      <c r="AJ18" s="248">
        <f t="shared" si="3"/>
        <v>1.333224</v>
      </c>
      <c r="AK18" s="248">
        <v>1.333224E-3</v>
      </c>
    </row>
    <row r="19" spans="2:37" s="160" customFormat="1" ht="15" customHeight="1">
      <c r="B19" s="166" t="b">
        <f>IF(Pressure_3_R1!A14="",FALSE,TRUE)</f>
        <v>0</v>
      </c>
      <c r="C19" s="190" t="b">
        <f>TYPE(Pressure_3_R1!R14)=1</f>
        <v>1</v>
      </c>
      <c r="D19" s="167">
        <v>11</v>
      </c>
      <c r="E19" s="284" t="str">
        <f>IF($B19=FALSE,"",IF(D$3="해수",1026,표준압력!AI28))</f>
        <v/>
      </c>
      <c r="F19" s="169" t="str">
        <f>IF($B19=FALSE,"",VALUE(Pressure_3_R1!B14))</f>
        <v/>
      </c>
      <c r="G19" s="284" t="str">
        <f t="shared" si="8"/>
        <v/>
      </c>
      <c r="H19" s="284" t="str">
        <f>IF($B19=FALSE,"",표준압력!G28)</f>
        <v/>
      </c>
      <c r="I19" s="284" t="str">
        <f t="shared" si="9"/>
        <v/>
      </c>
      <c r="J19" s="169" t="str">
        <f>IF($B19=FALSE,"",Pressure_3_R1!Q14)</f>
        <v/>
      </c>
      <c r="K19" s="285" t="str">
        <f>IF($B19=FALSE,"",Pressure_3_R1!R14)</f>
        <v/>
      </c>
      <c r="L19" s="285" t="str">
        <f>IF($B19=FALSE,"",Pressure_3_R1!S14)</f>
        <v/>
      </c>
      <c r="M19" s="169" t="str">
        <f t="shared" si="19"/>
        <v/>
      </c>
      <c r="N19" s="285" t="str">
        <f t="shared" si="20"/>
        <v/>
      </c>
      <c r="O19" s="285" t="str">
        <f t="shared" si="21"/>
        <v/>
      </c>
      <c r="P19" s="162"/>
      <c r="Q19" s="168" t="b">
        <f t="shared" si="10"/>
        <v>0</v>
      </c>
      <c r="R19" s="369" t="s">
        <v>1013</v>
      </c>
      <c r="S19" s="370">
        <v>11</v>
      </c>
      <c r="T19" s="224" t="str">
        <f t="shared" ca="1" si="11"/>
        <v/>
      </c>
      <c r="U19" s="224" t="str">
        <f t="shared" ca="1" si="12"/>
        <v/>
      </c>
      <c r="V19" s="224" t="str">
        <f t="shared" ca="1" si="13"/>
        <v/>
      </c>
      <c r="W19" s="374" t="str">
        <f t="shared" si="14"/>
        <v/>
      </c>
      <c r="X19" s="373" t="str">
        <f t="shared" si="15"/>
        <v/>
      </c>
      <c r="Y19" s="171" t="str">
        <f t="shared" si="16"/>
        <v/>
      </c>
      <c r="Z19" s="171" t="str">
        <f t="shared" si="17"/>
        <v/>
      </c>
      <c r="AA19" s="377" t="str">
        <f t="shared" si="18"/>
        <v/>
      </c>
      <c r="AC19" s="247" t="s">
        <v>305</v>
      </c>
      <c r="AD19" s="248">
        <f t="shared" si="0"/>
        <v>249.0889</v>
      </c>
      <c r="AE19" s="248">
        <f t="shared" si="6"/>
        <v>2.4908890000000001</v>
      </c>
      <c r="AF19" s="248">
        <f t="shared" si="1"/>
        <v>0.2490889</v>
      </c>
      <c r="AG19" s="248">
        <v>2.4908889999999999E-4</v>
      </c>
      <c r="AH19" s="248">
        <f t="shared" si="2"/>
        <v>249.0889</v>
      </c>
      <c r="AI19" s="248">
        <f t="shared" si="7"/>
        <v>2.4908890000000001</v>
      </c>
      <c r="AJ19" s="248">
        <f t="shared" si="3"/>
        <v>0.2490889</v>
      </c>
      <c r="AK19" s="248">
        <v>2.4908889999999999E-4</v>
      </c>
    </row>
    <row r="20" spans="2:37" s="160" customFormat="1" ht="15" customHeight="1">
      <c r="B20" s="166" t="b">
        <f>IF(Pressure_3_R1!A15="",FALSE,TRUE)</f>
        <v>0</v>
      </c>
      <c r="C20" s="190" t="b">
        <f>TYPE(Pressure_3_R1!R15)=1</f>
        <v>1</v>
      </c>
      <c r="D20" s="167">
        <v>12</v>
      </c>
      <c r="E20" s="284" t="str">
        <f>IF($B20=FALSE,"",IF(D$3="해수",1026,표준압력!AI29))</f>
        <v/>
      </c>
      <c r="F20" s="169" t="str">
        <f>IF($B20=FALSE,"",VALUE(Pressure_3_R1!B15))</f>
        <v/>
      </c>
      <c r="G20" s="284" t="str">
        <f t="shared" si="8"/>
        <v/>
      </c>
      <c r="H20" s="284" t="str">
        <f>IF($B20=FALSE,"",표준압력!G29)</f>
        <v/>
      </c>
      <c r="I20" s="284" t="str">
        <f t="shared" si="9"/>
        <v/>
      </c>
      <c r="J20" s="169" t="str">
        <f>IF($B20=FALSE,"",Pressure_3_R1!Q15)</f>
        <v/>
      </c>
      <c r="K20" s="285" t="str">
        <f>IF($B20=FALSE,"",Pressure_3_R1!R15)</f>
        <v/>
      </c>
      <c r="L20" s="285" t="str">
        <f>IF($B20=FALSE,"",Pressure_3_R1!S15)</f>
        <v/>
      </c>
      <c r="M20" s="169" t="str">
        <f t="shared" si="19"/>
        <v/>
      </c>
      <c r="N20" s="285" t="str">
        <f t="shared" si="20"/>
        <v/>
      </c>
      <c r="O20" s="285" t="str">
        <f t="shared" si="21"/>
        <v/>
      </c>
      <c r="P20" s="162"/>
      <c r="Q20" s="168" t="b">
        <f t="shared" si="10"/>
        <v>0</v>
      </c>
      <c r="R20" s="369" t="s">
        <v>300</v>
      </c>
      <c r="S20" s="370">
        <v>12</v>
      </c>
      <c r="T20" s="224" t="str">
        <f t="shared" ca="1" si="11"/>
        <v/>
      </c>
      <c r="U20" s="224" t="str">
        <f t="shared" ca="1" si="12"/>
        <v/>
      </c>
      <c r="V20" s="224" t="str">
        <f t="shared" ca="1" si="13"/>
        <v/>
      </c>
      <c r="W20" s="374" t="str">
        <f t="shared" si="14"/>
        <v/>
      </c>
      <c r="X20" s="373" t="str">
        <f t="shared" si="15"/>
        <v/>
      </c>
      <c r="Y20" s="171" t="str">
        <f t="shared" si="16"/>
        <v/>
      </c>
      <c r="Z20" s="171" t="str">
        <f t="shared" si="17"/>
        <v/>
      </c>
      <c r="AA20" s="377" t="str">
        <f t="shared" si="18"/>
        <v/>
      </c>
      <c r="AC20" s="247" t="s">
        <v>168</v>
      </c>
      <c r="AD20" s="248">
        <f t="shared" si="0"/>
        <v>9.8066499999999994</v>
      </c>
      <c r="AE20" s="248">
        <f t="shared" si="6"/>
        <v>9.8066500000000001E-2</v>
      </c>
      <c r="AF20" s="248">
        <f t="shared" si="1"/>
        <v>9.8066500000000001E-3</v>
      </c>
      <c r="AG20" s="248">
        <v>9.8066500000000004E-6</v>
      </c>
      <c r="AH20" s="248">
        <f t="shared" si="2"/>
        <v>9.8066499999999994</v>
      </c>
      <c r="AI20" s="248">
        <f t="shared" si="7"/>
        <v>9.8066500000000001E-2</v>
      </c>
      <c r="AJ20" s="248">
        <f t="shared" si="3"/>
        <v>9.8066500000000001E-3</v>
      </c>
      <c r="AK20" s="248">
        <v>9.8066500000000004E-6</v>
      </c>
    </row>
    <row r="21" spans="2:37" s="160" customFormat="1" ht="15" customHeight="1">
      <c r="B21" s="166" t="b">
        <f>IF(Pressure_3_R1!A16="",FALSE,TRUE)</f>
        <v>0</v>
      </c>
      <c r="C21" s="190" t="b">
        <f>TYPE(Pressure_3_R1!R16)=1</f>
        <v>1</v>
      </c>
      <c r="D21" s="167">
        <v>13</v>
      </c>
      <c r="E21" s="284" t="str">
        <f>IF($B21=FALSE,"",IF(D$3="해수",1026,표준압력!AI30))</f>
        <v/>
      </c>
      <c r="F21" s="169" t="str">
        <f>IF($B21=FALSE,"",VALUE(Pressure_3_R1!B16))</f>
        <v/>
      </c>
      <c r="G21" s="284" t="str">
        <f t="shared" si="8"/>
        <v/>
      </c>
      <c r="H21" s="284" t="str">
        <f>IF($B21=FALSE,"",표준압력!G30)</f>
        <v/>
      </c>
      <c r="I21" s="284" t="str">
        <f t="shared" si="9"/>
        <v/>
      </c>
      <c r="J21" s="169" t="str">
        <f>IF($B21=FALSE,"",Pressure_3_R1!Q16)</f>
        <v/>
      </c>
      <c r="K21" s="285" t="str">
        <f>IF($B21=FALSE,"",Pressure_3_R1!R16)</f>
        <v/>
      </c>
      <c r="L21" s="285" t="str">
        <f>IF($B21=FALSE,"",Pressure_3_R1!S16)</f>
        <v/>
      </c>
      <c r="M21" s="169" t="str">
        <f t="shared" si="19"/>
        <v/>
      </c>
      <c r="N21" s="285" t="str">
        <f t="shared" si="20"/>
        <v/>
      </c>
      <c r="O21" s="285" t="str">
        <f t="shared" si="21"/>
        <v/>
      </c>
      <c r="P21" s="162"/>
      <c r="Q21" s="168" t="b">
        <f t="shared" si="10"/>
        <v>0</v>
      </c>
      <c r="R21" s="369" t="s">
        <v>1013</v>
      </c>
      <c r="S21" s="370">
        <v>13</v>
      </c>
      <c r="T21" s="224" t="str">
        <f t="shared" ca="1" si="11"/>
        <v/>
      </c>
      <c r="U21" s="224" t="str">
        <f t="shared" ca="1" si="12"/>
        <v/>
      </c>
      <c r="V21" s="224" t="str">
        <f t="shared" ca="1" si="13"/>
        <v/>
      </c>
      <c r="W21" s="374" t="str">
        <f t="shared" si="14"/>
        <v/>
      </c>
      <c r="X21" s="373" t="str">
        <f t="shared" si="15"/>
        <v/>
      </c>
      <c r="Y21" s="171" t="str">
        <f t="shared" si="16"/>
        <v/>
      </c>
      <c r="Z21" s="171" t="str">
        <f t="shared" si="17"/>
        <v/>
      </c>
      <c r="AA21" s="377" t="str">
        <f t="shared" si="18"/>
        <v/>
      </c>
      <c r="AC21" s="247" t="s">
        <v>306</v>
      </c>
      <c r="AD21" s="248">
        <f t="shared" si="0"/>
        <v>98.066500000000005</v>
      </c>
      <c r="AE21" s="248">
        <f t="shared" si="6"/>
        <v>0.98066500000000001</v>
      </c>
      <c r="AF21" s="248">
        <f t="shared" si="1"/>
        <v>9.8066500000000001E-2</v>
      </c>
      <c r="AG21" s="307">
        <v>9.80665E-5</v>
      </c>
      <c r="AH21" s="248">
        <f t="shared" si="2"/>
        <v>98.066500000000005</v>
      </c>
      <c r="AI21" s="248">
        <f t="shared" si="7"/>
        <v>0.98066500000000001</v>
      </c>
      <c r="AJ21" s="248">
        <f t="shared" si="3"/>
        <v>9.8066500000000001E-2</v>
      </c>
      <c r="AK21" s="307">
        <v>9.80665E-5</v>
      </c>
    </row>
    <row r="22" spans="2:37" s="160" customFormat="1" ht="15" customHeight="1">
      <c r="B22" s="166" t="b">
        <f>IF(Pressure_3_R1!A17="",FALSE,TRUE)</f>
        <v>0</v>
      </c>
      <c r="C22" s="190" t="b">
        <f>TYPE(Pressure_3_R1!R17)=1</f>
        <v>1</v>
      </c>
      <c r="D22" s="167">
        <v>14</v>
      </c>
      <c r="E22" s="284" t="str">
        <f>IF($B22=FALSE,"",IF(D$3="해수",1026,표준압력!AI31))</f>
        <v/>
      </c>
      <c r="F22" s="169" t="str">
        <f>IF($B22=FALSE,"",VALUE(Pressure_3_R1!B17))</f>
        <v/>
      </c>
      <c r="G22" s="284" t="str">
        <f t="shared" si="8"/>
        <v/>
      </c>
      <c r="H22" s="284" t="str">
        <f>IF($B22=FALSE,"",표준압력!G31)</f>
        <v/>
      </c>
      <c r="I22" s="284" t="str">
        <f t="shared" si="9"/>
        <v/>
      </c>
      <c r="J22" s="169" t="str">
        <f>IF($B22=FALSE,"",Pressure_3_R1!Q17)</f>
        <v/>
      </c>
      <c r="K22" s="285" t="str">
        <f>IF($B22=FALSE,"",Pressure_3_R1!R17)</f>
        <v/>
      </c>
      <c r="L22" s="285" t="str">
        <f>IF($B22=FALSE,"",Pressure_3_R1!S17)</f>
        <v/>
      </c>
      <c r="M22" s="169" t="str">
        <f t="shared" si="19"/>
        <v/>
      </c>
      <c r="N22" s="285" t="str">
        <f t="shared" si="20"/>
        <v/>
      </c>
      <c r="O22" s="285" t="str">
        <f t="shared" si="21"/>
        <v/>
      </c>
      <c r="P22" s="162"/>
      <c r="Q22" s="168" t="b">
        <f t="shared" si="10"/>
        <v>0</v>
      </c>
      <c r="R22" s="369" t="s">
        <v>300</v>
      </c>
      <c r="S22" s="370">
        <v>14</v>
      </c>
      <c r="T22" s="224" t="str">
        <f t="shared" ca="1" si="11"/>
        <v/>
      </c>
      <c r="U22" s="224" t="str">
        <f t="shared" ca="1" si="12"/>
        <v/>
      </c>
      <c r="V22" s="224" t="str">
        <f t="shared" ca="1" si="13"/>
        <v/>
      </c>
      <c r="W22" s="374" t="str">
        <f t="shared" si="14"/>
        <v/>
      </c>
      <c r="X22" s="373" t="str">
        <f t="shared" si="15"/>
        <v/>
      </c>
      <c r="Y22" s="171" t="str">
        <f t="shared" si="16"/>
        <v/>
      </c>
      <c r="Z22" s="171" t="str">
        <f t="shared" si="17"/>
        <v/>
      </c>
      <c r="AA22" s="377" t="str">
        <f t="shared" si="18"/>
        <v/>
      </c>
      <c r="AC22" s="247" t="s">
        <v>307</v>
      </c>
      <c r="AD22" s="248">
        <v>10000</v>
      </c>
      <c r="AE22" s="248">
        <f t="shared" si="6"/>
        <v>100</v>
      </c>
      <c r="AF22" s="248">
        <v>10</v>
      </c>
      <c r="AG22" s="307">
        <v>0.01</v>
      </c>
      <c r="AH22" s="248">
        <v>10000</v>
      </c>
      <c r="AI22" s="248">
        <f t="shared" si="7"/>
        <v>100</v>
      </c>
      <c r="AJ22" s="248">
        <v>10</v>
      </c>
      <c r="AK22" s="307">
        <v>0.01</v>
      </c>
    </row>
    <row r="23" spans="2:37" s="160" customFormat="1" ht="15" customHeight="1">
      <c r="B23" s="166" t="b">
        <f>IF(Pressure_3_R1!A18="",FALSE,TRUE)</f>
        <v>0</v>
      </c>
      <c r="C23" s="190" t="b">
        <f>TYPE(Pressure_3_R1!R18)=1</f>
        <v>1</v>
      </c>
      <c r="D23" s="167">
        <v>15</v>
      </c>
      <c r="E23" s="284" t="str">
        <f>IF($B23=FALSE,"",IF(D$3="해수",1026,표준압력!AI32))</f>
        <v/>
      </c>
      <c r="F23" s="169" t="str">
        <f>IF($B23=FALSE,"",VALUE(Pressure_3_R1!B18))</f>
        <v/>
      </c>
      <c r="G23" s="284" t="str">
        <f t="shared" si="8"/>
        <v/>
      </c>
      <c r="H23" s="284" t="str">
        <f>IF($B23=FALSE,"",표준압력!G32)</f>
        <v/>
      </c>
      <c r="I23" s="284" t="str">
        <f t="shared" si="9"/>
        <v/>
      </c>
      <c r="J23" s="169" t="str">
        <f>IF($B23=FALSE,"",Pressure_3_R1!Q18)</f>
        <v/>
      </c>
      <c r="K23" s="285" t="str">
        <f>IF($B23=FALSE,"",Pressure_3_R1!R18)</f>
        <v/>
      </c>
      <c r="L23" s="285" t="str">
        <f>IF($B23=FALSE,"",Pressure_3_R1!S18)</f>
        <v/>
      </c>
      <c r="M23" s="169" t="str">
        <f t="shared" si="19"/>
        <v/>
      </c>
      <c r="N23" s="285" t="str">
        <f t="shared" si="20"/>
        <v/>
      </c>
      <c r="O23" s="285" t="str">
        <f t="shared" si="21"/>
        <v/>
      </c>
      <c r="P23" s="162"/>
      <c r="Q23" s="168" t="b">
        <f t="shared" si="10"/>
        <v>0</v>
      </c>
      <c r="R23" s="369" t="s">
        <v>300</v>
      </c>
      <c r="S23" s="370">
        <v>15</v>
      </c>
      <c r="T23" s="224" t="str">
        <f t="shared" ca="1" si="11"/>
        <v/>
      </c>
      <c r="U23" s="224" t="str">
        <f t="shared" ca="1" si="12"/>
        <v/>
      </c>
      <c r="V23" s="224" t="str">
        <f t="shared" ca="1" si="13"/>
        <v/>
      </c>
      <c r="W23" s="374" t="str">
        <f t="shared" si="14"/>
        <v/>
      </c>
      <c r="X23" s="373" t="str">
        <f t="shared" si="15"/>
        <v/>
      </c>
      <c r="Y23" s="171" t="str">
        <f t="shared" si="16"/>
        <v/>
      </c>
      <c r="Z23" s="171" t="str">
        <f t="shared" si="17"/>
        <v/>
      </c>
      <c r="AA23" s="377" t="str">
        <f t="shared" si="18"/>
        <v/>
      </c>
      <c r="AC23" s="247" t="s">
        <v>308</v>
      </c>
      <c r="AD23" s="248">
        <f t="shared" ref="AD23:AD30" si="22">AF23*1000</f>
        <v>1</v>
      </c>
      <c r="AE23" s="248">
        <f t="shared" si="6"/>
        <v>0.01</v>
      </c>
      <c r="AF23" s="248">
        <f>AG23*1000</f>
        <v>1E-3</v>
      </c>
      <c r="AG23" s="248">
        <v>9.9999999999999995E-7</v>
      </c>
      <c r="AH23" s="248">
        <f t="shared" ref="AH23:AH30" si="23">AJ23*1000</f>
        <v>1</v>
      </c>
      <c r="AI23" s="248">
        <f t="shared" si="7"/>
        <v>0.01</v>
      </c>
      <c r="AJ23" s="248">
        <f t="shared" ref="AJ23:AJ30" si="24">AK23*1000</f>
        <v>1E-3</v>
      </c>
      <c r="AK23" s="248">
        <v>9.9999999999999995E-7</v>
      </c>
    </row>
    <row r="24" spans="2:37" s="160" customFormat="1" ht="15" customHeight="1">
      <c r="B24" s="166" t="b">
        <f>IF(Pressure_3_R1!A19="",FALSE,TRUE)</f>
        <v>0</v>
      </c>
      <c r="C24" s="190" t="b">
        <f>TYPE(Pressure_3_R1!R19)=1</f>
        <v>1</v>
      </c>
      <c r="D24" s="167">
        <v>16</v>
      </c>
      <c r="E24" s="284" t="str">
        <f>IF($B24=FALSE,"",IF(D$3="해수",1026,표준압력!AI33))</f>
        <v/>
      </c>
      <c r="F24" s="169" t="str">
        <f>IF($B24=FALSE,"",VALUE(Pressure_3_R1!B19))</f>
        <v/>
      </c>
      <c r="G24" s="284" t="str">
        <f t="shared" si="8"/>
        <v/>
      </c>
      <c r="H24" s="284" t="str">
        <f>IF($B24=FALSE,"",표준압력!G33)</f>
        <v/>
      </c>
      <c r="I24" s="284" t="str">
        <f t="shared" si="9"/>
        <v/>
      </c>
      <c r="J24" s="169" t="str">
        <f>IF($B24=FALSE,"",Pressure_3_R1!Q19)</f>
        <v/>
      </c>
      <c r="K24" s="285" t="str">
        <f>IF($B24=FALSE,"",Pressure_3_R1!R19)</f>
        <v/>
      </c>
      <c r="L24" s="285" t="str">
        <f>IF($B24=FALSE,"",Pressure_3_R1!S19)</f>
        <v/>
      </c>
      <c r="M24" s="169" t="str">
        <f t="shared" si="19"/>
        <v/>
      </c>
      <c r="N24" s="285" t="str">
        <f t="shared" si="20"/>
        <v/>
      </c>
      <c r="O24" s="285" t="str">
        <f t="shared" si="21"/>
        <v/>
      </c>
      <c r="P24" s="162"/>
      <c r="Q24" s="168" t="b">
        <f t="shared" si="10"/>
        <v>0</v>
      </c>
      <c r="R24" s="371" t="s">
        <v>309</v>
      </c>
      <c r="S24" s="372">
        <v>1</v>
      </c>
      <c r="T24" s="224" t="str">
        <f ca="1">IF($Q24=FALSE,"",IF($R24="가압",M24,OFFSET(M$8,$B$3*2-($S24-1),0)))</f>
        <v/>
      </c>
      <c r="U24" s="224" t="str">
        <f t="shared" ca="1" si="12"/>
        <v/>
      </c>
      <c r="V24" s="224" t="str">
        <f t="shared" ca="1" si="13"/>
        <v/>
      </c>
      <c r="W24" s="374" t="str">
        <f t="shared" si="14"/>
        <v/>
      </c>
      <c r="X24" s="375" t="str">
        <f>IF($Q24=FALSE,"",T24-T$24)</f>
        <v/>
      </c>
      <c r="Y24" s="376" t="str">
        <f>IF($Q24=FALSE,"",U24-U$24)</f>
        <v/>
      </c>
      <c r="Z24" s="376" t="str">
        <f>IF($Q24=FALSE,"",V24-V$24)</f>
        <v/>
      </c>
      <c r="AA24" s="377" t="str">
        <f t="shared" si="18"/>
        <v/>
      </c>
      <c r="AC24" s="247" t="s">
        <v>310</v>
      </c>
      <c r="AD24" s="248">
        <f t="shared" si="22"/>
        <v>100</v>
      </c>
      <c r="AE24" s="248">
        <f t="shared" si="6"/>
        <v>1</v>
      </c>
      <c r="AF24" s="248">
        <f t="shared" ref="AF24:AF30" si="25">AG24*1000</f>
        <v>0.1</v>
      </c>
      <c r="AG24" s="248">
        <v>1E-4</v>
      </c>
      <c r="AH24" s="248">
        <f t="shared" si="23"/>
        <v>100</v>
      </c>
      <c r="AI24" s="248">
        <f t="shared" si="7"/>
        <v>1</v>
      </c>
      <c r="AJ24" s="248">
        <f t="shared" si="24"/>
        <v>0.1</v>
      </c>
      <c r="AK24" s="248">
        <v>1E-4</v>
      </c>
    </row>
    <row r="25" spans="2:37" s="160" customFormat="1" ht="15" customHeight="1">
      <c r="B25" s="166" t="b">
        <f>IF(Pressure_3_R1!A20="",FALSE,TRUE)</f>
        <v>0</v>
      </c>
      <c r="C25" s="190" t="b">
        <f>TYPE(Pressure_3_R1!R20)=1</f>
        <v>1</v>
      </c>
      <c r="D25" s="167">
        <v>17</v>
      </c>
      <c r="E25" s="284" t="str">
        <f>IF($B25=FALSE,"",IF(D$3="해수",1026,표준압력!AI34))</f>
        <v/>
      </c>
      <c r="F25" s="169" t="str">
        <f>IF($B25=FALSE,"",VALUE(Pressure_3_R1!B20))</f>
        <v/>
      </c>
      <c r="G25" s="284" t="str">
        <f t="shared" si="8"/>
        <v/>
      </c>
      <c r="H25" s="284" t="str">
        <f>IF($B25=FALSE,"",표준압력!G34)</f>
        <v/>
      </c>
      <c r="I25" s="284" t="str">
        <f t="shared" si="9"/>
        <v/>
      </c>
      <c r="J25" s="169" t="str">
        <f>IF($B25=FALSE,"",Pressure_3_R1!Q20)</f>
        <v/>
      </c>
      <c r="K25" s="285" t="str">
        <f>IF($B25=FALSE,"",Pressure_3_R1!R20)</f>
        <v/>
      </c>
      <c r="L25" s="285" t="str">
        <f>IF($B25=FALSE,"",Pressure_3_R1!S20)</f>
        <v/>
      </c>
      <c r="M25" s="169" t="str">
        <f t="shared" si="19"/>
        <v/>
      </c>
      <c r="N25" s="285" t="str">
        <f t="shared" si="20"/>
        <v/>
      </c>
      <c r="O25" s="285" t="str">
        <f t="shared" si="21"/>
        <v/>
      </c>
      <c r="P25" s="162"/>
      <c r="Q25" s="168" t="b">
        <f t="shared" si="10"/>
        <v>0</v>
      </c>
      <c r="R25" s="371" t="s">
        <v>309</v>
      </c>
      <c r="S25" s="372">
        <v>2</v>
      </c>
      <c r="T25" s="224" t="str">
        <f t="shared" ref="T25:T38" ca="1" si="26">IF($Q25=FALSE,"",IF($R25="가압",M25,OFFSET(M$8,$B$3*2-($S25-1),0)))</f>
        <v/>
      </c>
      <c r="U25" s="224" t="str">
        <f t="shared" ca="1" si="12"/>
        <v/>
      </c>
      <c r="V25" s="224" t="str">
        <f t="shared" ca="1" si="13"/>
        <v/>
      </c>
      <c r="W25" s="374" t="str">
        <f t="shared" si="14"/>
        <v/>
      </c>
      <c r="X25" s="375" t="str">
        <f t="shared" ref="X25:X38" si="27">IF($Q25=FALSE,"",T25-T$24)</f>
        <v/>
      </c>
      <c r="Y25" s="376" t="str">
        <f t="shared" ref="Y25:Y38" si="28">IF($Q25=FALSE,"",U25-U$24)</f>
        <v/>
      </c>
      <c r="Z25" s="376" t="str">
        <f t="shared" ref="Z25:Z38" si="29">IF($Q25=FALSE,"",V25-V$24)</f>
        <v/>
      </c>
      <c r="AA25" s="377" t="str">
        <f t="shared" si="18"/>
        <v/>
      </c>
      <c r="AC25" s="247" t="s">
        <v>311</v>
      </c>
      <c r="AD25" s="248">
        <f t="shared" si="22"/>
        <v>1000</v>
      </c>
      <c r="AE25" s="248">
        <f t="shared" si="6"/>
        <v>10</v>
      </c>
      <c r="AF25" s="248">
        <f t="shared" si="25"/>
        <v>1</v>
      </c>
      <c r="AG25" s="248">
        <v>1E-3</v>
      </c>
      <c r="AH25" s="248">
        <f t="shared" si="23"/>
        <v>1000</v>
      </c>
      <c r="AI25" s="248">
        <f t="shared" si="7"/>
        <v>10</v>
      </c>
      <c r="AJ25" s="248">
        <f t="shared" si="24"/>
        <v>1</v>
      </c>
      <c r="AK25" s="248">
        <v>1E-3</v>
      </c>
    </row>
    <row r="26" spans="2:37" s="160" customFormat="1" ht="15" customHeight="1">
      <c r="B26" s="166" t="b">
        <f>IF(Pressure_3_R1!A21="",FALSE,TRUE)</f>
        <v>0</v>
      </c>
      <c r="C26" s="190" t="b">
        <f>TYPE(Pressure_3_R1!R21)=1</f>
        <v>1</v>
      </c>
      <c r="D26" s="167">
        <v>18</v>
      </c>
      <c r="E26" s="284" t="str">
        <f>IF($B26=FALSE,"",IF(D$3="해수",1026,표준압력!AI35))</f>
        <v/>
      </c>
      <c r="F26" s="169" t="str">
        <f>IF($B26=FALSE,"",VALUE(Pressure_3_R1!B21))</f>
        <v/>
      </c>
      <c r="G26" s="284" t="str">
        <f t="shared" si="8"/>
        <v/>
      </c>
      <c r="H26" s="284" t="str">
        <f>IF($B26=FALSE,"",표준압력!G35)</f>
        <v/>
      </c>
      <c r="I26" s="284" t="str">
        <f t="shared" si="9"/>
        <v/>
      </c>
      <c r="J26" s="169" t="str">
        <f>IF($B26=FALSE,"",Pressure_3_R1!Q21)</f>
        <v/>
      </c>
      <c r="K26" s="285" t="str">
        <f>IF($B26=FALSE,"",Pressure_3_R1!R21)</f>
        <v/>
      </c>
      <c r="L26" s="285" t="str">
        <f>IF($B26=FALSE,"",Pressure_3_R1!S21)</f>
        <v/>
      </c>
      <c r="M26" s="169" t="str">
        <f t="shared" si="19"/>
        <v/>
      </c>
      <c r="N26" s="285" t="str">
        <f t="shared" si="20"/>
        <v/>
      </c>
      <c r="O26" s="285" t="str">
        <f t="shared" si="21"/>
        <v/>
      </c>
      <c r="P26" s="162"/>
      <c r="Q26" s="168" t="b">
        <f t="shared" si="10"/>
        <v>0</v>
      </c>
      <c r="R26" s="371" t="s">
        <v>309</v>
      </c>
      <c r="S26" s="372">
        <v>3</v>
      </c>
      <c r="T26" s="224" t="str">
        <f t="shared" ca="1" si="26"/>
        <v/>
      </c>
      <c r="U26" s="224" t="str">
        <f t="shared" ca="1" si="12"/>
        <v/>
      </c>
      <c r="V26" s="224" t="str">
        <f t="shared" ca="1" si="13"/>
        <v/>
      </c>
      <c r="W26" s="374" t="str">
        <f t="shared" si="14"/>
        <v/>
      </c>
      <c r="X26" s="375" t="str">
        <f t="shared" si="27"/>
        <v/>
      </c>
      <c r="Y26" s="376" t="str">
        <f t="shared" si="28"/>
        <v/>
      </c>
      <c r="Z26" s="376" t="str">
        <f t="shared" si="29"/>
        <v/>
      </c>
      <c r="AA26" s="377" t="str">
        <f t="shared" si="18"/>
        <v/>
      </c>
      <c r="AC26" s="247" t="s">
        <v>293</v>
      </c>
      <c r="AD26" s="248">
        <f t="shared" si="22"/>
        <v>1000000</v>
      </c>
      <c r="AE26" s="248">
        <f t="shared" si="6"/>
        <v>10000</v>
      </c>
      <c r="AF26" s="248">
        <f t="shared" si="25"/>
        <v>1000</v>
      </c>
      <c r="AG26" s="248">
        <v>1</v>
      </c>
      <c r="AH26" s="248">
        <f t="shared" si="23"/>
        <v>1000000</v>
      </c>
      <c r="AI26" s="248">
        <f t="shared" si="7"/>
        <v>10000</v>
      </c>
      <c r="AJ26" s="248">
        <f t="shared" si="24"/>
        <v>1000</v>
      </c>
      <c r="AK26" s="248">
        <v>1</v>
      </c>
    </row>
    <row r="27" spans="2:37" s="160" customFormat="1" ht="15" customHeight="1">
      <c r="B27" s="166" t="b">
        <f>IF(Pressure_3_R1!A22="",FALSE,TRUE)</f>
        <v>0</v>
      </c>
      <c r="C27" s="190" t="b">
        <f>TYPE(Pressure_3_R1!R22)=1</f>
        <v>1</v>
      </c>
      <c r="D27" s="167">
        <v>19</v>
      </c>
      <c r="E27" s="284" t="str">
        <f>IF($B27=FALSE,"",IF(D$3="해수",1026,표준압력!AI36))</f>
        <v/>
      </c>
      <c r="F27" s="169" t="str">
        <f>IF($B27=FALSE,"",VALUE(Pressure_3_R1!B22))</f>
        <v/>
      </c>
      <c r="G27" s="284" t="str">
        <f t="shared" si="8"/>
        <v/>
      </c>
      <c r="H27" s="284" t="str">
        <f>IF($B27=FALSE,"",표준압력!G36)</f>
        <v/>
      </c>
      <c r="I27" s="284" t="str">
        <f t="shared" si="9"/>
        <v/>
      </c>
      <c r="J27" s="169" t="str">
        <f>IF($B27=FALSE,"",Pressure_3_R1!Q22)</f>
        <v/>
      </c>
      <c r="K27" s="285" t="str">
        <f>IF($B27=FALSE,"",Pressure_3_R1!R22)</f>
        <v/>
      </c>
      <c r="L27" s="285" t="str">
        <f>IF($B27=FALSE,"",Pressure_3_R1!S22)</f>
        <v/>
      </c>
      <c r="M27" s="169" t="str">
        <f t="shared" si="19"/>
        <v/>
      </c>
      <c r="N27" s="285" t="str">
        <f t="shared" si="20"/>
        <v/>
      </c>
      <c r="O27" s="285" t="str">
        <f t="shared" si="21"/>
        <v/>
      </c>
      <c r="P27" s="162"/>
      <c r="Q27" s="168" t="b">
        <f t="shared" si="10"/>
        <v>0</v>
      </c>
      <c r="R27" s="371" t="s">
        <v>309</v>
      </c>
      <c r="S27" s="372">
        <v>4</v>
      </c>
      <c r="T27" s="224" t="str">
        <f t="shared" ca="1" si="26"/>
        <v/>
      </c>
      <c r="U27" s="224" t="str">
        <f t="shared" ca="1" si="12"/>
        <v/>
      </c>
      <c r="V27" s="224" t="str">
        <f t="shared" ca="1" si="13"/>
        <v/>
      </c>
      <c r="W27" s="374" t="str">
        <f t="shared" si="14"/>
        <v/>
      </c>
      <c r="X27" s="375" t="str">
        <f t="shared" si="27"/>
        <v/>
      </c>
      <c r="Y27" s="376" t="str">
        <f t="shared" si="28"/>
        <v/>
      </c>
      <c r="Z27" s="376" t="str">
        <f t="shared" si="29"/>
        <v/>
      </c>
      <c r="AA27" s="377" t="str">
        <f t="shared" si="18"/>
        <v/>
      </c>
      <c r="AC27" s="247" t="s">
        <v>312</v>
      </c>
      <c r="AD27" s="248">
        <f t="shared" si="22"/>
        <v>100</v>
      </c>
      <c r="AE27" s="248">
        <f t="shared" si="6"/>
        <v>1</v>
      </c>
      <c r="AF27" s="248">
        <f t="shared" si="25"/>
        <v>0.1</v>
      </c>
      <c r="AG27" s="248">
        <v>1E-4</v>
      </c>
      <c r="AH27" s="248">
        <f t="shared" si="23"/>
        <v>100</v>
      </c>
      <c r="AI27" s="248">
        <f t="shared" si="7"/>
        <v>1</v>
      </c>
      <c r="AJ27" s="248">
        <f t="shared" si="24"/>
        <v>0.1</v>
      </c>
      <c r="AK27" s="248">
        <v>1E-4</v>
      </c>
    </row>
    <row r="28" spans="2:37" s="160" customFormat="1" ht="15" customHeight="1">
      <c r="B28" s="166" t="b">
        <f>IF(Pressure_3_R1!A23="",FALSE,TRUE)</f>
        <v>0</v>
      </c>
      <c r="C28" s="190" t="b">
        <f>TYPE(Pressure_3_R1!R23)=1</f>
        <v>1</v>
      </c>
      <c r="D28" s="167">
        <v>20</v>
      </c>
      <c r="E28" s="284" t="str">
        <f>IF($B28=FALSE,"",IF(D$3="해수",1026,표준압력!AI37))</f>
        <v/>
      </c>
      <c r="F28" s="169" t="str">
        <f>IF($B28=FALSE,"",VALUE(Pressure_3_R1!B23))</f>
        <v/>
      </c>
      <c r="G28" s="284" t="str">
        <f t="shared" si="8"/>
        <v/>
      </c>
      <c r="H28" s="284" t="str">
        <f>IF($B28=FALSE,"",표준압력!G37)</f>
        <v/>
      </c>
      <c r="I28" s="284" t="str">
        <f t="shared" si="9"/>
        <v/>
      </c>
      <c r="J28" s="169" t="str">
        <f>IF($B28=FALSE,"",Pressure_3_R1!Q23)</f>
        <v/>
      </c>
      <c r="K28" s="285" t="str">
        <f>IF($B28=FALSE,"",Pressure_3_R1!R23)</f>
        <v/>
      </c>
      <c r="L28" s="285" t="str">
        <f>IF($B28=FALSE,"",Pressure_3_R1!S23)</f>
        <v/>
      </c>
      <c r="M28" s="169" t="str">
        <f t="shared" si="19"/>
        <v/>
      </c>
      <c r="N28" s="285" t="str">
        <f t="shared" si="20"/>
        <v/>
      </c>
      <c r="O28" s="285" t="str">
        <f t="shared" si="21"/>
        <v/>
      </c>
      <c r="P28" s="162"/>
      <c r="Q28" s="168" t="b">
        <f t="shared" si="10"/>
        <v>0</v>
      </c>
      <c r="R28" s="371" t="s">
        <v>309</v>
      </c>
      <c r="S28" s="372">
        <v>5</v>
      </c>
      <c r="T28" s="224" t="str">
        <f t="shared" ca="1" si="26"/>
        <v/>
      </c>
      <c r="U28" s="224" t="str">
        <f t="shared" ca="1" si="12"/>
        <v/>
      </c>
      <c r="V28" s="224" t="str">
        <f t="shared" ca="1" si="13"/>
        <v/>
      </c>
      <c r="W28" s="374" t="str">
        <f t="shared" si="14"/>
        <v/>
      </c>
      <c r="X28" s="375" t="str">
        <f t="shared" si="27"/>
        <v/>
      </c>
      <c r="Y28" s="376" t="str">
        <f t="shared" si="28"/>
        <v/>
      </c>
      <c r="Z28" s="376" t="str">
        <f t="shared" si="29"/>
        <v/>
      </c>
      <c r="AA28" s="377" t="str">
        <f t="shared" si="18"/>
        <v/>
      </c>
      <c r="AC28" s="247" t="s">
        <v>313</v>
      </c>
      <c r="AD28" s="248">
        <f t="shared" si="22"/>
        <v>100000</v>
      </c>
      <c r="AE28" s="248">
        <f t="shared" si="6"/>
        <v>1000</v>
      </c>
      <c r="AF28" s="248">
        <f t="shared" si="25"/>
        <v>100</v>
      </c>
      <c r="AG28" s="248">
        <v>0.1</v>
      </c>
      <c r="AH28" s="248">
        <f t="shared" si="23"/>
        <v>100000</v>
      </c>
      <c r="AI28" s="248">
        <f t="shared" si="7"/>
        <v>1000</v>
      </c>
      <c r="AJ28" s="248">
        <f t="shared" si="24"/>
        <v>100</v>
      </c>
      <c r="AK28" s="248">
        <v>0.1</v>
      </c>
    </row>
    <row r="29" spans="2:37" s="160" customFormat="1" ht="15" customHeight="1">
      <c r="B29" s="166" t="b">
        <f>IF(Pressure_3_R1!A24="",FALSE,TRUE)</f>
        <v>0</v>
      </c>
      <c r="C29" s="190" t="b">
        <f>TYPE(Pressure_3_R1!R24)=1</f>
        <v>1</v>
      </c>
      <c r="D29" s="167">
        <v>21</v>
      </c>
      <c r="E29" s="284" t="str">
        <f>IF($B29=FALSE,"",IF(D$3="해수",1026,표준압력!AI38))</f>
        <v/>
      </c>
      <c r="F29" s="169" t="str">
        <f>IF($B29=FALSE,"",VALUE(Pressure_3_R1!B24))</f>
        <v/>
      </c>
      <c r="G29" s="284" t="str">
        <f t="shared" si="8"/>
        <v/>
      </c>
      <c r="H29" s="284" t="str">
        <f>IF($B29=FALSE,"",표준압력!G38)</f>
        <v/>
      </c>
      <c r="I29" s="284" t="str">
        <f t="shared" si="9"/>
        <v/>
      </c>
      <c r="J29" s="169" t="str">
        <f>IF($B29=FALSE,"",Pressure_3_R1!Q24)</f>
        <v/>
      </c>
      <c r="K29" s="285" t="str">
        <f>IF($B29=FALSE,"",Pressure_3_R1!R24)</f>
        <v/>
      </c>
      <c r="L29" s="285" t="str">
        <f>IF($B29=FALSE,"",Pressure_3_R1!S24)</f>
        <v/>
      </c>
      <c r="M29" s="169" t="str">
        <f t="shared" si="19"/>
        <v/>
      </c>
      <c r="N29" s="285" t="str">
        <f t="shared" si="20"/>
        <v/>
      </c>
      <c r="O29" s="285" t="str">
        <f t="shared" si="21"/>
        <v/>
      </c>
      <c r="P29" s="162"/>
      <c r="Q29" s="168" t="b">
        <f t="shared" si="10"/>
        <v>0</v>
      </c>
      <c r="R29" s="371" t="s">
        <v>1014</v>
      </c>
      <c r="S29" s="372">
        <v>6</v>
      </c>
      <c r="T29" s="224" t="str">
        <f t="shared" ca="1" si="26"/>
        <v/>
      </c>
      <c r="U29" s="224" t="str">
        <f t="shared" ca="1" si="12"/>
        <v/>
      </c>
      <c r="V29" s="224" t="str">
        <f t="shared" ca="1" si="13"/>
        <v/>
      </c>
      <c r="W29" s="374" t="str">
        <f t="shared" si="14"/>
        <v/>
      </c>
      <c r="X29" s="375" t="str">
        <f t="shared" si="27"/>
        <v/>
      </c>
      <c r="Y29" s="376" t="str">
        <f t="shared" si="28"/>
        <v/>
      </c>
      <c r="Z29" s="376" t="str">
        <f t="shared" si="29"/>
        <v/>
      </c>
      <c r="AA29" s="377" t="str">
        <f t="shared" si="18"/>
        <v/>
      </c>
      <c r="AC29" s="247" t="s">
        <v>314</v>
      </c>
      <c r="AD29" s="248">
        <f t="shared" si="22"/>
        <v>6894.7569999999996</v>
      </c>
      <c r="AE29" s="248">
        <f t="shared" si="6"/>
        <v>68.947569999999999</v>
      </c>
      <c r="AF29" s="248">
        <f t="shared" si="25"/>
        <v>6.8947569999999994</v>
      </c>
      <c r="AG29" s="248">
        <v>6.8947569999999996E-3</v>
      </c>
      <c r="AH29" s="248">
        <f t="shared" si="23"/>
        <v>6894.7569999999996</v>
      </c>
      <c r="AI29" s="248">
        <f t="shared" si="7"/>
        <v>68.947569999999999</v>
      </c>
      <c r="AJ29" s="248">
        <f t="shared" si="24"/>
        <v>6.8947569999999994</v>
      </c>
      <c r="AK29" s="248">
        <v>6.8947569999999996E-3</v>
      </c>
    </row>
    <row r="30" spans="2:37" s="160" customFormat="1" ht="15" customHeight="1">
      <c r="B30" s="166" t="b">
        <f>IF(Pressure_3_R1!A25="",FALSE,TRUE)</f>
        <v>0</v>
      </c>
      <c r="C30" s="190" t="b">
        <f>TYPE(Pressure_3_R1!R25)=1</f>
        <v>1</v>
      </c>
      <c r="D30" s="167">
        <v>22</v>
      </c>
      <c r="E30" s="284" t="str">
        <f>IF($B30=FALSE,"",IF(D$3="해수",1026,표준압력!AI39))</f>
        <v/>
      </c>
      <c r="F30" s="169" t="str">
        <f>IF($B30=FALSE,"",VALUE(Pressure_3_R1!B25))</f>
        <v/>
      </c>
      <c r="G30" s="284" t="str">
        <f t="shared" si="8"/>
        <v/>
      </c>
      <c r="H30" s="284" t="str">
        <f>IF($B30=FALSE,"",표준압력!G39)</f>
        <v/>
      </c>
      <c r="I30" s="284" t="str">
        <f t="shared" si="9"/>
        <v/>
      </c>
      <c r="J30" s="169" t="str">
        <f>IF($B30=FALSE,"",Pressure_3_R1!Q25)</f>
        <v/>
      </c>
      <c r="K30" s="285" t="str">
        <f>IF($B30=FALSE,"",Pressure_3_R1!R25)</f>
        <v/>
      </c>
      <c r="L30" s="285" t="str">
        <f>IF($B30=FALSE,"",Pressure_3_R1!S25)</f>
        <v/>
      </c>
      <c r="M30" s="169" t="str">
        <f t="shared" si="19"/>
        <v/>
      </c>
      <c r="N30" s="285" t="str">
        <f t="shared" si="20"/>
        <v/>
      </c>
      <c r="O30" s="285" t="str">
        <f t="shared" si="21"/>
        <v/>
      </c>
      <c r="P30" s="162"/>
      <c r="Q30" s="168" t="b">
        <f t="shared" si="10"/>
        <v>0</v>
      </c>
      <c r="R30" s="371" t="s">
        <v>1014</v>
      </c>
      <c r="S30" s="372">
        <v>7</v>
      </c>
      <c r="T30" s="224" t="str">
        <f t="shared" ca="1" si="26"/>
        <v/>
      </c>
      <c r="U30" s="224" t="str">
        <f t="shared" ca="1" si="12"/>
        <v/>
      </c>
      <c r="V30" s="224" t="str">
        <f t="shared" ca="1" si="13"/>
        <v/>
      </c>
      <c r="W30" s="374" t="str">
        <f t="shared" si="14"/>
        <v/>
      </c>
      <c r="X30" s="375" t="str">
        <f t="shared" si="27"/>
        <v/>
      </c>
      <c r="Y30" s="376" t="str">
        <f t="shared" si="28"/>
        <v/>
      </c>
      <c r="Z30" s="376" t="str">
        <f t="shared" si="29"/>
        <v/>
      </c>
      <c r="AA30" s="377" t="str">
        <f t="shared" si="18"/>
        <v/>
      </c>
      <c r="AC30" s="247" t="s">
        <v>315</v>
      </c>
      <c r="AD30" s="248">
        <f t="shared" si="22"/>
        <v>98066.5</v>
      </c>
      <c r="AE30" s="248">
        <f t="shared" si="6"/>
        <v>980.66500000000008</v>
      </c>
      <c r="AF30" s="248">
        <f t="shared" si="25"/>
        <v>98.066500000000005</v>
      </c>
      <c r="AG30" s="248">
        <v>9.8066500000000001E-2</v>
      </c>
      <c r="AH30" s="248">
        <f t="shared" si="23"/>
        <v>98066.5</v>
      </c>
      <c r="AI30" s="248">
        <f t="shared" si="7"/>
        <v>980.66500000000008</v>
      </c>
      <c r="AJ30" s="248">
        <f t="shared" si="24"/>
        <v>98.066500000000005</v>
      </c>
      <c r="AK30" s="248">
        <v>9.8066500000000001E-2</v>
      </c>
    </row>
    <row r="31" spans="2:37" s="160" customFormat="1" ht="15" customHeight="1">
      <c r="B31" s="166" t="b">
        <f>IF(Pressure_3_R1!A26="",FALSE,TRUE)</f>
        <v>0</v>
      </c>
      <c r="C31" s="190" t="b">
        <f>TYPE(Pressure_3_R1!R26)=1</f>
        <v>1</v>
      </c>
      <c r="D31" s="167">
        <v>23</v>
      </c>
      <c r="E31" s="284" t="str">
        <f>IF($B31=FALSE,"",IF(D$3="해수",1026,표준압력!AI40))</f>
        <v/>
      </c>
      <c r="F31" s="169" t="str">
        <f>IF($B31=FALSE,"",VALUE(Pressure_3_R1!B26))</f>
        <v/>
      </c>
      <c r="G31" s="284" t="str">
        <f t="shared" si="8"/>
        <v/>
      </c>
      <c r="H31" s="284" t="str">
        <f>IF($B31=FALSE,"",표준압력!G40)</f>
        <v/>
      </c>
      <c r="I31" s="284" t="str">
        <f t="shared" si="9"/>
        <v/>
      </c>
      <c r="J31" s="169" t="str">
        <f>IF($B31=FALSE,"",Pressure_3_R1!Q26)</f>
        <v/>
      </c>
      <c r="K31" s="285" t="str">
        <f>IF($B31=FALSE,"",Pressure_3_R1!R26)</f>
        <v/>
      </c>
      <c r="L31" s="285" t="str">
        <f>IF($B31=FALSE,"",Pressure_3_R1!S26)</f>
        <v/>
      </c>
      <c r="M31" s="169" t="str">
        <f t="shared" si="19"/>
        <v/>
      </c>
      <c r="N31" s="285" t="str">
        <f t="shared" si="20"/>
        <v/>
      </c>
      <c r="O31" s="285" t="str">
        <f t="shared" si="21"/>
        <v/>
      </c>
      <c r="P31" s="162"/>
      <c r="Q31" s="168" t="b">
        <f t="shared" si="10"/>
        <v>0</v>
      </c>
      <c r="R31" s="371" t="s">
        <v>1014</v>
      </c>
      <c r="S31" s="372">
        <v>8</v>
      </c>
      <c r="T31" s="224" t="str">
        <f t="shared" ca="1" si="26"/>
        <v/>
      </c>
      <c r="U31" s="224" t="str">
        <f t="shared" ca="1" si="12"/>
        <v/>
      </c>
      <c r="V31" s="224" t="str">
        <f t="shared" ca="1" si="13"/>
        <v/>
      </c>
      <c r="W31" s="374" t="str">
        <f t="shared" si="14"/>
        <v/>
      </c>
      <c r="X31" s="375" t="str">
        <f t="shared" si="27"/>
        <v/>
      </c>
      <c r="Y31" s="376" t="str">
        <f t="shared" si="28"/>
        <v/>
      </c>
      <c r="Z31" s="376" t="str">
        <f t="shared" si="29"/>
        <v/>
      </c>
      <c r="AA31" s="377" t="str">
        <f t="shared" si="18"/>
        <v/>
      </c>
      <c r="AC31" s="247" t="s">
        <v>316</v>
      </c>
      <c r="AD31" s="248">
        <f>AF31*1000</f>
        <v>101325</v>
      </c>
      <c r="AE31" s="248">
        <f>AF31*10</f>
        <v>1013.25</v>
      </c>
      <c r="AF31" s="248">
        <f>AG31*1000</f>
        <v>101.325</v>
      </c>
      <c r="AG31" s="248">
        <v>0.101325</v>
      </c>
      <c r="AH31" s="248">
        <f>AJ31*1000</f>
        <v>101325</v>
      </c>
      <c r="AI31" s="248">
        <f>AJ31*10</f>
        <v>1013.25</v>
      </c>
      <c r="AJ31" s="248">
        <f>AK31*1000</f>
        <v>101.325</v>
      </c>
      <c r="AK31" s="248">
        <v>0.101325</v>
      </c>
    </row>
    <row r="32" spans="2:37" s="160" customFormat="1" ht="15" customHeight="1">
      <c r="B32" s="166" t="b">
        <f>IF(Pressure_3_R1!A27="",FALSE,TRUE)</f>
        <v>0</v>
      </c>
      <c r="C32" s="190" t="b">
        <f>TYPE(Pressure_3_R1!R27)=1</f>
        <v>1</v>
      </c>
      <c r="D32" s="167">
        <v>24</v>
      </c>
      <c r="E32" s="284" t="str">
        <f>IF($B32=FALSE,"",IF(D$3="해수",1026,표준압력!AI41))</f>
        <v/>
      </c>
      <c r="F32" s="169" t="str">
        <f>IF($B32=FALSE,"",VALUE(Pressure_3_R1!B27))</f>
        <v/>
      </c>
      <c r="G32" s="284" t="str">
        <f t="shared" si="8"/>
        <v/>
      </c>
      <c r="H32" s="284" t="str">
        <f>IF($B32=FALSE,"",표준압력!G41)</f>
        <v/>
      </c>
      <c r="I32" s="284" t="str">
        <f t="shared" si="9"/>
        <v/>
      </c>
      <c r="J32" s="169" t="str">
        <f>IF($B32=FALSE,"",Pressure_3_R1!Q27)</f>
        <v/>
      </c>
      <c r="K32" s="285" t="str">
        <f>IF($B32=FALSE,"",Pressure_3_R1!R27)</f>
        <v/>
      </c>
      <c r="L32" s="285" t="str">
        <f>IF($B32=FALSE,"",Pressure_3_R1!S27)</f>
        <v/>
      </c>
      <c r="M32" s="169" t="str">
        <f t="shared" si="19"/>
        <v/>
      </c>
      <c r="N32" s="285" t="str">
        <f t="shared" si="20"/>
        <v/>
      </c>
      <c r="O32" s="285" t="str">
        <f t="shared" si="21"/>
        <v/>
      </c>
      <c r="P32" s="162"/>
      <c r="Q32" s="168" t="b">
        <f t="shared" si="10"/>
        <v>0</v>
      </c>
      <c r="R32" s="371" t="s">
        <v>309</v>
      </c>
      <c r="S32" s="372">
        <v>9</v>
      </c>
      <c r="T32" s="224" t="str">
        <f t="shared" ca="1" si="26"/>
        <v/>
      </c>
      <c r="U32" s="224" t="str">
        <f t="shared" ca="1" si="12"/>
        <v/>
      </c>
      <c r="V32" s="224" t="str">
        <f t="shared" ca="1" si="13"/>
        <v/>
      </c>
      <c r="W32" s="374" t="str">
        <f t="shared" si="14"/>
        <v/>
      </c>
      <c r="X32" s="375" t="str">
        <f t="shared" si="27"/>
        <v/>
      </c>
      <c r="Y32" s="376" t="str">
        <f t="shared" si="28"/>
        <v/>
      </c>
      <c r="Z32" s="376" t="str">
        <f t="shared" si="29"/>
        <v/>
      </c>
      <c r="AA32" s="377" t="str">
        <f t="shared" si="18"/>
        <v/>
      </c>
    </row>
    <row r="33" spans="2:37" s="160" customFormat="1" ht="15" customHeight="1">
      <c r="B33" s="166" t="b">
        <f>IF(Pressure_3_R1!A28="",FALSE,TRUE)</f>
        <v>0</v>
      </c>
      <c r="C33" s="190" t="b">
        <f>TYPE(Pressure_3_R1!R28)=1</f>
        <v>1</v>
      </c>
      <c r="D33" s="167">
        <v>25</v>
      </c>
      <c r="E33" s="284" t="str">
        <f>IF($B33=FALSE,"",IF(D$3="해수",1026,표준압력!AI42))</f>
        <v/>
      </c>
      <c r="F33" s="169" t="str">
        <f>IF($B33=FALSE,"",VALUE(Pressure_3_R1!B28))</f>
        <v/>
      </c>
      <c r="G33" s="284" t="str">
        <f t="shared" si="8"/>
        <v/>
      </c>
      <c r="H33" s="284" t="str">
        <f>IF($B33=FALSE,"",표준압력!G42)</f>
        <v/>
      </c>
      <c r="I33" s="284" t="str">
        <f t="shared" si="9"/>
        <v/>
      </c>
      <c r="J33" s="169" t="str">
        <f>IF($B33=FALSE,"",Pressure_3_R1!Q28)</f>
        <v/>
      </c>
      <c r="K33" s="285" t="str">
        <f>IF($B33=FALSE,"",Pressure_3_R1!R28)</f>
        <v/>
      </c>
      <c r="L33" s="285" t="str">
        <f>IF($B33=FALSE,"",Pressure_3_R1!S28)</f>
        <v/>
      </c>
      <c r="M33" s="169" t="str">
        <f t="shared" si="19"/>
        <v/>
      </c>
      <c r="N33" s="285" t="str">
        <f t="shared" si="20"/>
        <v/>
      </c>
      <c r="O33" s="285" t="str">
        <f t="shared" si="21"/>
        <v/>
      </c>
      <c r="P33" s="162"/>
      <c r="Q33" s="168" t="b">
        <f t="shared" si="10"/>
        <v>0</v>
      </c>
      <c r="R33" s="371" t="s">
        <v>1014</v>
      </c>
      <c r="S33" s="372">
        <v>10</v>
      </c>
      <c r="T33" s="224" t="str">
        <f t="shared" ca="1" si="26"/>
        <v/>
      </c>
      <c r="U33" s="224" t="str">
        <f t="shared" ca="1" si="12"/>
        <v/>
      </c>
      <c r="V33" s="224" t="str">
        <f t="shared" ca="1" si="13"/>
        <v/>
      </c>
      <c r="W33" s="374" t="str">
        <f t="shared" si="14"/>
        <v/>
      </c>
      <c r="X33" s="375" t="str">
        <f t="shared" si="27"/>
        <v/>
      </c>
      <c r="Y33" s="376" t="str">
        <f t="shared" si="28"/>
        <v/>
      </c>
      <c r="Z33" s="376" t="str">
        <f t="shared" si="29"/>
        <v/>
      </c>
      <c r="AA33" s="377" t="str">
        <f t="shared" si="18"/>
        <v/>
      </c>
    </row>
    <row r="34" spans="2:37" s="160" customFormat="1" ht="15" customHeight="1">
      <c r="B34" s="166" t="b">
        <f>IF(Pressure_3_R1!A29="",FALSE,TRUE)</f>
        <v>0</v>
      </c>
      <c r="C34" s="190" t="b">
        <f>TYPE(Pressure_3_R1!R29)=1</f>
        <v>1</v>
      </c>
      <c r="D34" s="167">
        <v>26</v>
      </c>
      <c r="E34" s="284" t="str">
        <f>IF($B34=FALSE,"",IF(D$3="해수",1026,표준압력!AI43))</f>
        <v/>
      </c>
      <c r="F34" s="169" t="str">
        <f>IF($B34=FALSE,"",VALUE(Pressure_3_R1!B29))</f>
        <v/>
      </c>
      <c r="G34" s="284" t="str">
        <f t="shared" si="8"/>
        <v/>
      </c>
      <c r="H34" s="284" t="str">
        <f>IF($B34=FALSE,"",표준압력!G43)</f>
        <v/>
      </c>
      <c r="I34" s="284" t="str">
        <f t="shared" si="9"/>
        <v/>
      </c>
      <c r="J34" s="169" t="str">
        <f>IF($B34=FALSE,"",Pressure_3_R1!Q29)</f>
        <v/>
      </c>
      <c r="K34" s="285" t="str">
        <f>IF($B34=FALSE,"",Pressure_3_R1!R29)</f>
        <v/>
      </c>
      <c r="L34" s="285" t="str">
        <f>IF($B34=FALSE,"",Pressure_3_R1!S29)</f>
        <v/>
      </c>
      <c r="M34" s="169" t="str">
        <f t="shared" si="19"/>
        <v/>
      </c>
      <c r="N34" s="285" t="str">
        <f t="shared" si="20"/>
        <v/>
      </c>
      <c r="O34" s="285" t="str">
        <f t="shared" si="21"/>
        <v/>
      </c>
      <c r="P34" s="162"/>
      <c r="Q34" s="168" t="b">
        <f t="shared" si="10"/>
        <v>0</v>
      </c>
      <c r="R34" s="371" t="s">
        <v>309</v>
      </c>
      <c r="S34" s="372">
        <v>11</v>
      </c>
      <c r="T34" s="224" t="str">
        <f t="shared" ca="1" si="26"/>
        <v/>
      </c>
      <c r="U34" s="224" t="str">
        <f t="shared" ca="1" si="12"/>
        <v/>
      </c>
      <c r="V34" s="224" t="str">
        <f t="shared" ca="1" si="13"/>
        <v/>
      </c>
      <c r="W34" s="374" t="str">
        <f t="shared" si="14"/>
        <v/>
      </c>
      <c r="X34" s="375" t="str">
        <f t="shared" si="27"/>
        <v/>
      </c>
      <c r="Y34" s="376" t="str">
        <f t="shared" si="28"/>
        <v/>
      </c>
      <c r="Z34" s="376" t="str">
        <f t="shared" si="29"/>
        <v/>
      </c>
      <c r="AA34" s="377" t="str">
        <f t="shared" si="18"/>
        <v/>
      </c>
    </row>
    <row r="35" spans="2:37" s="160" customFormat="1" ht="15" customHeight="1">
      <c r="B35" s="166" t="b">
        <f>IF(Pressure_3_R1!A30="",FALSE,TRUE)</f>
        <v>0</v>
      </c>
      <c r="C35" s="190" t="b">
        <f>TYPE(Pressure_3_R1!R30)=1</f>
        <v>1</v>
      </c>
      <c r="D35" s="167">
        <v>27</v>
      </c>
      <c r="E35" s="284" t="str">
        <f>IF($B35=FALSE,"",IF(D$3="해수",1026,표준압력!AI44))</f>
        <v/>
      </c>
      <c r="F35" s="169" t="str">
        <f>IF($B35=FALSE,"",VALUE(Pressure_3_R1!B30))</f>
        <v/>
      </c>
      <c r="G35" s="284" t="str">
        <f t="shared" si="8"/>
        <v/>
      </c>
      <c r="H35" s="284" t="str">
        <f>IF($B35=FALSE,"",표준압력!G44)</f>
        <v/>
      </c>
      <c r="I35" s="284" t="str">
        <f t="shared" si="9"/>
        <v/>
      </c>
      <c r="J35" s="169" t="str">
        <f>IF($B35=FALSE,"",Pressure_3_R1!Q30)</f>
        <v/>
      </c>
      <c r="K35" s="285" t="str">
        <f>IF($B35=FALSE,"",Pressure_3_R1!R30)</f>
        <v/>
      </c>
      <c r="L35" s="285" t="str">
        <f>IF($B35=FALSE,"",Pressure_3_R1!S30)</f>
        <v/>
      </c>
      <c r="M35" s="169" t="str">
        <f t="shared" si="19"/>
        <v/>
      </c>
      <c r="N35" s="285" t="str">
        <f t="shared" si="20"/>
        <v/>
      </c>
      <c r="O35" s="285" t="str">
        <f t="shared" si="21"/>
        <v/>
      </c>
      <c r="P35" s="162"/>
      <c r="Q35" s="168" t="b">
        <f t="shared" si="10"/>
        <v>0</v>
      </c>
      <c r="R35" s="371" t="s">
        <v>309</v>
      </c>
      <c r="S35" s="372">
        <v>12</v>
      </c>
      <c r="T35" s="224" t="str">
        <f t="shared" ca="1" si="26"/>
        <v/>
      </c>
      <c r="U35" s="224" t="str">
        <f t="shared" ca="1" si="12"/>
        <v/>
      </c>
      <c r="V35" s="224" t="str">
        <f t="shared" ca="1" si="13"/>
        <v/>
      </c>
      <c r="W35" s="374" t="str">
        <f t="shared" si="14"/>
        <v/>
      </c>
      <c r="X35" s="375" t="str">
        <f t="shared" si="27"/>
        <v/>
      </c>
      <c r="Y35" s="376" t="str">
        <f t="shared" si="28"/>
        <v/>
      </c>
      <c r="Z35" s="376" t="str">
        <f t="shared" si="29"/>
        <v/>
      </c>
      <c r="AA35" s="377" t="str">
        <f t="shared" si="18"/>
        <v/>
      </c>
    </row>
    <row r="36" spans="2:37" s="160" customFormat="1" ht="15" customHeight="1">
      <c r="B36" s="166" t="b">
        <f>IF(Pressure_3_R1!A31="",FALSE,TRUE)</f>
        <v>0</v>
      </c>
      <c r="C36" s="190" t="b">
        <f>TYPE(Pressure_3_R1!R31)=1</f>
        <v>1</v>
      </c>
      <c r="D36" s="167">
        <v>28</v>
      </c>
      <c r="E36" s="284" t="str">
        <f>IF($B36=FALSE,"",IF(D$3="해수",1026,표준압력!AI45))</f>
        <v/>
      </c>
      <c r="F36" s="169" t="str">
        <f>IF($B36=FALSE,"",VALUE(Pressure_3_R1!B31))</f>
        <v/>
      </c>
      <c r="G36" s="284" t="str">
        <f t="shared" si="8"/>
        <v/>
      </c>
      <c r="H36" s="284" t="str">
        <f>IF($B36=FALSE,"",표준압력!G45)</f>
        <v/>
      </c>
      <c r="I36" s="284" t="str">
        <f t="shared" si="9"/>
        <v/>
      </c>
      <c r="J36" s="169" t="str">
        <f>IF($B36=FALSE,"",Pressure_3_R1!Q31)</f>
        <v/>
      </c>
      <c r="K36" s="285" t="str">
        <f>IF($B36=FALSE,"",Pressure_3_R1!R31)</f>
        <v/>
      </c>
      <c r="L36" s="285" t="str">
        <f>IF($B36=FALSE,"",Pressure_3_R1!S31)</f>
        <v/>
      </c>
      <c r="M36" s="169" t="str">
        <f t="shared" si="19"/>
        <v/>
      </c>
      <c r="N36" s="285" t="str">
        <f t="shared" si="20"/>
        <v/>
      </c>
      <c r="O36" s="285" t="str">
        <f t="shared" si="21"/>
        <v/>
      </c>
      <c r="P36" s="162"/>
      <c r="Q36" s="168" t="b">
        <f t="shared" si="10"/>
        <v>0</v>
      </c>
      <c r="R36" s="371" t="s">
        <v>309</v>
      </c>
      <c r="S36" s="372">
        <v>13</v>
      </c>
      <c r="T36" s="224" t="str">
        <f t="shared" ca="1" si="26"/>
        <v/>
      </c>
      <c r="U36" s="224" t="str">
        <f t="shared" ca="1" si="12"/>
        <v/>
      </c>
      <c r="V36" s="224" t="str">
        <f t="shared" ca="1" si="13"/>
        <v/>
      </c>
      <c r="W36" s="374" t="str">
        <f t="shared" si="14"/>
        <v/>
      </c>
      <c r="X36" s="375" t="str">
        <f t="shared" si="27"/>
        <v/>
      </c>
      <c r="Y36" s="376" t="str">
        <f t="shared" si="28"/>
        <v/>
      </c>
      <c r="Z36" s="376" t="str">
        <f t="shared" si="29"/>
        <v/>
      </c>
      <c r="AA36" s="377" t="str">
        <f t="shared" si="18"/>
        <v/>
      </c>
    </row>
    <row r="37" spans="2:37" s="160" customFormat="1" ht="15" customHeight="1">
      <c r="B37" s="166" t="b">
        <f>IF(Pressure_3_R1!A32="",FALSE,TRUE)</f>
        <v>0</v>
      </c>
      <c r="C37" s="190" t="b">
        <f>TYPE(Pressure_3_R1!R32)=1</f>
        <v>1</v>
      </c>
      <c r="D37" s="167">
        <v>29</v>
      </c>
      <c r="E37" s="284" t="str">
        <f>IF($B37=FALSE,"",IF(D$3="해수",1026,표준압력!AI46))</f>
        <v/>
      </c>
      <c r="F37" s="169" t="str">
        <f>IF($B37=FALSE,"",VALUE(Pressure_3_R1!B32))</f>
        <v/>
      </c>
      <c r="G37" s="284" t="str">
        <f t="shared" si="8"/>
        <v/>
      </c>
      <c r="H37" s="284" t="str">
        <f>IF($B37=FALSE,"",표준압력!G46)</f>
        <v/>
      </c>
      <c r="I37" s="284" t="str">
        <f t="shared" si="9"/>
        <v/>
      </c>
      <c r="J37" s="169" t="str">
        <f>IF($B37=FALSE,"",Pressure_3_R1!Q32)</f>
        <v/>
      </c>
      <c r="K37" s="285" t="str">
        <f>IF($B37=FALSE,"",Pressure_3_R1!R32)</f>
        <v/>
      </c>
      <c r="L37" s="285" t="str">
        <f>IF($B37=FALSE,"",Pressure_3_R1!S32)</f>
        <v/>
      </c>
      <c r="M37" s="169" t="str">
        <f t="shared" si="19"/>
        <v/>
      </c>
      <c r="N37" s="285" t="str">
        <f t="shared" si="20"/>
        <v/>
      </c>
      <c r="O37" s="285" t="str">
        <f t="shared" si="21"/>
        <v/>
      </c>
      <c r="P37" s="162"/>
      <c r="Q37" s="168" t="b">
        <f t="shared" si="10"/>
        <v>0</v>
      </c>
      <c r="R37" s="371" t="s">
        <v>1014</v>
      </c>
      <c r="S37" s="372">
        <v>14</v>
      </c>
      <c r="T37" s="224" t="str">
        <f t="shared" ca="1" si="26"/>
        <v/>
      </c>
      <c r="U37" s="224" t="str">
        <f t="shared" ca="1" si="12"/>
        <v/>
      </c>
      <c r="V37" s="224" t="str">
        <f t="shared" ca="1" si="13"/>
        <v/>
      </c>
      <c r="W37" s="374" t="str">
        <f t="shared" si="14"/>
        <v/>
      </c>
      <c r="X37" s="375" t="str">
        <f t="shared" si="27"/>
        <v/>
      </c>
      <c r="Y37" s="376" t="str">
        <f t="shared" si="28"/>
        <v/>
      </c>
      <c r="Z37" s="376" t="str">
        <f t="shared" si="29"/>
        <v/>
      </c>
      <c r="AA37" s="377" t="str">
        <f t="shared" si="18"/>
        <v/>
      </c>
    </row>
    <row r="38" spans="2:37" s="160" customFormat="1" ht="15" customHeight="1">
      <c r="B38" s="166" t="b">
        <f>IF(Pressure_3_R1!A33="",FALSE,TRUE)</f>
        <v>0</v>
      </c>
      <c r="C38" s="190" t="b">
        <f>TYPE(Pressure_3_R1!R33)=1</f>
        <v>1</v>
      </c>
      <c r="D38" s="167">
        <v>30</v>
      </c>
      <c r="E38" s="284" t="str">
        <f>IF($B38=FALSE,"",IF(D$3="해수",1026,표준압력!AI47))</f>
        <v/>
      </c>
      <c r="F38" s="169" t="str">
        <f>IF($B38=FALSE,"",VALUE(Pressure_3_R1!B33))</f>
        <v/>
      </c>
      <c r="G38" s="284" t="str">
        <f t="shared" si="8"/>
        <v/>
      </c>
      <c r="H38" s="284" t="str">
        <f>IF($B38=FALSE,"",표준압력!G47)</f>
        <v/>
      </c>
      <c r="I38" s="284" t="str">
        <f t="shared" si="9"/>
        <v/>
      </c>
      <c r="J38" s="169" t="str">
        <f>IF($B38=FALSE,"",Pressure_3_R1!Q33)</f>
        <v/>
      </c>
      <c r="K38" s="285" t="str">
        <f>IF($B38=FALSE,"",Pressure_3_R1!R33)</f>
        <v/>
      </c>
      <c r="L38" s="285" t="str">
        <f>IF($B38=FALSE,"",Pressure_3_R1!S33)</f>
        <v/>
      </c>
      <c r="M38" s="169" t="str">
        <f t="shared" si="19"/>
        <v/>
      </c>
      <c r="N38" s="285" t="str">
        <f t="shared" si="20"/>
        <v/>
      </c>
      <c r="O38" s="285" t="str">
        <f t="shared" si="21"/>
        <v/>
      </c>
      <c r="P38" s="162"/>
      <c r="Q38" s="168" t="b">
        <f t="shared" si="10"/>
        <v>0</v>
      </c>
      <c r="R38" s="371" t="s">
        <v>309</v>
      </c>
      <c r="S38" s="372">
        <v>15</v>
      </c>
      <c r="T38" s="224" t="str">
        <f t="shared" ca="1" si="26"/>
        <v/>
      </c>
      <c r="U38" s="224" t="str">
        <f t="shared" ca="1" si="12"/>
        <v/>
      </c>
      <c r="V38" s="224" t="str">
        <f t="shared" ca="1" si="13"/>
        <v/>
      </c>
      <c r="W38" s="374" t="str">
        <f t="shared" si="14"/>
        <v/>
      </c>
      <c r="X38" s="375" t="str">
        <f t="shared" si="27"/>
        <v/>
      </c>
      <c r="Y38" s="376" t="str">
        <f t="shared" si="28"/>
        <v/>
      </c>
      <c r="Z38" s="376" t="str">
        <f t="shared" si="29"/>
        <v/>
      </c>
      <c r="AA38" s="377" t="str">
        <f t="shared" si="18"/>
        <v/>
      </c>
    </row>
    <row r="39" spans="2:37" ht="15" customHeight="1">
      <c r="B39" s="159"/>
      <c r="C39" s="159"/>
      <c r="D39" s="159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</row>
    <row r="40" spans="2:37" ht="15" customHeight="1">
      <c r="B40" s="164" t="s">
        <v>317</v>
      </c>
      <c r="C40" s="159"/>
      <c r="D40" s="159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U40" s="170"/>
    </row>
    <row r="41" spans="2:37" ht="15" customHeight="1">
      <c r="B41" s="810" t="s">
        <v>318</v>
      </c>
      <c r="C41" s="804" t="s">
        <v>319</v>
      </c>
      <c r="D41" s="805"/>
      <c r="E41" s="805"/>
      <c r="F41" s="805"/>
      <c r="G41" s="805"/>
      <c r="H41" s="805"/>
      <c r="I41" s="806"/>
      <c r="J41" s="786" t="s">
        <v>320</v>
      </c>
      <c r="K41" s="777"/>
      <c r="L41" s="777"/>
      <c r="M41" s="777"/>
      <c r="N41" s="778"/>
      <c r="O41" s="801" t="s">
        <v>65</v>
      </c>
      <c r="P41" s="802"/>
      <c r="Q41" s="802"/>
      <c r="R41" s="802"/>
      <c r="S41" s="802"/>
      <c r="T41" s="802"/>
      <c r="U41" s="802"/>
      <c r="V41" s="803"/>
      <c r="W41" s="767" t="s">
        <v>321</v>
      </c>
      <c r="X41" s="779"/>
      <c r="Y41" s="779"/>
      <c r="Z41" s="779"/>
      <c r="AA41" s="779"/>
      <c r="AB41" s="768"/>
      <c r="AC41" s="773" t="s">
        <v>322</v>
      </c>
      <c r="AD41" s="773" t="s">
        <v>521</v>
      </c>
      <c r="AE41" s="773" t="s">
        <v>323</v>
      </c>
      <c r="AF41" s="776" t="s">
        <v>324</v>
      </c>
      <c r="AG41" s="777"/>
      <c r="AH41" s="777"/>
      <c r="AI41" s="777"/>
      <c r="AJ41" s="778"/>
      <c r="AK41" s="773" t="s">
        <v>325</v>
      </c>
    </row>
    <row r="42" spans="2:37" ht="15" customHeight="1">
      <c r="B42" s="811"/>
      <c r="C42" s="780" t="s">
        <v>326</v>
      </c>
      <c r="D42" s="780" t="s">
        <v>327</v>
      </c>
      <c r="E42" s="780" t="s">
        <v>328</v>
      </c>
      <c r="F42" s="780" t="s">
        <v>329</v>
      </c>
      <c r="G42" s="782" t="s">
        <v>330</v>
      </c>
      <c r="H42" s="780" t="str">
        <f>D3&amp;"밀도"</f>
        <v>0밀도</v>
      </c>
      <c r="I42" s="780" t="s">
        <v>331</v>
      </c>
      <c r="J42" s="784" t="s">
        <v>332</v>
      </c>
      <c r="K42" s="773" t="s">
        <v>333</v>
      </c>
      <c r="L42" s="773" t="s">
        <v>334</v>
      </c>
      <c r="M42" s="773" t="s">
        <v>335</v>
      </c>
      <c r="N42" s="773" t="s">
        <v>336</v>
      </c>
      <c r="O42" s="767" t="s">
        <v>535</v>
      </c>
      <c r="P42" s="768"/>
      <c r="Q42" s="767" t="str">
        <f>H42</f>
        <v>0밀도</v>
      </c>
      <c r="R42" s="768"/>
      <c r="S42" s="767" t="s">
        <v>536</v>
      </c>
      <c r="T42" s="768"/>
      <c r="U42" s="773" t="s">
        <v>537</v>
      </c>
      <c r="V42" s="773" t="s">
        <v>338</v>
      </c>
      <c r="W42" s="773" t="s">
        <v>339</v>
      </c>
      <c r="X42" s="773" t="s">
        <v>340</v>
      </c>
      <c r="Y42" s="773" t="s">
        <v>335</v>
      </c>
      <c r="Z42" s="773" t="s">
        <v>336</v>
      </c>
      <c r="AA42" s="773" t="s">
        <v>337</v>
      </c>
      <c r="AB42" s="773" t="s">
        <v>338</v>
      </c>
      <c r="AC42" s="774"/>
      <c r="AD42" s="774"/>
      <c r="AE42" s="774"/>
      <c r="AF42" s="771" t="s">
        <v>341</v>
      </c>
      <c r="AG42" s="771" t="s">
        <v>342</v>
      </c>
      <c r="AH42" s="771" t="s">
        <v>343</v>
      </c>
      <c r="AI42" s="771" t="s">
        <v>344</v>
      </c>
      <c r="AJ42" s="771" t="s">
        <v>345</v>
      </c>
      <c r="AK42" s="774"/>
    </row>
    <row r="43" spans="2:37" ht="15" customHeight="1">
      <c r="B43" s="811"/>
      <c r="C43" s="781"/>
      <c r="D43" s="781"/>
      <c r="E43" s="781"/>
      <c r="F43" s="781"/>
      <c r="G43" s="783"/>
      <c r="H43" s="781"/>
      <c r="I43" s="781"/>
      <c r="J43" s="785"/>
      <c r="K43" s="775"/>
      <c r="L43" s="775"/>
      <c r="M43" s="775"/>
      <c r="N43" s="775"/>
      <c r="O43" s="268" t="s">
        <v>538</v>
      </c>
      <c r="P43" s="268" t="s">
        <v>539</v>
      </c>
      <c r="Q43" s="268" t="s">
        <v>540</v>
      </c>
      <c r="R43" s="268" t="s">
        <v>539</v>
      </c>
      <c r="S43" s="268" t="s">
        <v>540</v>
      </c>
      <c r="T43" s="268" t="s">
        <v>541</v>
      </c>
      <c r="U43" s="775"/>
      <c r="V43" s="775"/>
      <c r="W43" s="775"/>
      <c r="X43" s="775"/>
      <c r="Y43" s="775"/>
      <c r="Z43" s="775"/>
      <c r="AA43" s="775"/>
      <c r="AB43" s="775"/>
      <c r="AC43" s="775"/>
      <c r="AD43" s="775"/>
      <c r="AE43" s="775"/>
      <c r="AF43" s="772"/>
      <c r="AG43" s="772"/>
      <c r="AH43" s="772"/>
      <c r="AI43" s="772"/>
      <c r="AJ43" s="772"/>
      <c r="AK43" s="774"/>
    </row>
    <row r="44" spans="2:37" ht="15" customHeight="1">
      <c r="B44" s="812"/>
      <c r="C44" s="308">
        <f>F8</f>
        <v>0</v>
      </c>
      <c r="D44" s="308">
        <f>G8</f>
        <v>0</v>
      </c>
      <c r="E44" s="308">
        <f>H8</f>
        <v>0</v>
      </c>
      <c r="F44" s="308">
        <f>I8</f>
        <v>0</v>
      </c>
      <c r="G44" s="294">
        <f>E44</f>
        <v>0</v>
      </c>
      <c r="H44" s="294" t="str">
        <f>E8</f>
        <v>kg/㎥</v>
      </c>
      <c r="I44" s="294" t="s">
        <v>346</v>
      </c>
      <c r="J44" s="294">
        <f>M8</f>
        <v>0</v>
      </c>
      <c r="K44" s="294">
        <f>W8</f>
        <v>0</v>
      </c>
      <c r="L44" s="294">
        <f>K44</f>
        <v>0</v>
      </c>
      <c r="M44" s="294">
        <f>N44</f>
        <v>0</v>
      </c>
      <c r="N44" s="294">
        <f>L44</f>
        <v>0</v>
      </c>
      <c r="O44" s="346" t="s">
        <v>542</v>
      </c>
      <c r="P44" s="346" t="s">
        <v>549</v>
      </c>
      <c r="Q44" s="346" t="s">
        <v>543</v>
      </c>
      <c r="R44" s="346" t="str">
        <f>H44</f>
        <v>kg/㎥</v>
      </c>
      <c r="S44" s="346" t="s">
        <v>544</v>
      </c>
      <c r="T44" s="346" t="s">
        <v>545</v>
      </c>
      <c r="U44" s="343" t="s">
        <v>546</v>
      </c>
      <c r="V44" s="343"/>
      <c r="W44" s="294" t="str">
        <f>U44</f>
        <v>m</v>
      </c>
      <c r="X44" s="294" t="str">
        <f>W44</f>
        <v>m</v>
      </c>
      <c r="Y44" s="294" t="str">
        <f t="shared" ref="Y44:AA44" si="30">X44</f>
        <v>m</v>
      </c>
      <c r="Z44" s="294" t="str">
        <f t="shared" si="30"/>
        <v>m</v>
      </c>
      <c r="AA44" s="294" t="str">
        <f t="shared" si="30"/>
        <v>m</v>
      </c>
      <c r="AB44" s="294"/>
      <c r="AC44" s="294" t="str">
        <f>AA44</f>
        <v>m</v>
      </c>
      <c r="AD44" s="329"/>
      <c r="AE44" s="294"/>
      <c r="AF44" s="294" t="str">
        <f>AC44</f>
        <v>m</v>
      </c>
      <c r="AG44" s="294" t="str">
        <f>AJ44</f>
        <v>m</v>
      </c>
      <c r="AH44" s="294" t="str">
        <f>AG44</f>
        <v>m</v>
      </c>
      <c r="AI44" s="294"/>
      <c r="AJ44" s="294" t="str">
        <f>AF44</f>
        <v>m</v>
      </c>
      <c r="AK44" s="775"/>
    </row>
    <row r="45" spans="2:37" ht="15" customHeight="1">
      <c r="B45" s="171">
        <f t="shared" ref="B45:B59" si="31">D9</f>
        <v>1</v>
      </c>
      <c r="C45" s="171" t="str">
        <f t="shared" ref="C45:C59" si="32">IF($Q9=FALSE,"",F9)</f>
        <v/>
      </c>
      <c r="D45" s="224" t="str">
        <f t="shared" ref="D45:D59" si="33">IF($Q9=FALSE,"",G9)</f>
        <v/>
      </c>
      <c r="E45" s="224" t="str">
        <f t="shared" ref="E45:E59" si="34">IF($Q9=FALSE,"",H9)</f>
        <v/>
      </c>
      <c r="F45" s="224" t="str">
        <f t="shared" ref="F45:F59" si="35">IF($Q9=FALSE,"",I9)</f>
        <v/>
      </c>
      <c r="G45" s="171" t="str">
        <f>IF($Q9=FALSE,"",표준압력!L18)</f>
        <v/>
      </c>
      <c r="H45" s="224" t="str">
        <f>IF($Q9=FALSE,"",IF(D3="해수",표준압력!AD18,표준압력!AK18))</f>
        <v/>
      </c>
      <c r="I45" s="309" t="str">
        <f t="shared" ref="I45:I59" si="36">IF($Q9=FALSE,"",E$3*0.08%)</f>
        <v/>
      </c>
      <c r="J45" s="171" t="str">
        <f t="shared" ref="J45:J59" si="37">IF($Q9=FALSE,"",G$3)</f>
        <v/>
      </c>
      <c r="K45" s="171" t="str">
        <f t="shared" ref="K45:K59" si="38">IF($Q9=FALSE,"",ROUND(AVERAGE(W9,W24),N$64))</f>
        <v/>
      </c>
      <c r="L45" s="171" t="str">
        <f t="shared" ref="L45:L59" si="39">IF($Q9=FALSE,"",ROUND(F45,N$64)-K45)</f>
        <v/>
      </c>
      <c r="M45" s="286" t="str">
        <f t="shared" ref="M45:M59" si="40">IF($Q9=FALSE,"",MAX(AA9,AA24))</f>
        <v/>
      </c>
      <c r="N45" s="224" t="str">
        <f t="shared" ref="N45:N59" si="41">IF($Q9=FALSE,"",MAX(ABS(T24-T9),ABS(U24-U9),ABS(V24-V9)))</f>
        <v/>
      </c>
      <c r="O45" s="171" t="str">
        <f>IF($Q9=FALSE,"",1/(E9*E$3))</f>
        <v/>
      </c>
      <c r="P45" s="171" t="str">
        <f>IF($Q9=FALSE,"",(G45*J$3)/2)</f>
        <v/>
      </c>
      <c r="Q45" s="286" t="str">
        <f>IF($Q9=FALSE,"",(E45*J$3)/(E9^2*E$3))</f>
        <v/>
      </c>
      <c r="R45" s="286" t="str">
        <f>IF($Q9=FALSE,"",H45/SQRT(3))</f>
        <v/>
      </c>
      <c r="S45" s="286" t="str">
        <f>IF($Q9=FALSE,"",(E45*J$3)/(E9*E$3^2))</f>
        <v/>
      </c>
      <c r="T45" s="286" t="str">
        <f>IF($Q9=FALSE,"",I45/SQRT(3))</f>
        <v/>
      </c>
      <c r="U45" s="286" t="str">
        <f>IF($Q9=FALSE,"",SQRT(SUMSQ(O45*P45,Q45*R45,S45*T45)))</f>
        <v/>
      </c>
      <c r="V45" s="171" t="str">
        <f>IF($Q9=FALSE,"",IF(AND(Q45=0,S45=0),"∞",ROUNDDOWN(U45^4/SUM(IF(Q45=0,0,(Q45*R45)^4/12.5),IF(S45=0,0,(S45*T45)^4/12.5)),0)))</f>
        <v/>
      </c>
      <c r="W45" s="286" t="str">
        <f t="shared" ref="W45:W59" si="42">IF($Q9=FALSE,"",J45/2/SQRT(3))</f>
        <v/>
      </c>
      <c r="X45" s="286" t="str">
        <f t="shared" ref="X45:X59" si="43">IF($Q9=FALSE,"",MAX(ABS(T$24-T$9),ABS(U$24-U$9),ABS(V$24-V$9))/2/SQRT(3))</f>
        <v/>
      </c>
      <c r="Y45" s="286" t="str">
        <f>IF($Q9=FALSE,"",MAX(M$45:M$59)/2/SQRT(3))</f>
        <v/>
      </c>
      <c r="Z45" s="286" t="str">
        <f t="shared" ref="Z45:Z59" si="44">IF($Q9=FALSE,"",N45/2/SQRT(3))</f>
        <v/>
      </c>
      <c r="AA45" s="286" t="str">
        <f t="shared" ref="AA45:AA59" si="45">IF($Q9=FALSE,"",SQRT(SUMSQ(W45:Z45)))</f>
        <v/>
      </c>
      <c r="AB45" s="171" t="str">
        <f t="shared" ref="AB45:AB59" si="46">IF($Q9=FALSE,"",IF(AND(X45=0,Y45=0,Z45=0),"∞",ROUNDDOWN(AA45^4/SUM(IF(X45=0,0,X45^4/12.5),IF(Y45=0,0,Y45^4/12.5),IF(Z45=0,0,Z45^4/2)),0)))</f>
        <v/>
      </c>
      <c r="AC45" s="286" t="str">
        <f t="shared" ref="AC45:AC59" si="47">IF($Q9=FALSE,"",SQRT(SUMSQ(U45,AA45)))</f>
        <v/>
      </c>
      <c r="AD45" s="171" t="str">
        <f t="shared" ref="AD45:AD59" si="48">IF($Q9=FALSE,"",IF(AND(V45="∞",AB45="∞"),"∞",ROUNDDOWN(AC45^4/SUM(IF(V45="∞",0,U45^4/V45),IF(AB45="∞",0,AA45^4/AB45)),0)))</f>
        <v/>
      </c>
      <c r="AE45" s="171" t="str">
        <f t="shared" ref="AE45:AE59" ca="1" si="49">IF($Q9=FALSE,"",IF(AD45&gt;9,2,OFFSET(Z$63,MATCH(AD45,Y$64:Y$73,0),0)))</f>
        <v/>
      </c>
      <c r="AF45" s="286" t="str">
        <f t="shared" ref="AF45:AF59" si="50">IF($Q9=FALSE,"",MAX(AE$45:AE$59)*AC45)</f>
        <v/>
      </c>
      <c r="AG45" s="310" t="str">
        <f>IF($Q9=FALSE,"",Pressure_3_R1!G4*D45)</f>
        <v/>
      </c>
      <c r="AH45" s="310" t="str">
        <f t="shared" ref="AH45:AH59" si="51">IF($Q9=FALSE,"",MAX(AF45:AG45))</f>
        <v/>
      </c>
      <c r="AI45" s="306" t="str">
        <f t="shared" ref="AI45:AI59" si="52">IF($Q9=FALSE,"",IF(((AH45-ROUND(AH45,N$64))/AH45*100)&gt;=5,TRUE,FALSE))</f>
        <v/>
      </c>
      <c r="AJ45" s="306" t="str">
        <f t="shared" ref="AJ45:AJ59" si="53">IF($Q9=FALSE,"",IF(ROUND(AH45,N$64)=0,ROUNDUP(AH45,N$64),IF(AI45=TRUE,ROUNDUP(AH45,N$64),ROUND(AH45,N$64))))</f>
        <v/>
      </c>
      <c r="AK45" s="311" t="str">
        <f t="shared" ref="AK45:AK59" si="54">IF($Q9=FALSE,"",IF(AF45=AH45,0,1))</f>
        <v/>
      </c>
    </row>
    <row r="46" spans="2:37" ht="15" customHeight="1">
      <c r="B46" s="171">
        <f t="shared" si="31"/>
        <v>2</v>
      </c>
      <c r="C46" s="171" t="str">
        <f t="shared" si="32"/>
        <v/>
      </c>
      <c r="D46" s="224" t="str">
        <f t="shared" si="33"/>
        <v/>
      </c>
      <c r="E46" s="224" t="str">
        <f t="shared" si="34"/>
        <v/>
      </c>
      <c r="F46" s="224" t="str">
        <f t="shared" si="35"/>
        <v/>
      </c>
      <c r="G46" s="171" t="str">
        <f>IF($Q10=FALSE,"",표준압력!L19)</f>
        <v/>
      </c>
      <c r="H46" s="224" t="str">
        <f>IF($Q10=FALSE,"",IF(D4="해수",표준압력!AD19,표준압력!AK19))</f>
        <v/>
      </c>
      <c r="I46" s="309" t="str">
        <f t="shared" si="36"/>
        <v/>
      </c>
      <c r="J46" s="171" t="str">
        <f t="shared" si="37"/>
        <v/>
      </c>
      <c r="K46" s="171" t="str">
        <f t="shared" si="38"/>
        <v/>
      </c>
      <c r="L46" s="171" t="str">
        <f t="shared" si="39"/>
        <v/>
      </c>
      <c r="M46" s="286" t="str">
        <f t="shared" si="40"/>
        <v/>
      </c>
      <c r="N46" s="224" t="str">
        <f t="shared" si="41"/>
        <v/>
      </c>
      <c r="O46" s="171" t="str">
        <f t="shared" ref="O46:O59" si="55">IF($Q10=FALSE,"",1/(E10*E$3))</f>
        <v/>
      </c>
      <c r="P46" s="171" t="str">
        <f t="shared" ref="P46:P59" si="56">IF($Q10=FALSE,"",(G46*J$3)/2)</f>
        <v/>
      </c>
      <c r="Q46" s="286" t="str">
        <f t="shared" ref="Q46:Q59" si="57">IF($Q10=FALSE,"",(E46*J$3)/(E10^2*E$3))</f>
        <v/>
      </c>
      <c r="R46" s="286" t="str">
        <f t="shared" ref="R46:R59" si="58">IF($Q10=FALSE,"",H46/SQRT(3))</f>
        <v/>
      </c>
      <c r="S46" s="286" t="str">
        <f t="shared" ref="S46:S59" si="59">IF($Q10=FALSE,"",(E46*J$3)/(E10*E$3^2))</f>
        <v/>
      </c>
      <c r="T46" s="286" t="str">
        <f t="shared" ref="T46:T59" si="60">IF($Q10=FALSE,"",I46/SQRT(3))</f>
        <v/>
      </c>
      <c r="U46" s="286" t="str">
        <f t="shared" ref="U46:U59" si="61">IF($Q10=FALSE,"",SQRT(SUMSQ(O46*P46,Q46*R46,S46*T46)))</f>
        <v/>
      </c>
      <c r="V46" s="171" t="str">
        <f t="shared" ref="V46:V59" si="62">IF($Q10=FALSE,"",IF(AND(Q46=0,S46=0),"∞",ROUNDDOWN(U46^4/SUM(IF(Q46=0,0,(Q46*R46)^4/12.5),IF(S46=0,0,(S46*T46)^4/12.5)),0)))</f>
        <v/>
      </c>
      <c r="W46" s="286" t="str">
        <f t="shared" si="42"/>
        <v/>
      </c>
      <c r="X46" s="286" t="str">
        <f t="shared" si="43"/>
        <v/>
      </c>
      <c r="Y46" s="286" t="str">
        <f t="shared" ref="Y46:Y59" si="63">IF($Q10=FALSE,"",MAX(M$45:M$59)/2/SQRT(3))</f>
        <v/>
      </c>
      <c r="Z46" s="286" t="str">
        <f t="shared" si="44"/>
        <v/>
      </c>
      <c r="AA46" s="286" t="str">
        <f t="shared" si="45"/>
        <v/>
      </c>
      <c r="AB46" s="171" t="str">
        <f t="shared" si="46"/>
        <v/>
      </c>
      <c r="AC46" s="286" t="str">
        <f t="shared" si="47"/>
        <v/>
      </c>
      <c r="AD46" s="171" t="str">
        <f t="shared" si="48"/>
        <v/>
      </c>
      <c r="AE46" s="171" t="str">
        <f t="shared" ca="1" si="49"/>
        <v/>
      </c>
      <c r="AF46" s="286" t="str">
        <f t="shared" si="50"/>
        <v/>
      </c>
      <c r="AG46" s="310" t="str">
        <f>IF($Q10=FALSE,"",Pressure_3_R1!G5*D46)</f>
        <v/>
      </c>
      <c r="AH46" s="310" t="str">
        <f t="shared" si="51"/>
        <v/>
      </c>
      <c r="AI46" s="306" t="str">
        <f t="shared" si="52"/>
        <v/>
      </c>
      <c r="AJ46" s="306" t="str">
        <f t="shared" si="53"/>
        <v/>
      </c>
      <c r="AK46" s="311" t="str">
        <f t="shared" si="54"/>
        <v/>
      </c>
    </row>
    <row r="47" spans="2:37" ht="15" customHeight="1">
      <c r="B47" s="171">
        <f t="shared" si="31"/>
        <v>3</v>
      </c>
      <c r="C47" s="171" t="str">
        <f t="shared" si="32"/>
        <v/>
      </c>
      <c r="D47" s="224" t="str">
        <f t="shared" si="33"/>
        <v/>
      </c>
      <c r="E47" s="224" t="str">
        <f t="shared" si="34"/>
        <v/>
      </c>
      <c r="F47" s="224" t="str">
        <f t="shared" si="35"/>
        <v/>
      </c>
      <c r="G47" s="171" t="str">
        <f>IF($Q11=FALSE,"",표준압력!L20)</f>
        <v/>
      </c>
      <c r="H47" s="224" t="str">
        <f>IF($Q11=FALSE,"",IF(D5="해수",표준압력!AD20,표준압력!AK20))</f>
        <v/>
      </c>
      <c r="I47" s="309" t="str">
        <f t="shared" si="36"/>
        <v/>
      </c>
      <c r="J47" s="171" t="str">
        <f t="shared" si="37"/>
        <v/>
      </c>
      <c r="K47" s="171" t="str">
        <f t="shared" si="38"/>
        <v/>
      </c>
      <c r="L47" s="171" t="str">
        <f t="shared" si="39"/>
        <v/>
      </c>
      <c r="M47" s="286" t="str">
        <f t="shared" si="40"/>
        <v/>
      </c>
      <c r="N47" s="224" t="str">
        <f t="shared" si="41"/>
        <v/>
      </c>
      <c r="O47" s="171" t="str">
        <f t="shared" si="55"/>
        <v/>
      </c>
      <c r="P47" s="171" t="str">
        <f t="shared" si="56"/>
        <v/>
      </c>
      <c r="Q47" s="286" t="str">
        <f t="shared" si="57"/>
        <v/>
      </c>
      <c r="R47" s="286" t="str">
        <f t="shared" si="58"/>
        <v/>
      </c>
      <c r="S47" s="286" t="str">
        <f t="shared" si="59"/>
        <v/>
      </c>
      <c r="T47" s="286" t="str">
        <f t="shared" si="60"/>
        <v/>
      </c>
      <c r="U47" s="286" t="str">
        <f t="shared" si="61"/>
        <v/>
      </c>
      <c r="V47" s="171" t="str">
        <f t="shared" si="62"/>
        <v/>
      </c>
      <c r="W47" s="286" t="str">
        <f t="shared" si="42"/>
        <v/>
      </c>
      <c r="X47" s="286" t="str">
        <f t="shared" si="43"/>
        <v/>
      </c>
      <c r="Y47" s="286" t="str">
        <f t="shared" si="63"/>
        <v/>
      </c>
      <c r="Z47" s="286" t="str">
        <f t="shared" si="44"/>
        <v/>
      </c>
      <c r="AA47" s="286" t="str">
        <f t="shared" si="45"/>
        <v/>
      </c>
      <c r="AB47" s="171" t="str">
        <f t="shared" si="46"/>
        <v/>
      </c>
      <c r="AC47" s="286" t="str">
        <f t="shared" si="47"/>
        <v/>
      </c>
      <c r="AD47" s="171" t="str">
        <f t="shared" si="48"/>
        <v/>
      </c>
      <c r="AE47" s="171" t="str">
        <f t="shared" ca="1" si="49"/>
        <v/>
      </c>
      <c r="AF47" s="286" t="str">
        <f t="shared" si="50"/>
        <v/>
      </c>
      <c r="AG47" s="310" t="str">
        <f>IF($Q11=FALSE,"",Pressure_3_R1!G6*D47)</f>
        <v/>
      </c>
      <c r="AH47" s="310" t="str">
        <f t="shared" si="51"/>
        <v/>
      </c>
      <c r="AI47" s="306" t="str">
        <f t="shared" si="52"/>
        <v/>
      </c>
      <c r="AJ47" s="306" t="str">
        <f t="shared" si="53"/>
        <v/>
      </c>
      <c r="AK47" s="311" t="str">
        <f t="shared" si="54"/>
        <v/>
      </c>
    </row>
    <row r="48" spans="2:37" ht="15" customHeight="1">
      <c r="B48" s="171">
        <f t="shared" si="31"/>
        <v>4</v>
      </c>
      <c r="C48" s="171" t="str">
        <f t="shared" si="32"/>
        <v/>
      </c>
      <c r="D48" s="224" t="str">
        <f t="shared" si="33"/>
        <v/>
      </c>
      <c r="E48" s="224" t="str">
        <f t="shared" si="34"/>
        <v/>
      </c>
      <c r="F48" s="224" t="str">
        <f t="shared" si="35"/>
        <v/>
      </c>
      <c r="G48" s="171" t="str">
        <f>IF($Q12=FALSE,"",표준압력!L21)</f>
        <v/>
      </c>
      <c r="H48" s="224" t="str">
        <f>IF($Q12=FALSE,"",IF(D6="해수",표준압력!AD21,표준압력!AK21))</f>
        <v/>
      </c>
      <c r="I48" s="309" t="str">
        <f t="shared" si="36"/>
        <v/>
      </c>
      <c r="J48" s="171" t="str">
        <f t="shared" si="37"/>
        <v/>
      </c>
      <c r="K48" s="171" t="str">
        <f t="shared" si="38"/>
        <v/>
      </c>
      <c r="L48" s="171" t="str">
        <f t="shared" si="39"/>
        <v/>
      </c>
      <c r="M48" s="286" t="str">
        <f t="shared" si="40"/>
        <v/>
      </c>
      <c r="N48" s="224" t="str">
        <f t="shared" si="41"/>
        <v/>
      </c>
      <c r="O48" s="171" t="str">
        <f t="shared" si="55"/>
        <v/>
      </c>
      <c r="P48" s="171" t="str">
        <f t="shared" si="56"/>
        <v/>
      </c>
      <c r="Q48" s="286" t="str">
        <f t="shared" si="57"/>
        <v/>
      </c>
      <c r="R48" s="286" t="str">
        <f t="shared" si="58"/>
        <v/>
      </c>
      <c r="S48" s="286" t="str">
        <f t="shared" si="59"/>
        <v/>
      </c>
      <c r="T48" s="286" t="str">
        <f t="shared" si="60"/>
        <v/>
      </c>
      <c r="U48" s="286" t="str">
        <f t="shared" si="61"/>
        <v/>
      </c>
      <c r="V48" s="171" t="str">
        <f t="shared" si="62"/>
        <v/>
      </c>
      <c r="W48" s="286" t="str">
        <f t="shared" si="42"/>
        <v/>
      </c>
      <c r="X48" s="286" t="str">
        <f t="shared" si="43"/>
        <v/>
      </c>
      <c r="Y48" s="286" t="str">
        <f t="shared" si="63"/>
        <v/>
      </c>
      <c r="Z48" s="286" t="str">
        <f t="shared" si="44"/>
        <v/>
      </c>
      <c r="AA48" s="286" t="str">
        <f t="shared" si="45"/>
        <v/>
      </c>
      <c r="AB48" s="171" t="str">
        <f t="shared" si="46"/>
        <v/>
      </c>
      <c r="AC48" s="286" t="str">
        <f t="shared" si="47"/>
        <v/>
      </c>
      <c r="AD48" s="171" t="str">
        <f t="shared" si="48"/>
        <v/>
      </c>
      <c r="AE48" s="171" t="str">
        <f t="shared" ca="1" si="49"/>
        <v/>
      </c>
      <c r="AF48" s="286" t="str">
        <f t="shared" si="50"/>
        <v/>
      </c>
      <c r="AG48" s="310" t="str">
        <f>IF($Q12=FALSE,"",Pressure_3_R1!G7*D48)</f>
        <v/>
      </c>
      <c r="AH48" s="310" t="str">
        <f t="shared" si="51"/>
        <v/>
      </c>
      <c r="AI48" s="306" t="str">
        <f t="shared" si="52"/>
        <v/>
      </c>
      <c r="AJ48" s="306" t="str">
        <f t="shared" si="53"/>
        <v/>
      </c>
      <c r="AK48" s="311" t="str">
        <f t="shared" si="54"/>
        <v/>
      </c>
    </row>
    <row r="49" spans="2:37" ht="15" customHeight="1">
      <c r="B49" s="171">
        <f t="shared" si="31"/>
        <v>5</v>
      </c>
      <c r="C49" s="171" t="str">
        <f t="shared" si="32"/>
        <v/>
      </c>
      <c r="D49" s="224" t="str">
        <f t="shared" si="33"/>
        <v/>
      </c>
      <c r="E49" s="224" t="str">
        <f t="shared" si="34"/>
        <v/>
      </c>
      <c r="F49" s="224" t="str">
        <f t="shared" si="35"/>
        <v/>
      </c>
      <c r="G49" s="171" t="str">
        <f>IF($Q13=FALSE,"",표준압력!L22)</f>
        <v/>
      </c>
      <c r="H49" s="224" t="str">
        <f>IF($Q13=FALSE,"",IF(D7="해수",표준압력!AD22,표준압력!AK22))</f>
        <v/>
      </c>
      <c r="I49" s="309" t="str">
        <f t="shared" si="36"/>
        <v/>
      </c>
      <c r="J49" s="171" t="str">
        <f t="shared" si="37"/>
        <v/>
      </c>
      <c r="K49" s="171" t="str">
        <f t="shared" si="38"/>
        <v/>
      </c>
      <c r="L49" s="171" t="str">
        <f t="shared" si="39"/>
        <v/>
      </c>
      <c r="M49" s="286" t="str">
        <f t="shared" si="40"/>
        <v/>
      </c>
      <c r="N49" s="224" t="str">
        <f t="shared" si="41"/>
        <v/>
      </c>
      <c r="O49" s="171" t="str">
        <f t="shared" si="55"/>
        <v/>
      </c>
      <c r="P49" s="171" t="str">
        <f t="shared" si="56"/>
        <v/>
      </c>
      <c r="Q49" s="286" t="str">
        <f t="shared" si="57"/>
        <v/>
      </c>
      <c r="R49" s="286" t="str">
        <f t="shared" si="58"/>
        <v/>
      </c>
      <c r="S49" s="286" t="str">
        <f t="shared" si="59"/>
        <v/>
      </c>
      <c r="T49" s="286" t="str">
        <f t="shared" si="60"/>
        <v/>
      </c>
      <c r="U49" s="286" t="str">
        <f t="shared" si="61"/>
        <v/>
      </c>
      <c r="V49" s="171" t="str">
        <f t="shared" si="62"/>
        <v/>
      </c>
      <c r="W49" s="286" t="str">
        <f t="shared" si="42"/>
        <v/>
      </c>
      <c r="X49" s="286" t="str">
        <f t="shared" si="43"/>
        <v/>
      </c>
      <c r="Y49" s="286" t="str">
        <f t="shared" si="63"/>
        <v/>
      </c>
      <c r="Z49" s="286" t="str">
        <f t="shared" si="44"/>
        <v/>
      </c>
      <c r="AA49" s="286" t="str">
        <f t="shared" si="45"/>
        <v/>
      </c>
      <c r="AB49" s="171" t="str">
        <f t="shared" si="46"/>
        <v/>
      </c>
      <c r="AC49" s="286" t="str">
        <f t="shared" si="47"/>
        <v/>
      </c>
      <c r="AD49" s="171" t="str">
        <f t="shared" si="48"/>
        <v/>
      </c>
      <c r="AE49" s="171" t="str">
        <f t="shared" ca="1" si="49"/>
        <v/>
      </c>
      <c r="AF49" s="286" t="str">
        <f t="shared" si="50"/>
        <v/>
      </c>
      <c r="AG49" s="310" t="str">
        <f>IF($Q13=FALSE,"",Pressure_3_R1!G8*D49)</f>
        <v/>
      </c>
      <c r="AH49" s="310" t="str">
        <f t="shared" si="51"/>
        <v/>
      </c>
      <c r="AI49" s="306" t="str">
        <f t="shared" si="52"/>
        <v/>
      </c>
      <c r="AJ49" s="306" t="str">
        <f t="shared" si="53"/>
        <v/>
      </c>
      <c r="AK49" s="311" t="str">
        <f t="shared" si="54"/>
        <v/>
      </c>
    </row>
    <row r="50" spans="2:37" ht="15" customHeight="1">
      <c r="B50" s="171">
        <f t="shared" si="31"/>
        <v>6</v>
      </c>
      <c r="C50" s="171" t="str">
        <f t="shared" si="32"/>
        <v/>
      </c>
      <c r="D50" s="224" t="str">
        <f t="shared" si="33"/>
        <v/>
      </c>
      <c r="E50" s="224" t="str">
        <f t="shared" si="34"/>
        <v/>
      </c>
      <c r="F50" s="224" t="str">
        <f t="shared" si="35"/>
        <v/>
      </c>
      <c r="G50" s="171" t="str">
        <f>IF($Q14=FALSE,"",표준압력!L23)</f>
        <v/>
      </c>
      <c r="H50" s="224" t="str">
        <f>IF($Q14=FALSE,"",IF(D8="해수",표준압력!AD23,표준압력!AK23))</f>
        <v/>
      </c>
      <c r="I50" s="309" t="str">
        <f t="shared" si="36"/>
        <v/>
      </c>
      <c r="J50" s="171" t="str">
        <f t="shared" si="37"/>
        <v/>
      </c>
      <c r="K50" s="171" t="str">
        <f t="shared" si="38"/>
        <v/>
      </c>
      <c r="L50" s="171" t="str">
        <f t="shared" si="39"/>
        <v/>
      </c>
      <c r="M50" s="286" t="str">
        <f t="shared" si="40"/>
        <v/>
      </c>
      <c r="N50" s="224" t="str">
        <f t="shared" si="41"/>
        <v/>
      </c>
      <c r="O50" s="171" t="str">
        <f t="shared" si="55"/>
        <v/>
      </c>
      <c r="P50" s="171" t="str">
        <f t="shared" si="56"/>
        <v/>
      </c>
      <c r="Q50" s="286" t="str">
        <f t="shared" si="57"/>
        <v/>
      </c>
      <c r="R50" s="286" t="str">
        <f t="shared" si="58"/>
        <v/>
      </c>
      <c r="S50" s="286" t="str">
        <f t="shared" si="59"/>
        <v/>
      </c>
      <c r="T50" s="286" t="str">
        <f t="shared" si="60"/>
        <v/>
      </c>
      <c r="U50" s="286" t="str">
        <f t="shared" si="61"/>
        <v/>
      </c>
      <c r="V50" s="171" t="str">
        <f t="shared" si="62"/>
        <v/>
      </c>
      <c r="W50" s="286" t="str">
        <f t="shared" si="42"/>
        <v/>
      </c>
      <c r="X50" s="286" t="str">
        <f t="shared" si="43"/>
        <v/>
      </c>
      <c r="Y50" s="286" t="str">
        <f t="shared" si="63"/>
        <v/>
      </c>
      <c r="Z50" s="286" t="str">
        <f t="shared" si="44"/>
        <v/>
      </c>
      <c r="AA50" s="286" t="str">
        <f t="shared" si="45"/>
        <v/>
      </c>
      <c r="AB50" s="171" t="str">
        <f t="shared" si="46"/>
        <v/>
      </c>
      <c r="AC50" s="286" t="str">
        <f t="shared" si="47"/>
        <v/>
      </c>
      <c r="AD50" s="171" t="str">
        <f t="shared" si="48"/>
        <v/>
      </c>
      <c r="AE50" s="171" t="str">
        <f t="shared" ca="1" si="49"/>
        <v/>
      </c>
      <c r="AF50" s="286" t="str">
        <f t="shared" si="50"/>
        <v/>
      </c>
      <c r="AG50" s="310" t="str">
        <f>IF($Q14=FALSE,"",Pressure_3_R1!G9*D50)</f>
        <v/>
      </c>
      <c r="AH50" s="310" t="str">
        <f t="shared" si="51"/>
        <v/>
      </c>
      <c r="AI50" s="306" t="str">
        <f t="shared" si="52"/>
        <v/>
      </c>
      <c r="AJ50" s="306" t="str">
        <f t="shared" si="53"/>
        <v/>
      </c>
      <c r="AK50" s="311" t="str">
        <f t="shared" si="54"/>
        <v/>
      </c>
    </row>
    <row r="51" spans="2:37" ht="15" customHeight="1">
      <c r="B51" s="171">
        <f t="shared" si="31"/>
        <v>7</v>
      </c>
      <c r="C51" s="171" t="str">
        <f t="shared" si="32"/>
        <v/>
      </c>
      <c r="D51" s="224" t="str">
        <f t="shared" si="33"/>
        <v/>
      </c>
      <c r="E51" s="224" t="str">
        <f t="shared" si="34"/>
        <v/>
      </c>
      <c r="F51" s="224" t="str">
        <f t="shared" si="35"/>
        <v/>
      </c>
      <c r="G51" s="171" t="str">
        <f>IF($Q15=FALSE,"",표준압력!L24)</f>
        <v/>
      </c>
      <c r="H51" s="224" t="str">
        <f>IF($Q15=FALSE,"",IF(D9="해수",표준압력!AD24,표준압력!AK24))</f>
        <v/>
      </c>
      <c r="I51" s="309" t="str">
        <f t="shared" si="36"/>
        <v/>
      </c>
      <c r="J51" s="171" t="str">
        <f t="shared" si="37"/>
        <v/>
      </c>
      <c r="K51" s="171" t="str">
        <f t="shared" si="38"/>
        <v/>
      </c>
      <c r="L51" s="171" t="str">
        <f t="shared" si="39"/>
        <v/>
      </c>
      <c r="M51" s="286" t="str">
        <f t="shared" si="40"/>
        <v/>
      </c>
      <c r="N51" s="224" t="str">
        <f t="shared" si="41"/>
        <v/>
      </c>
      <c r="O51" s="171" t="str">
        <f t="shared" si="55"/>
        <v/>
      </c>
      <c r="P51" s="171" t="str">
        <f t="shared" si="56"/>
        <v/>
      </c>
      <c r="Q51" s="286" t="str">
        <f t="shared" si="57"/>
        <v/>
      </c>
      <c r="R51" s="286" t="str">
        <f t="shared" si="58"/>
        <v/>
      </c>
      <c r="S51" s="286" t="str">
        <f t="shared" si="59"/>
        <v/>
      </c>
      <c r="T51" s="286" t="str">
        <f t="shared" si="60"/>
        <v/>
      </c>
      <c r="U51" s="286" t="str">
        <f t="shared" si="61"/>
        <v/>
      </c>
      <c r="V51" s="171" t="str">
        <f t="shared" si="62"/>
        <v/>
      </c>
      <c r="W51" s="286" t="str">
        <f t="shared" si="42"/>
        <v/>
      </c>
      <c r="X51" s="286" t="str">
        <f t="shared" si="43"/>
        <v/>
      </c>
      <c r="Y51" s="286" t="str">
        <f t="shared" si="63"/>
        <v/>
      </c>
      <c r="Z51" s="286" t="str">
        <f t="shared" si="44"/>
        <v/>
      </c>
      <c r="AA51" s="286" t="str">
        <f t="shared" si="45"/>
        <v/>
      </c>
      <c r="AB51" s="171" t="str">
        <f t="shared" si="46"/>
        <v/>
      </c>
      <c r="AC51" s="286" t="str">
        <f t="shared" si="47"/>
        <v/>
      </c>
      <c r="AD51" s="171" t="str">
        <f t="shared" si="48"/>
        <v/>
      </c>
      <c r="AE51" s="171" t="str">
        <f t="shared" ca="1" si="49"/>
        <v/>
      </c>
      <c r="AF51" s="286" t="str">
        <f t="shared" si="50"/>
        <v/>
      </c>
      <c r="AG51" s="310" t="str">
        <f>IF($Q15=FALSE,"",Pressure_3_R1!G10*D51)</f>
        <v/>
      </c>
      <c r="AH51" s="310" t="str">
        <f t="shared" si="51"/>
        <v/>
      </c>
      <c r="AI51" s="306" t="str">
        <f t="shared" si="52"/>
        <v/>
      </c>
      <c r="AJ51" s="306" t="str">
        <f t="shared" si="53"/>
        <v/>
      </c>
      <c r="AK51" s="311" t="str">
        <f t="shared" si="54"/>
        <v/>
      </c>
    </row>
    <row r="52" spans="2:37" ht="15" customHeight="1">
      <c r="B52" s="171">
        <f t="shared" si="31"/>
        <v>8</v>
      </c>
      <c r="C52" s="171" t="str">
        <f t="shared" si="32"/>
        <v/>
      </c>
      <c r="D52" s="224" t="str">
        <f t="shared" si="33"/>
        <v/>
      </c>
      <c r="E52" s="224" t="str">
        <f t="shared" si="34"/>
        <v/>
      </c>
      <c r="F52" s="224" t="str">
        <f t="shared" si="35"/>
        <v/>
      </c>
      <c r="G52" s="171" t="str">
        <f>IF($Q16=FALSE,"",표준압력!L25)</f>
        <v/>
      </c>
      <c r="H52" s="224" t="str">
        <f>IF($Q16=FALSE,"",IF(D10="해수",표준압력!AD25,표준압력!AK25))</f>
        <v/>
      </c>
      <c r="I52" s="309" t="str">
        <f t="shared" si="36"/>
        <v/>
      </c>
      <c r="J52" s="171" t="str">
        <f t="shared" si="37"/>
        <v/>
      </c>
      <c r="K52" s="171" t="str">
        <f t="shared" si="38"/>
        <v/>
      </c>
      <c r="L52" s="171" t="str">
        <f t="shared" si="39"/>
        <v/>
      </c>
      <c r="M52" s="286" t="str">
        <f t="shared" si="40"/>
        <v/>
      </c>
      <c r="N52" s="224" t="str">
        <f t="shared" si="41"/>
        <v/>
      </c>
      <c r="O52" s="171" t="str">
        <f t="shared" si="55"/>
        <v/>
      </c>
      <c r="P52" s="171" t="str">
        <f t="shared" si="56"/>
        <v/>
      </c>
      <c r="Q52" s="286" t="str">
        <f t="shared" si="57"/>
        <v/>
      </c>
      <c r="R52" s="286" t="str">
        <f t="shared" si="58"/>
        <v/>
      </c>
      <c r="S52" s="286" t="str">
        <f t="shared" si="59"/>
        <v/>
      </c>
      <c r="T52" s="286" t="str">
        <f t="shared" si="60"/>
        <v/>
      </c>
      <c r="U52" s="286" t="str">
        <f t="shared" si="61"/>
        <v/>
      </c>
      <c r="V52" s="171" t="str">
        <f t="shared" si="62"/>
        <v/>
      </c>
      <c r="W52" s="286" t="str">
        <f t="shared" si="42"/>
        <v/>
      </c>
      <c r="X52" s="286" t="str">
        <f t="shared" si="43"/>
        <v/>
      </c>
      <c r="Y52" s="286" t="str">
        <f t="shared" si="63"/>
        <v/>
      </c>
      <c r="Z52" s="286" t="str">
        <f t="shared" si="44"/>
        <v/>
      </c>
      <c r="AA52" s="286" t="str">
        <f t="shared" si="45"/>
        <v/>
      </c>
      <c r="AB52" s="171" t="str">
        <f t="shared" si="46"/>
        <v/>
      </c>
      <c r="AC52" s="286" t="str">
        <f t="shared" si="47"/>
        <v/>
      </c>
      <c r="AD52" s="171" t="str">
        <f t="shared" si="48"/>
        <v/>
      </c>
      <c r="AE52" s="171" t="str">
        <f t="shared" ca="1" si="49"/>
        <v/>
      </c>
      <c r="AF52" s="286" t="str">
        <f t="shared" si="50"/>
        <v/>
      </c>
      <c r="AG52" s="310" t="str">
        <f>IF($Q16=FALSE,"",Pressure_3_R1!G11*D52)</f>
        <v/>
      </c>
      <c r="AH52" s="310" t="str">
        <f t="shared" si="51"/>
        <v/>
      </c>
      <c r="AI52" s="306" t="str">
        <f t="shared" si="52"/>
        <v/>
      </c>
      <c r="AJ52" s="306" t="str">
        <f t="shared" si="53"/>
        <v/>
      </c>
      <c r="AK52" s="311" t="str">
        <f t="shared" si="54"/>
        <v/>
      </c>
    </row>
    <row r="53" spans="2:37" ht="15" customHeight="1">
      <c r="B53" s="171">
        <f t="shared" si="31"/>
        <v>9</v>
      </c>
      <c r="C53" s="171" t="str">
        <f t="shared" si="32"/>
        <v/>
      </c>
      <c r="D53" s="224" t="str">
        <f t="shared" si="33"/>
        <v/>
      </c>
      <c r="E53" s="224" t="str">
        <f t="shared" si="34"/>
        <v/>
      </c>
      <c r="F53" s="224" t="str">
        <f t="shared" si="35"/>
        <v/>
      </c>
      <c r="G53" s="171" t="str">
        <f>IF($Q17=FALSE,"",표준압력!L26)</f>
        <v/>
      </c>
      <c r="H53" s="224" t="str">
        <f>IF($Q17=FALSE,"",IF(D11="해수",표준압력!AD26,표준압력!AK26))</f>
        <v/>
      </c>
      <c r="I53" s="309" t="str">
        <f t="shared" si="36"/>
        <v/>
      </c>
      <c r="J53" s="171" t="str">
        <f t="shared" si="37"/>
        <v/>
      </c>
      <c r="K53" s="171" t="str">
        <f t="shared" si="38"/>
        <v/>
      </c>
      <c r="L53" s="171" t="str">
        <f t="shared" si="39"/>
        <v/>
      </c>
      <c r="M53" s="286" t="str">
        <f t="shared" si="40"/>
        <v/>
      </c>
      <c r="N53" s="224" t="str">
        <f t="shared" si="41"/>
        <v/>
      </c>
      <c r="O53" s="171" t="str">
        <f t="shared" si="55"/>
        <v/>
      </c>
      <c r="P53" s="171" t="str">
        <f t="shared" si="56"/>
        <v/>
      </c>
      <c r="Q53" s="286" t="str">
        <f t="shared" si="57"/>
        <v/>
      </c>
      <c r="R53" s="286" t="str">
        <f t="shared" si="58"/>
        <v/>
      </c>
      <c r="S53" s="286" t="str">
        <f t="shared" si="59"/>
        <v/>
      </c>
      <c r="T53" s="286" t="str">
        <f t="shared" si="60"/>
        <v/>
      </c>
      <c r="U53" s="286" t="str">
        <f t="shared" si="61"/>
        <v/>
      </c>
      <c r="V53" s="171" t="str">
        <f t="shared" si="62"/>
        <v/>
      </c>
      <c r="W53" s="286" t="str">
        <f t="shared" si="42"/>
        <v/>
      </c>
      <c r="X53" s="286" t="str">
        <f t="shared" si="43"/>
        <v/>
      </c>
      <c r="Y53" s="286" t="str">
        <f t="shared" si="63"/>
        <v/>
      </c>
      <c r="Z53" s="286" t="str">
        <f t="shared" si="44"/>
        <v/>
      </c>
      <c r="AA53" s="286" t="str">
        <f t="shared" si="45"/>
        <v/>
      </c>
      <c r="AB53" s="171" t="str">
        <f t="shared" si="46"/>
        <v/>
      </c>
      <c r="AC53" s="286" t="str">
        <f t="shared" si="47"/>
        <v/>
      </c>
      <c r="AD53" s="171" t="str">
        <f t="shared" si="48"/>
        <v/>
      </c>
      <c r="AE53" s="171" t="str">
        <f t="shared" ca="1" si="49"/>
        <v/>
      </c>
      <c r="AF53" s="286" t="str">
        <f t="shared" si="50"/>
        <v/>
      </c>
      <c r="AG53" s="310" t="str">
        <f>IF($Q17=FALSE,"",Pressure_3_R1!G12*D53)</f>
        <v/>
      </c>
      <c r="AH53" s="310" t="str">
        <f t="shared" si="51"/>
        <v/>
      </c>
      <c r="AI53" s="306" t="str">
        <f t="shared" si="52"/>
        <v/>
      </c>
      <c r="AJ53" s="306" t="str">
        <f t="shared" si="53"/>
        <v/>
      </c>
      <c r="AK53" s="311" t="str">
        <f t="shared" si="54"/>
        <v/>
      </c>
    </row>
    <row r="54" spans="2:37" ht="15" customHeight="1">
      <c r="B54" s="171">
        <f t="shared" si="31"/>
        <v>10</v>
      </c>
      <c r="C54" s="171" t="str">
        <f t="shared" si="32"/>
        <v/>
      </c>
      <c r="D54" s="224" t="str">
        <f t="shared" si="33"/>
        <v/>
      </c>
      <c r="E54" s="224" t="str">
        <f t="shared" si="34"/>
        <v/>
      </c>
      <c r="F54" s="224" t="str">
        <f t="shared" si="35"/>
        <v/>
      </c>
      <c r="G54" s="171" t="str">
        <f>IF($Q18=FALSE,"",표준압력!L27)</f>
        <v/>
      </c>
      <c r="H54" s="224" t="str">
        <f>IF($Q18=FALSE,"",IF(D12="해수",표준압력!AD27,표준압력!AK27))</f>
        <v/>
      </c>
      <c r="I54" s="309" t="str">
        <f t="shared" si="36"/>
        <v/>
      </c>
      <c r="J54" s="171" t="str">
        <f t="shared" si="37"/>
        <v/>
      </c>
      <c r="K54" s="171" t="str">
        <f t="shared" si="38"/>
        <v/>
      </c>
      <c r="L54" s="171" t="str">
        <f t="shared" si="39"/>
        <v/>
      </c>
      <c r="M54" s="286" t="str">
        <f t="shared" si="40"/>
        <v/>
      </c>
      <c r="N54" s="224" t="str">
        <f t="shared" si="41"/>
        <v/>
      </c>
      <c r="O54" s="171" t="str">
        <f t="shared" si="55"/>
        <v/>
      </c>
      <c r="P54" s="171" t="str">
        <f t="shared" si="56"/>
        <v/>
      </c>
      <c r="Q54" s="286" t="str">
        <f t="shared" si="57"/>
        <v/>
      </c>
      <c r="R54" s="286" t="str">
        <f t="shared" si="58"/>
        <v/>
      </c>
      <c r="S54" s="286" t="str">
        <f t="shared" si="59"/>
        <v/>
      </c>
      <c r="T54" s="286" t="str">
        <f t="shared" si="60"/>
        <v/>
      </c>
      <c r="U54" s="286" t="str">
        <f t="shared" si="61"/>
        <v/>
      </c>
      <c r="V54" s="171" t="str">
        <f t="shared" si="62"/>
        <v/>
      </c>
      <c r="W54" s="286" t="str">
        <f t="shared" si="42"/>
        <v/>
      </c>
      <c r="X54" s="286" t="str">
        <f t="shared" si="43"/>
        <v/>
      </c>
      <c r="Y54" s="286" t="str">
        <f t="shared" si="63"/>
        <v/>
      </c>
      <c r="Z54" s="286" t="str">
        <f t="shared" si="44"/>
        <v/>
      </c>
      <c r="AA54" s="286" t="str">
        <f t="shared" si="45"/>
        <v/>
      </c>
      <c r="AB54" s="171" t="str">
        <f t="shared" si="46"/>
        <v/>
      </c>
      <c r="AC54" s="286" t="str">
        <f t="shared" si="47"/>
        <v/>
      </c>
      <c r="AD54" s="171" t="str">
        <f t="shared" si="48"/>
        <v/>
      </c>
      <c r="AE54" s="171" t="str">
        <f t="shared" ca="1" si="49"/>
        <v/>
      </c>
      <c r="AF54" s="286" t="str">
        <f t="shared" si="50"/>
        <v/>
      </c>
      <c r="AG54" s="310" t="str">
        <f>IF($Q18=FALSE,"",Pressure_3_R1!G13*D54)</f>
        <v/>
      </c>
      <c r="AH54" s="310" t="str">
        <f t="shared" si="51"/>
        <v/>
      </c>
      <c r="AI54" s="306" t="str">
        <f t="shared" si="52"/>
        <v/>
      </c>
      <c r="AJ54" s="306" t="str">
        <f t="shared" si="53"/>
        <v/>
      </c>
      <c r="AK54" s="311" t="str">
        <f t="shared" si="54"/>
        <v/>
      </c>
    </row>
    <row r="55" spans="2:37" ht="15" customHeight="1">
      <c r="B55" s="171">
        <f t="shared" si="31"/>
        <v>11</v>
      </c>
      <c r="C55" s="171" t="str">
        <f t="shared" si="32"/>
        <v/>
      </c>
      <c r="D55" s="224" t="str">
        <f t="shared" si="33"/>
        <v/>
      </c>
      <c r="E55" s="224" t="str">
        <f t="shared" si="34"/>
        <v/>
      </c>
      <c r="F55" s="224" t="str">
        <f t="shared" si="35"/>
        <v/>
      </c>
      <c r="G55" s="171" t="str">
        <f>IF($Q19=FALSE,"",표준압력!L28)</f>
        <v/>
      </c>
      <c r="H55" s="224" t="str">
        <f>IF($Q19=FALSE,"",IF(D13="해수",표준압력!AD28,표준압력!AK28))</f>
        <v/>
      </c>
      <c r="I55" s="309" t="str">
        <f t="shared" si="36"/>
        <v/>
      </c>
      <c r="J55" s="171" t="str">
        <f t="shared" si="37"/>
        <v/>
      </c>
      <c r="K55" s="171" t="str">
        <f t="shared" si="38"/>
        <v/>
      </c>
      <c r="L55" s="171" t="str">
        <f t="shared" si="39"/>
        <v/>
      </c>
      <c r="M55" s="286" t="str">
        <f t="shared" si="40"/>
        <v/>
      </c>
      <c r="N55" s="224" t="str">
        <f t="shared" si="41"/>
        <v/>
      </c>
      <c r="O55" s="171" t="str">
        <f t="shared" si="55"/>
        <v/>
      </c>
      <c r="P55" s="171" t="str">
        <f t="shared" si="56"/>
        <v/>
      </c>
      <c r="Q55" s="286" t="str">
        <f t="shared" si="57"/>
        <v/>
      </c>
      <c r="R55" s="286" t="str">
        <f t="shared" si="58"/>
        <v/>
      </c>
      <c r="S55" s="286" t="str">
        <f t="shared" si="59"/>
        <v/>
      </c>
      <c r="T55" s="286" t="str">
        <f t="shared" si="60"/>
        <v/>
      </c>
      <c r="U55" s="286" t="str">
        <f t="shared" si="61"/>
        <v/>
      </c>
      <c r="V55" s="171" t="str">
        <f t="shared" si="62"/>
        <v/>
      </c>
      <c r="W55" s="286" t="str">
        <f t="shared" si="42"/>
        <v/>
      </c>
      <c r="X55" s="286" t="str">
        <f t="shared" si="43"/>
        <v/>
      </c>
      <c r="Y55" s="286" t="str">
        <f t="shared" si="63"/>
        <v/>
      </c>
      <c r="Z55" s="286" t="str">
        <f t="shared" si="44"/>
        <v/>
      </c>
      <c r="AA55" s="286" t="str">
        <f t="shared" si="45"/>
        <v/>
      </c>
      <c r="AB55" s="171" t="str">
        <f t="shared" si="46"/>
        <v/>
      </c>
      <c r="AC55" s="286" t="str">
        <f t="shared" si="47"/>
        <v/>
      </c>
      <c r="AD55" s="171" t="str">
        <f t="shared" si="48"/>
        <v/>
      </c>
      <c r="AE55" s="171" t="str">
        <f t="shared" ca="1" si="49"/>
        <v/>
      </c>
      <c r="AF55" s="286" t="str">
        <f t="shared" si="50"/>
        <v/>
      </c>
      <c r="AG55" s="310" t="str">
        <f>IF($Q19=FALSE,"",Pressure_3_R1!G14*D55)</f>
        <v/>
      </c>
      <c r="AH55" s="310" t="str">
        <f t="shared" si="51"/>
        <v/>
      </c>
      <c r="AI55" s="306" t="str">
        <f t="shared" si="52"/>
        <v/>
      </c>
      <c r="AJ55" s="306" t="str">
        <f t="shared" si="53"/>
        <v/>
      </c>
      <c r="AK55" s="311" t="str">
        <f t="shared" si="54"/>
        <v/>
      </c>
    </row>
    <row r="56" spans="2:37" ht="15" customHeight="1">
      <c r="B56" s="171">
        <f t="shared" si="31"/>
        <v>12</v>
      </c>
      <c r="C56" s="171" t="str">
        <f t="shared" si="32"/>
        <v/>
      </c>
      <c r="D56" s="224" t="str">
        <f t="shared" si="33"/>
        <v/>
      </c>
      <c r="E56" s="224" t="str">
        <f t="shared" si="34"/>
        <v/>
      </c>
      <c r="F56" s="224" t="str">
        <f t="shared" si="35"/>
        <v/>
      </c>
      <c r="G56" s="171" t="str">
        <f>IF($Q20=FALSE,"",표준압력!L29)</f>
        <v/>
      </c>
      <c r="H56" s="224" t="str">
        <f>IF($Q20=FALSE,"",IF(D14="해수",표준압력!AD29,표준압력!AK29))</f>
        <v/>
      </c>
      <c r="I56" s="309" t="str">
        <f t="shared" si="36"/>
        <v/>
      </c>
      <c r="J56" s="171" t="str">
        <f t="shared" si="37"/>
        <v/>
      </c>
      <c r="K56" s="171" t="str">
        <f t="shared" si="38"/>
        <v/>
      </c>
      <c r="L56" s="171" t="str">
        <f t="shared" si="39"/>
        <v/>
      </c>
      <c r="M56" s="286" t="str">
        <f t="shared" si="40"/>
        <v/>
      </c>
      <c r="N56" s="224" t="str">
        <f t="shared" si="41"/>
        <v/>
      </c>
      <c r="O56" s="171" t="str">
        <f t="shared" si="55"/>
        <v/>
      </c>
      <c r="P56" s="171" t="str">
        <f t="shared" si="56"/>
        <v/>
      </c>
      <c r="Q56" s="286" t="str">
        <f t="shared" si="57"/>
        <v/>
      </c>
      <c r="R56" s="286" t="str">
        <f t="shared" si="58"/>
        <v/>
      </c>
      <c r="S56" s="286" t="str">
        <f t="shared" si="59"/>
        <v/>
      </c>
      <c r="T56" s="286" t="str">
        <f t="shared" si="60"/>
        <v/>
      </c>
      <c r="U56" s="286" t="str">
        <f t="shared" si="61"/>
        <v/>
      </c>
      <c r="V56" s="171" t="str">
        <f t="shared" si="62"/>
        <v/>
      </c>
      <c r="W56" s="286" t="str">
        <f t="shared" si="42"/>
        <v/>
      </c>
      <c r="X56" s="286" t="str">
        <f t="shared" si="43"/>
        <v/>
      </c>
      <c r="Y56" s="286" t="str">
        <f t="shared" si="63"/>
        <v/>
      </c>
      <c r="Z56" s="286" t="str">
        <f t="shared" si="44"/>
        <v/>
      </c>
      <c r="AA56" s="286" t="str">
        <f t="shared" si="45"/>
        <v/>
      </c>
      <c r="AB56" s="171" t="str">
        <f t="shared" si="46"/>
        <v/>
      </c>
      <c r="AC56" s="286" t="str">
        <f t="shared" si="47"/>
        <v/>
      </c>
      <c r="AD56" s="171" t="str">
        <f t="shared" si="48"/>
        <v/>
      </c>
      <c r="AE56" s="171" t="str">
        <f t="shared" ca="1" si="49"/>
        <v/>
      </c>
      <c r="AF56" s="286" t="str">
        <f t="shared" si="50"/>
        <v/>
      </c>
      <c r="AG56" s="310" t="str">
        <f>IF($Q20=FALSE,"",Pressure_3_R1!G15*D56)</f>
        <v/>
      </c>
      <c r="AH56" s="310" t="str">
        <f t="shared" si="51"/>
        <v/>
      </c>
      <c r="AI56" s="306" t="str">
        <f t="shared" si="52"/>
        <v/>
      </c>
      <c r="AJ56" s="306" t="str">
        <f t="shared" si="53"/>
        <v/>
      </c>
      <c r="AK56" s="311" t="str">
        <f t="shared" si="54"/>
        <v/>
      </c>
    </row>
    <row r="57" spans="2:37" ht="15" customHeight="1">
      <c r="B57" s="171">
        <f t="shared" si="31"/>
        <v>13</v>
      </c>
      <c r="C57" s="171" t="str">
        <f t="shared" si="32"/>
        <v/>
      </c>
      <c r="D57" s="224" t="str">
        <f t="shared" si="33"/>
        <v/>
      </c>
      <c r="E57" s="224" t="str">
        <f t="shared" si="34"/>
        <v/>
      </c>
      <c r="F57" s="224" t="str">
        <f t="shared" si="35"/>
        <v/>
      </c>
      <c r="G57" s="171" t="str">
        <f>IF($Q21=FALSE,"",표준압력!L30)</f>
        <v/>
      </c>
      <c r="H57" s="224" t="str">
        <f>IF($Q21=FALSE,"",IF(D15="해수",표준압력!AD30,표준압력!AK30))</f>
        <v/>
      </c>
      <c r="I57" s="309" t="str">
        <f t="shared" si="36"/>
        <v/>
      </c>
      <c r="J57" s="171" t="str">
        <f t="shared" si="37"/>
        <v/>
      </c>
      <c r="K57" s="171" t="str">
        <f t="shared" si="38"/>
        <v/>
      </c>
      <c r="L57" s="171" t="str">
        <f t="shared" si="39"/>
        <v/>
      </c>
      <c r="M57" s="286" t="str">
        <f t="shared" si="40"/>
        <v/>
      </c>
      <c r="N57" s="224" t="str">
        <f t="shared" si="41"/>
        <v/>
      </c>
      <c r="O57" s="171" t="str">
        <f t="shared" si="55"/>
        <v/>
      </c>
      <c r="P57" s="171" t="str">
        <f t="shared" si="56"/>
        <v/>
      </c>
      <c r="Q57" s="286" t="str">
        <f t="shared" si="57"/>
        <v/>
      </c>
      <c r="R57" s="286" t="str">
        <f t="shared" si="58"/>
        <v/>
      </c>
      <c r="S57" s="286" t="str">
        <f t="shared" si="59"/>
        <v/>
      </c>
      <c r="T57" s="286" t="str">
        <f t="shared" si="60"/>
        <v/>
      </c>
      <c r="U57" s="286" t="str">
        <f t="shared" si="61"/>
        <v/>
      </c>
      <c r="V57" s="171" t="str">
        <f t="shared" si="62"/>
        <v/>
      </c>
      <c r="W57" s="286" t="str">
        <f t="shared" si="42"/>
        <v/>
      </c>
      <c r="X57" s="286" t="str">
        <f t="shared" si="43"/>
        <v/>
      </c>
      <c r="Y57" s="286" t="str">
        <f t="shared" si="63"/>
        <v/>
      </c>
      <c r="Z57" s="286" t="str">
        <f t="shared" si="44"/>
        <v/>
      </c>
      <c r="AA57" s="286" t="str">
        <f t="shared" si="45"/>
        <v/>
      </c>
      <c r="AB57" s="171" t="str">
        <f t="shared" si="46"/>
        <v/>
      </c>
      <c r="AC57" s="286" t="str">
        <f t="shared" si="47"/>
        <v/>
      </c>
      <c r="AD57" s="171" t="str">
        <f t="shared" si="48"/>
        <v/>
      </c>
      <c r="AE57" s="171" t="str">
        <f t="shared" ca="1" si="49"/>
        <v/>
      </c>
      <c r="AF57" s="286" t="str">
        <f t="shared" si="50"/>
        <v/>
      </c>
      <c r="AG57" s="310" t="str">
        <f>IF($Q21=FALSE,"",Pressure_3_R1!G16*D57)</f>
        <v/>
      </c>
      <c r="AH57" s="310" t="str">
        <f t="shared" si="51"/>
        <v/>
      </c>
      <c r="AI57" s="306" t="str">
        <f t="shared" si="52"/>
        <v/>
      </c>
      <c r="AJ57" s="306" t="str">
        <f t="shared" si="53"/>
        <v/>
      </c>
      <c r="AK57" s="311" t="str">
        <f t="shared" si="54"/>
        <v/>
      </c>
    </row>
    <row r="58" spans="2:37" ht="15" customHeight="1">
      <c r="B58" s="171">
        <f t="shared" si="31"/>
        <v>14</v>
      </c>
      <c r="C58" s="171" t="str">
        <f t="shared" si="32"/>
        <v/>
      </c>
      <c r="D58" s="224" t="str">
        <f t="shared" si="33"/>
        <v/>
      </c>
      <c r="E58" s="224" t="str">
        <f t="shared" si="34"/>
        <v/>
      </c>
      <c r="F58" s="224" t="str">
        <f t="shared" si="35"/>
        <v/>
      </c>
      <c r="G58" s="171" t="str">
        <f>IF($Q22=FALSE,"",표준압력!L31)</f>
        <v/>
      </c>
      <c r="H58" s="224" t="str">
        <f>IF($Q22=FALSE,"",IF(D16="해수",표준압력!AD31,표준압력!AK31))</f>
        <v/>
      </c>
      <c r="I58" s="309" t="str">
        <f t="shared" si="36"/>
        <v/>
      </c>
      <c r="J58" s="171" t="str">
        <f t="shared" si="37"/>
        <v/>
      </c>
      <c r="K58" s="171" t="str">
        <f t="shared" si="38"/>
        <v/>
      </c>
      <c r="L58" s="171" t="str">
        <f t="shared" si="39"/>
        <v/>
      </c>
      <c r="M58" s="286" t="str">
        <f t="shared" si="40"/>
        <v/>
      </c>
      <c r="N58" s="224" t="str">
        <f t="shared" si="41"/>
        <v/>
      </c>
      <c r="O58" s="171" t="str">
        <f t="shared" si="55"/>
        <v/>
      </c>
      <c r="P58" s="171" t="str">
        <f t="shared" si="56"/>
        <v/>
      </c>
      <c r="Q58" s="286" t="str">
        <f t="shared" si="57"/>
        <v/>
      </c>
      <c r="R58" s="286" t="str">
        <f t="shared" si="58"/>
        <v/>
      </c>
      <c r="S58" s="286" t="str">
        <f t="shared" si="59"/>
        <v/>
      </c>
      <c r="T58" s="286" t="str">
        <f t="shared" si="60"/>
        <v/>
      </c>
      <c r="U58" s="286" t="str">
        <f t="shared" si="61"/>
        <v/>
      </c>
      <c r="V58" s="171" t="str">
        <f t="shared" si="62"/>
        <v/>
      </c>
      <c r="W58" s="286" t="str">
        <f t="shared" si="42"/>
        <v/>
      </c>
      <c r="X58" s="286" t="str">
        <f t="shared" si="43"/>
        <v/>
      </c>
      <c r="Y58" s="286" t="str">
        <f t="shared" si="63"/>
        <v/>
      </c>
      <c r="Z58" s="286" t="str">
        <f t="shared" si="44"/>
        <v/>
      </c>
      <c r="AA58" s="286" t="str">
        <f t="shared" si="45"/>
        <v/>
      </c>
      <c r="AB58" s="171" t="str">
        <f t="shared" si="46"/>
        <v/>
      </c>
      <c r="AC58" s="286" t="str">
        <f t="shared" si="47"/>
        <v/>
      </c>
      <c r="AD58" s="171" t="str">
        <f t="shared" si="48"/>
        <v/>
      </c>
      <c r="AE58" s="171" t="str">
        <f t="shared" ca="1" si="49"/>
        <v/>
      </c>
      <c r="AF58" s="286" t="str">
        <f t="shared" si="50"/>
        <v/>
      </c>
      <c r="AG58" s="310" t="str">
        <f>IF($Q22=FALSE,"",Pressure_3_R1!G17*D58)</f>
        <v/>
      </c>
      <c r="AH58" s="310" t="str">
        <f t="shared" si="51"/>
        <v/>
      </c>
      <c r="AI58" s="306" t="str">
        <f t="shared" si="52"/>
        <v/>
      </c>
      <c r="AJ58" s="306" t="str">
        <f t="shared" si="53"/>
        <v/>
      </c>
      <c r="AK58" s="311" t="str">
        <f t="shared" si="54"/>
        <v/>
      </c>
    </row>
    <row r="59" spans="2:37" ht="15" customHeight="1">
      <c r="B59" s="171">
        <f t="shared" si="31"/>
        <v>15</v>
      </c>
      <c r="C59" s="171" t="str">
        <f t="shared" si="32"/>
        <v/>
      </c>
      <c r="D59" s="224" t="str">
        <f t="shared" si="33"/>
        <v/>
      </c>
      <c r="E59" s="224" t="str">
        <f t="shared" si="34"/>
        <v/>
      </c>
      <c r="F59" s="224" t="str">
        <f t="shared" si="35"/>
        <v/>
      </c>
      <c r="G59" s="171" t="str">
        <f>IF($Q23=FALSE,"",표준압력!L32)</f>
        <v/>
      </c>
      <c r="H59" s="224" t="str">
        <f>IF($Q23=FALSE,"",IF(D17="해수",표준압력!AD32,표준압력!AK32))</f>
        <v/>
      </c>
      <c r="I59" s="309" t="str">
        <f t="shared" si="36"/>
        <v/>
      </c>
      <c r="J59" s="171" t="str">
        <f t="shared" si="37"/>
        <v/>
      </c>
      <c r="K59" s="171" t="str">
        <f t="shared" si="38"/>
        <v/>
      </c>
      <c r="L59" s="171" t="str">
        <f t="shared" si="39"/>
        <v/>
      </c>
      <c r="M59" s="286" t="str">
        <f t="shared" si="40"/>
        <v/>
      </c>
      <c r="N59" s="224" t="str">
        <f t="shared" si="41"/>
        <v/>
      </c>
      <c r="O59" s="171" t="str">
        <f t="shared" si="55"/>
        <v/>
      </c>
      <c r="P59" s="171" t="str">
        <f t="shared" si="56"/>
        <v/>
      </c>
      <c r="Q59" s="286" t="str">
        <f t="shared" si="57"/>
        <v/>
      </c>
      <c r="R59" s="286" t="str">
        <f t="shared" si="58"/>
        <v/>
      </c>
      <c r="S59" s="286" t="str">
        <f t="shared" si="59"/>
        <v/>
      </c>
      <c r="T59" s="286" t="str">
        <f t="shared" si="60"/>
        <v/>
      </c>
      <c r="U59" s="286" t="str">
        <f t="shared" si="61"/>
        <v/>
      </c>
      <c r="V59" s="171" t="str">
        <f t="shared" si="62"/>
        <v/>
      </c>
      <c r="W59" s="286" t="str">
        <f t="shared" si="42"/>
        <v/>
      </c>
      <c r="X59" s="286" t="str">
        <f t="shared" si="43"/>
        <v/>
      </c>
      <c r="Y59" s="286" t="str">
        <f t="shared" si="63"/>
        <v/>
      </c>
      <c r="Z59" s="286" t="str">
        <f t="shared" si="44"/>
        <v/>
      </c>
      <c r="AA59" s="286" t="str">
        <f t="shared" si="45"/>
        <v/>
      </c>
      <c r="AB59" s="171" t="str">
        <f t="shared" si="46"/>
        <v/>
      </c>
      <c r="AC59" s="286" t="str">
        <f t="shared" si="47"/>
        <v/>
      </c>
      <c r="AD59" s="171" t="str">
        <f t="shared" si="48"/>
        <v/>
      </c>
      <c r="AE59" s="171" t="str">
        <f t="shared" ca="1" si="49"/>
        <v/>
      </c>
      <c r="AF59" s="286" t="str">
        <f t="shared" si="50"/>
        <v/>
      </c>
      <c r="AG59" s="310" t="str">
        <f>IF($Q23=FALSE,"",Pressure_3_R1!G18*D59)</f>
        <v/>
      </c>
      <c r="AH59" s="310" t="str">
        <f t="shared" si="51"/>
        <v/>
      </c>
      <c r="AI59" s="306" t="str">
        <f t="shared" si="52"/>
        <v/>
      </c>
      <c r="AJ59" s="306" t="str">
        <f t="shared" si="53"/>
        <v/>
      </c>
      <c r="AK59" s="311" t="str">
        <f t="shared" si="54"/>
        <v/>
      </c>
    </row>
    <row r="60" spans="2:37" ht="15" customHeight="1">
      <c r="E60" s="172"/>
      <c r="F60" s="172"/>
      <c r="U60" s="170"/>
      <c r="W60" s="170"/>
      <c r="X60" s="170"/>
      <c r="Y60" s="170"/>
      <c r="Z60" s="170"/>
    </row>
    <row r="61" spans="2:37" ht="15" customHeight="1">
      <c r="B61" s="164" t="s">
        <v>347</v>
      </c>
      <c r="D61" s="164"/>
      <c r="I61" s="164" t="s">
        <v>348</v>
      </c>
      <c r="U61" s="170"/>
      <c r="V61" s="170"/>
    </row>
    <row r="62" spans="2:37" ht="15" customHeight="1">
      <c r="B62" s="771" t="s">
        <v>318</v>
      </c>
      <c r="C62" s="773" t="s">
        <v>328</v>
      </c>
      <c r="D62" s="773" t="s">
        <v>281</v>
      </c>
      <c r="E62" s="807" t="s">
        <v>349</v>
      </c>
      <c r="F62" s="808"/>
      <c r="G62" s="808"/>
      <c r="I62" s="776" t="s">
        <v>350</v>
      </c>
      <c r="J62" s="777"/>
      <c r="K62" s="778"/>
      <c r="L62" s="813" t="s">
        <v>351</v>
      </c>
      <c r="N62" s="225" t="s">
        <v>352</v>
      </c>
      <c r="O62" s="815" t="s">
        <v>353</v>
      </c>
      <c r="P62" s="816"/>
      <c r="Q62" s="816"/>
      <c r="S62" s="225" t="s">
        <v>354</v>
      </c>
      <c r="T62" s="225" t="s">
        <v>355</v>
      </c>
      <c r="U62" s="225" t="s">
        <v>352</v>
      </c>
      <c r="V62" s="225" t="s">
        <v>354</v>
      </c>
      <c r="W62" s="225" t="s">
        <v>355</v>
      </c>
      <c r="Y62" s="312" t="s">
        <v>356</v>
      </c>
      <c r="Z62" s="312" t="s">
        <v>357</v>
      </c>
    </row>
    <row r="63" spans="2:37" ht="15" customHeight="1">
      <c r="B63" s="809"/>
      <c r="C63" s="775"/>
      <c r="D63" s="775"/>
      <c r="E63" s="289" t="s">
        <v>358</v>
      </c>
      <c r="F63" s="289" t="s">
        <v>334</v>
      </c>
      <c r="G63" s="268" t="s">
        <v>359</v>
      </c>
      <c r="I63" s="294" t="s">
        <v>360</v>
      </c>
      <c r="J63" s="294" t="s">
        <v>361</v>
      </c>
      <c r="K63" s="294" t="s">
        <v>362</v>
      </c>
      <c r="L63" s="814"/>
      <c r="N63" s="226" t="s">
        <v>363</v>
      </c>
      <c r="O63" s="314" t="s">
        <v>328</v>
      </c>
      <c r="P63" s="314" t="s">
        <v>364</v>
      </c>
      <c r="Q63" s="268" t="s">
        <v>365</v>
      </c>
      <c r="S63" s="227"/>
      <c r="T63" s="227" t="s">
        <v>102</v>
      </c>
      <c r="U63" s="225" t="s">
        <v>363</v>
      </c>
      <c r="V63" s="227"/>
      <c r="W63" s="227" t="s">
        <v>102</v>
      </c>
      <c r="Y63" s="312"/>
      <c r="Z63" s="312">
        <v>95.45</v>
      </c>
    </row>
    <row r="64" spans="2:37" ht="15" customHeight="1">
      <c r="B64" s="772"/>
      <c r="C64" s="305">
        <f>E44</f>
        <v>0</v>
      </c>
      <c r="D64" s="295">
        <f>F44</f>
        <v>0</v>
      </c>
      <c r="E64" s="305">
        <f>K44</f>
        <v>0</v>
      </c>
      <c r="F64" s="305">
        <f>L44</f>
        <v>0</v>
      </c>
      <c r="G64" s="305" t="str">
        <f>AH44</f>
        <v>m</v>
      </c>
      <c r="I64" s="294">
        <f>M8</f>
        <v>0</v>
      </c>
      <c r="J64" s="294">
        <f>I64</f>
        <v>0</v>
      </c>
      <c r="K64" s="294">
        <f>J64</f>
        <v>0</v>
      </c>
      <c r="L64" s="315" t="str">
        <f>IF(TYPE(MATCH("FAIL",L65:L79,0))=16,"PASS","FAIL")</f>
        <v>PASS</v>
      </c>
      <c r="N64" s="173">
        <f ca="1">MIN(N65:N79)</f>
        <v>0</v>
      </c>
      <c r="O64" s="174">
        <f ca="1">OFFSET(T63,MATCH(N64,U64:U73,0),0)</f>
        <v>0</v>
      </c>
      <c r="P64" s="174">
        <f ca="1">O64</f>
        <v>0</v>
      </c>
      <c r="Q64" s="174">
        <f ca="1">P64</f>
        <v>0</v>
      </c>
      <c r="S64" s="316">
        <v>9.9999999999999995E-8</v>
      </c>
      <c r="T64" s="316" t="s">
        <v>366</v>
      </c>
      <c r="U64" s="316">
        <v>7</v>
      </c>
      <c r="V64" s="316">
        <v>0</v>
      </c>
      <c r="W64" s="316"/>
      <c r="Y64" s="317">
        <v>1</v>
      </c>
      <c r="Z64" s="317">
        <v>13.97</v>
      </c>
    </row>
    <row r="65" spans="2:26" ht="15" customHeight="1">
      <c r="B65" s="306">
        <f t="shared" ref="B65:B79" si="64">B45</f>
        <v>1</v>
      </c>
      <c r="C65" s="318" t="str">
        <f t="shared" ref="C65:C79" si="65">IF($Q9=FALSE,"",TEXT(ROUND(E45,$N$64),O65))</f>
        <v/>
      </c>
      <c r="D65" s="318" t="str">
        <f t="shared" ref="D65:D79" si="66">IF($Q9=FALSE,"",TEXT(ROUND(F45,$N$64),P65))</f>
        <v/>
      </c>
      <c r="E65" s="318" t="str">
        <f t="shared" ref="E65:E79" si="67">IF($Q9=FALSE,"",TEXT(K45,P65))</f>
        <v/>
      </c>
      <c r="F65" s="318" t="str">
        <f t="shared" ref="F65:F79" si="68">IF($Q9=FALSE,"",TEXT(ROUND(L45,$N$64),Q65))</f>
        <v/>
      </c>
      <c r="G65" s="318" t="str">
        <f t="shared" ref="G65:G79" si="69">IF($Q9=FALSE,"",TEXT(ROUND(AJ45,$N$64),Q65))</f>
        <v/>
      </c>
      <c r="I65" s="228" t="str">
        <f>IF($Q9=FALSE,"",ROUND(Pressure_3_R1!N4,$N$64))</f>
        <v/>
      </c>
      <c r="J65" s="228" t="str">
        <f>IF($Q9=FALSE,"",ROUND(Pressure_3_R1!O4,N$64))</f>
        <v/>
      </c>
      <c r="K65" s="228" t="str">
        <f t="shared" ref="K65:K79" si="70">IF($Q9=FALSE,"","± "&amp;TEXT((J65-I65)/2,P65))</f>
        <v/>
      </c>
      <c r="L65" s="229" t="str">
        <f t="shared" ref="L65:L79" si="71">IF($Q9=FALSE,"",IF(AND(I65&lt;=K45,K45&lt;=J65),"PASS","FAIL"))</f>
        <v/>
      </c>
      <c r="N65" s="171" t="str">
        <f t="shared" ref="N65:N79" ca="1" si="72">IF($Q9=FALSE,"",OFFSET(U$63,COUNTIF(S$64:S$73,"&lt;="&amp;AH45),0)+M$3)</f>
        <v/>
      </c>
      <c r="O65" s="171" t="str">
        <f t="shared" ref="O65:O79" ca="1" si="73">IF($Q9=FALSE,"",SUBSTITUTE(OFFSET($W$63,COUNTIF($V$64:$V$73,"&lt;="&amp;ABS(E45)),0),0,"")&amp;O$64)</f>
        <v/>
      </c>
      <c r="P65" s="171" t="str">
        <f t="shared" ref="P65:P79" ca="1" si="74">IF($Q9=FALSE,"",SUBSTITUTE(OFFSET($W$63,COUNTIF($V$64:$V$73,"&lt;="&amp;ABS(F45)),0),0,"")&amp;P$64)</f>
        <v/>
      </c>
      <c r="Q65" s="171" t="str">
        <f t="shared" ref="Q65:Q79" si="75">IF($Q9=FALSE,"",Q$64)</f>
        <v/>
      </c>
      <c r="S65" s="316">
        <v>9.9999999999999995E-7</v>
      </c>
      <c r="T65" s="316" t="s">
        <v>367</v>
      </c>
      <c r="U65" s="316">
        <v>6</v>
      </c>
      <c r="V65" s="316">
        <v>1</v>
      </c>
      <c r="W65" s="316"/>
      <c r="Y65" s="317">
        <v>2</v>
      </c>
      <c r="Z65" s="317">
        <v>4.53</v>
      </c>
    </row>
    <row r="66" spans="2:26" ht="15" customHeight="1">
      <c r="B66" s="306">
        <f t="shared" si="64"/>
        <v>2</v>
      </c>
      <c r="C66" s="318" t="str">
        <f t="shared" si="65"/>
        <v/>
      </c>
      <c r="D66" s="318" t="str">
        <f t="shared" si="66"/>
        <v/>
      </c>
      <c r="E66" s="318" t="str">
        <f t="shared" si="67"/>
        <v/>
      </c>
      <c r="F66" s="318" t="str">
        <f t="shared" si="68"/>
        <v/>
      </c>
      <c r="G66" s="318" t="str">
        <f t="shared" si="69"/>
        <v/>
      </c>
      <c r="I66" s="228" t="str">
        <f>IF($Q10=FALSE,"",ROUND(Pressure_3_R1!N5,$N$64))</f>
        <v/>
      </c>
      <c r="J66" s="228" t="str">
        <f>IF($Q10=FALSE,"",ROUND(Pressure_3_R1!O5,N$64))</f>
        <v/>
      </c>
      <c r="K66" s="228" t="str">
        <f t="shared" si="70"/>
        <v/>
      </c>
      <c r="L66" s="229" t="str">
        <f t="shared" si="71"/>
        <v/>
      </c>
      <c r="N66" s="171" t="str">
        <f t="shared" ca="1" si="72"/>
        <v/>
      </c>
      <c r="O66" s="171" t="str">
        <f t="shared" ca="1" si="73"/>
        <v/>
      </c>
      <c r="P66" s="171" t="str">
        <f t="shared" ca="1" si="74"/>
        <v/>
      </c>
      <c r="Q66" s="171" t="str">
        <f t="shared" si="75"/>
        <v/>
      </c>
      <c r="S66" s="316">
        <v>1.0000000000000001E-5</v>
      </c>
      <c r="T66" s="316" t="s">
        <v>368</v>
      </c>
      <c r="U66" s="316">
        <v>5</v>
      </c>
      <c r="V66" s="316">
        <v>10</v>
      </c>
      <c r="W66" s="316" t="s">
        <v>103</v>
      </c>
      <c r="Y66" s="317">
        <v>3</v>
      </c>
      <c r="Z66" s="317">
        <v>3.31</v>
      </c>
    </row>
    <row r="67" spans="2:26" ht="15" customHeight="1">
      <c r="B67" s="306">
        <f t="shared" si="64"/>
        <v>3</v>
      </c>
      <c r="C67" s="318" t="str">
        <f t="shared" si="65"/>
        <v/>
      </c>
      <c r="D67" s="318" t="str">
        <f t="shared" si="66"/>
        <v/>
      </c>
      <c r="E67" s="318" t="str">
        <f t="shared" si="67"/>
        <v/>
      </c>
      <c r="F67" s="318" t="str">
        <f t="shared" si="68"/>
        <v/>
      </c>
      <c r="G67" s="318" t="str">
        <f t="shared" si="69"/>
        <v/>
      </c>
      <c r="I67" s="228" t="str">
        <f>IF($Q11=FALSE,"",ROUND(Pressure_3_R1!N6,$N$64))</f>
        <v/>
      </c>
      <c r="J67" s="228" t="str">
        <f>IF($Q11=FALSE,"",ROUND(Pressure_3_R1!O6,N$64))</f>
        <v/>
      </c>
      <c r="K67" s="228" t="str">
        <f t="shared" si="70"/>
        <v/>
      </c>
      <c r="L67" s="229" t="str">
        <f t="shared" si="71"/>
        <v/>
      </c>
      <c r="N67" s="171" t="str">
        <f t="shared" ca="1" si="72"/>
        <v/>
      </c>
      <c r="O67" s="171" t="str">
        <f t="shared" ca="1" si="73"/>
        <v/>
      </c>
      <c r="P67" s="171" t="str">
        <f t="shared" ca="1" si="74"/>
        <v/>
      </c>
      <c r="Q67" s="171" t="str">
        <f t="shared" si="75"/>
        <v/>
      </c>
      <c r="S67" s="316">
        <v>1E-4</v>
      </c>
      <c r="T67" s="316" t="s">
        <v>369</v>
      </c>
      <c r="U67" s="316">
        <v>4</v>
      </c>
      <c r="V67" s="316">
        <v>100</v>
      </c>
      <c r="W67" s="316" t="s">
        <v>104</v>
      </c>
      <c r="Y67" s="317">
        <v>4</v>
      </c>
      <c r="Z67" s="317">
        <v>2.87</v>
      </c>
    </row>
    <row r="68" spans="2:26" ht="15" customHeight="1">
      <c r="B68" s="306">
        <f t="shared" si="64"/>
        <v>4</v>
      </c>
      <c r="C68" s="318" t="str">
        <f t="shared" si="65"/>
        <v/>
      </c>
      <c r="D68" s="318" t="str">
        <f t="shared" si="66"/>
        <v/>
      </c>
      <c r="E68" s="318" t="str">
        <f t="shared" si="67"/>
        <v/>
      </c>
      <c r="F68" s="318" t="str">
        <f t="shared" si="68"/>
        <v/>
      </c>
      <c r="G68" s="318" t="str">
        <f t="shared" si="69"/>
        <v/>
      </c>
      <c r="I68" s="228" t="str">
        <f>IF($Q12=FALSE,"",ROUND(Pressure_3_R1!N7,$N$64))</f>
        <v/>
      </c>
      <c r="J68" s="228" t="str">
        <f>IF($Q12=FALSE,"",ROUND(Pressure_3_R1!O7,N$64))</f>
        <v/>
      </c>
      <c r="K68" s="228" t="str">
        <f t="shared" si="70"/>
        <v/>
      </c>
      <c r="L68" s="229" t="str">
        <f t="shared" si="71"/>
        <v/>
      </c>
      <c r="N68" s="171" t="str">
        <f t="shared" ca="1" si="72"/>
        <v/>
      </c>
      <c r="O68" s="171" t="str">
        <f t="shared" ca="1" si="73"/>
        <v/>
      </c>
      <c r="P68" s="171" t="str">
        <f t="shared" ca="1" si="74"/>
        <v/>
      </c>
      <c r="Q68" s="171" t="str">
        <f t="shared" si="75"/>
        <v/>
      </c>
      <c r="S68" s="316">
        <v>1E-3</v>
      </c>
      <c r="T68" s="319" t="s">
        <v>370</v>
      </c>
      <c r="U68" s="316">
        <v>3</v>
      </c>
      <c r="V68" s="316">
        <v>1000</v>
      </c>
      <c r="W68" s="316" t="s">
        <v>105</v>
      </c>
      <c r="Y68" s="317">
        <v>5</v>
      </c>
      <c r="Z68" s="317">
        <v>2.65</v>
      </c>
    </row>
    <row r="69" spans="2:26" ht="15" customHeight="1">
      <c r="B69" s="306">
        <f t="shared" si="64"/>
        <v>5</v>
      </c>
      <c r="C69" s="318" t="str">
        <f t="shared" si="65"/>
        <v/>
      </c>
      <c r="D69" s="318" t="str">
        <f t="shared" si="66"/>
        <v/>
      </c>
      <c r="E69" s="318" t="str">
        <f t="shared" si="67"/>
        <v/>
      </c>
      <c r="F69" s="318" t="str">
        <f t="shared" si="68"/>
        <v/>
      </c>
      <c r="G69" s="318" t="str">
        <f t="shared" si="69"/>
        <v/>
      </c>
      <c r="I69" s="228" t="str">
        <f>IF($Q13=FALSE,"",ROUND(Pressure_3_R1!N8,$N$64))</f>
        <v/>
      </c>
      <c r="J69" s="228" t="str">
        <f>IF($Q13=FALSE,"",ROUND(Pressure_3_R1!O8,N$64))</f>
        <v/>
      </c>
      <c r="K69" s="228" t="str">
        <f t="shared" si="70"/>
        <v/>
      </c>
      <c r="L69" s="229" t="str">
        <f t="shared" si="71"/>
        <v/>
      </c>
      <c r="N69" s="171" t="str">
        <f t="shared" ca="1" si="72"/>
        <v/>
      </c>
      <c r="O69" s="171" t="str">
        <f t="shared" ca="1" si="73"/>
        <v/>
      </c>
      <c r="P69" s="171" t="str">
        <f t="shared" ca="1" si="74"/>
        <v/>
      </c>
      <c r="Q69" s="171" t="str">
        <f t="shared" si="75"/>
        <v/>
      </c>
      <c r="S69" s="316">
        <v>0.01</v>
      </c>
      <c r="T69" s="319" t="s">
        <v>371</v>
      </c>
      <c r="U69" s="316">
        <v>2</v>
      </c>
      <c r="V69" s="316">
        <v>10000</v>
      </c>
      <c r="W69" s="316" t="s">
        <v>106</v>
      </c>
      <c r="Y69" s="317">
        <v>6</v>
      </c>
      <c r="Z69" s="317">
        <v>2.52</v>
      </c>
    </row>
    <row r="70" spans="2:26" ht="15" customHeight="1">
      <c r="B70" s="306">
        <f t="shared" si="64"/>
        <v>6</v>
      </c>
      <c r="C70" s="318" t="str">
        <f t="shared" si="65"/>
        <v/>
      </c>
      <c r="D70" s="318" t="str">
        <f t="shared" si="66"/>
        <v/>
      </c>
      <c r="E70" s="318" t="str">
        <f t="shared" si="67"/>
        <v/>
      </c>
      <c r="F70" s="318" t="str">
        <f t="shared" si="68"/>
        <v/>
      </c>
      <c r="G70" s="318" t="str">
        <f t="shared" si="69"/>
        <v/>
      </c>
      <c r="I70" s="228" t="str">
        <f>IF($Q14=FALSE,"",ROUND(Pressure_3_R1!N9,$N$64))</f>
        <v/>
      </c>
      <c r="J70" s="228" t="str">
        <f>IF($Q14=FALSE,"",ROUND(Pressure_3_R1!O9,N$64))</f>
        <v/>
      </c>
      <c r="K70" s="228" t="str">
        <f t="shared" si="70"/>
        <v/>
      </c>
      <c r="L70" s="229" t="str">
        <f t="shared" si="71"/>
        <v/>
      </c>
      <c r="N70" s="171" t="str">
        <f t="shared" ca="1" si="72"/>
        <v/>
      </c>
      <c r="O70" s="171" t="str">
        <f t="shared" ca="1" si="73"/>
        <v/>
      </c>
      <c r="P70" s="171" t="str">
        <f t="shared" ca="1" si="74"/>
        <v/>
      </c>
      <c r="Q70" s="171" t="str">
        <f t="shared" si="75"/>
        <v/>
      </c>
      <c r="S70" s="316">
        <v>0.1</v>
      </c>
      <c r="T70" s="319" t="s">
        <v>372</v>
      </c>
      <c r="U70" s="316">
        <v>1</v>
      </c>
      <c r="V70" s="316">
        <v>100000</v>
      </c>
      <c r="W70" s="316" t="s">
        <v>107</v>
      </c>
      <c r="Y70" s="317">
        <v>7</v>
      </c>
      <c r="Z70" s="317">
        <v>2.4300000000000002</v>
      </c>
    </row>
    <row r="71" spans="2:26" ht="15" customHeight="1">
      <c r="B71" s="306">
        <f t="shared" si="64"/>
        <v>7</v>
      </c>
      <c r="C71" s="318" t="str">
        <f t="shared" si="65"/>
        <v/>
      </c>
      <c r="D71" s="318" t="str">
        <f t="shared" si="66"/>
        <v/>
      </c>
      <c r="E71" s="318" t="str">
        <f t="shared" si="67"/>
        <v/>
      </c>
      <c r="F71" s="318" t="str">
        <f t="shared" si="68"/>
        <v/>
      </c>
      <c r="G71" s="318" t="str">
        <f t="shared" si="69"/>
        <v/>
      </c>
      <c r="I71" s="228" t="str">
        <f>IF($Q15=FALSE,"",ROUND(Pressure_3_R1!N10,$N$64))</f>
        <v/>
      </c>
      <c r="J71" s="228" t="str">
        <f>IF($Q15=FALSE,"",ROUND(Pressure_3_R1!O10,N$64))</f>
        <v/>
      </c>
      <c r="K71" s="228" t="str">
        <f t="shared" si="70"/>
        <v/>
      </c>
      <c r="L71" s="229" t="str">
        <f t="shared" si="71"/>
        <v/>
      </c>
      <c r="N71" s="171" t="str">
        <f t="shared" ca="1" si="72"/>
        <v/>
      </c>
      <c r="O71" s="171" t="str">
        <f t="shared" ca="1" si="73"/>
        <v/>
      </c>
      <c r="P71" s="171" t="str">
        <f t="shared" ca="1" si="74"/>
        <v/>
      </c>
      <c r="Q71" s="171" t="str">
        <f t="shared" si="75"/>
        <v/>
      </c>
      <c r="S71" s="316">
        <v>1</v>
      </c>
      <c r="T71" s="316">
        <v>0</v>
      </c>
      <c r="U71" s="316">
        <v>0</v>
      </c>
      <c r="V71" s="316">
        <v>1000000</v>
      </c>
      <c r="W71" s="316" t="s">
        <v>108</v>
      </c>
      <c r="Y71" s="317">
        <v>8</v>
      </c>
      <c r="Z71" s="317">
        <v>2.37</v>
      </c>
    </row>
    <row r="72" spans="2:26" ht="15" customHeight="1">
      <c r="B72" s="306">
        <f t="shared" si="64"/>
        <v>8</v>
      </c>
      <c r="C72" s="318" t="str">
        <f t="shared" si="65"/>
        <v/>
      </c>
      <c r="D72" s="318" t="str">
        <f t="shared" si="66"/>
        <v/>
      </c>
      <c r="E72" s="318" t="str">
        <f t="shared" si="67"/>
        <v/>
      </c>
      <c r="F72" s="318" t="str">
        <f t="shared" si="68"/>
        <v/>
      </c>
      <c r="G72" s="318" t="str">
        <f t="shared" si="69"/>
        <v/>
      </c>
      <c r="I72" s="228" t="str">
        <f>IF($Q16=FALSE,"",ROUND(Pressure_3_R1!N11,$N$64))</f>
        <v/>
      </c>
      <c r="J72" s="228" t="str">
        <f>IF($Q16=FALSE,"",ROUND(Pressure_3_R1!O11,N$64))</f>
        <v/>
      </c>
      <c r="K72" s="228" t="str">
        <f t="shared" si="70"/>
        <v/>
      </c>
      <c r="L72" s="229" t="str">
        <f t="shared" si="71"/>
        <v/>
      </c>
      <c r="N72" s="171" t="str">
        <f t="shared" ca="1" si="72"/>
        <v/>
      </c>
      <c r="O72" s="171" t="str">
        <f t="shared" ca="1" si="73"/>
        <v/>
      </c>
      <c r="P72" s="171" t="str">
        <f t="shared" ca="1" si="74"/>
        <v/>
      </c>
      <c r="Q72" s="171" t="str">
        <f t="shared" si="75"/>
        <v/>
      </c>
      <c r="S72" s="316">
        <v>10</v>
      </c>
      <c r="T72" s="316">
        <v>0</v>
      </c>
      <c r="U72" s="316">
        <v>-1</v>
      </c>
      <c r="V72" s="316">
        <v>10000000</v>
      </c>
      <c r="W72" s="316" t="s">
        <v>109</v>
      </c>
      <c r="Y72" s="317">
        <v>9</v>
      </c>
      <c r="Z72" s="317">
        <v>2.3199999999999998</v>
      </c>
    </row>
    <row r="73" spans="2:26" ht="15" customHeight="1">
      <c r="B73" s="306">
        <f t="shared" si="64"/>
        <v>9</v>
      </c>
      <c r="C73" s="318" t="str">
        <f t="shared" si="65"/>
        <v/>
      </c>
      <c r="D73" s="318" t="str">
        <f t="shared" si="66"/>
        <v/>
      </c>
      <c r="E73" s="318" t="str">
        <f t="shared" si="67"/>
        <v/>
      </c>
      <c r="F73" s="318" t="str">
        <f t="shared" si="68"/>
        <v/>
      </c>
      <c r="G73" s="318" t="str">
        <f t="shared" si="69"/>
        <v/>
      </c>
      <c r="I73" s="228" t="str">
        <f>IF($Q17=FALSE,"",ROUND(Pressure_3_R1!N12,$N$64))</f>
        <v/>
      </c>
      <c r="J73" s="228" t="str">
        <f>IF($Q17=FALSE,"",ROUND(Pressure_3_R1!O12,N$64))</f>
        <v/>
      </c>
      <c r="K73" s="228" t="str">
        <f t="shared" si="70"/>
        <v/>
      </c>
      <c r="L73" s="229" t="str">
        <f t="shared" si="71"/>
        <v/>
      </c>
      <c r="N73" s="171" t="str">
        <f t="shared" ca="1" si="72"/>
        <v/>
      </c>
      <c r="O73" s="171" t="str">
        <f t="shared" ca="1" si="73"/>
        <v/>
      </c>
      <c r="P73" s="171" t="str">
        <f t="shared" ca="1" si="74"/>
        <v/>
      </c>
      <c r="Q73" s="171" t="str">
        <f t="shared" si="75"/>
        <v/>
      </c>
      <c r="S73" s="316">
        <v>100</v>
      </c>
      <c r="T73" s="316">
        <v>0</v>
      </c>
      <c r="U73" s="316">
        <v>-2</v>
      </c>
      <c r="V73" s="316"/>
      <c r="W73" s="316"/>
      <c r="Y73" s="317" t="s">
        <v>373</v>
      </c>
      <c r="Z73" s="317">
        <v>2</v>
      </c>
    </row>
    <row r="74" spans="2:26" ht="15" customHeight="1">
      <c r="B74" s="306">
        <f t="shared" si="64"/>
        <v>10</v>
      </c>
      <c r="C74" s="318" t="str">
        <f t="shared" si="65"/>
        <v/>
      </c>
      <c r="D74" s="318" t="str">
        <f t="shared" si="66"/>
        <v/>
      </c>
      <c r="E74" s="318" t="str">
        <f t="shared" si="67"/>
        <v/>
      </c>
      <c r="F74" s="318" t="str">
        <f t="shared" si="68"/>
        <v/>
      </c>
      <c r="G74" s="318" t="str">
        <f t="shared" si="69"/>
        <v/>
      </c>
      <c r="I74" s="228" t="str">
        <f>IF($Q18=FALSE,"",ROUND(Pressure_3_R1!N13,$N$64))</f>
        <v/>
      </c>
      <c r="J74" s="228" t="str">
        <f>IF($Q18=FALSE,"",ROUND(Pressure_3_R1!O13,N$64))</f>
        <v/>
      </c>
      <c r="K74" s="228" t="str">
        <f t="shared" si="70"/>
        <v/>
      </c>
      <c r="L74" s="229" t="str">
        <f t="shared" si="71"/>
        <v/>
      </c>
      <c r="N74" s="171" t="str">
        <f t="shared" ca="1" si="72"/>
        <v/>
      </c>
      <c r="O74" s="171" t="str">
        <f t="shared" ca="1" si="73"/>
        <v/>
      </c>
      <c r="P74" s="171" t="str">
        <f t="shared" ca="1" si="74"/>
        <v/>
      </c>
      <c r="Q74" s="171" t="str">
        <f t="shared" si="75"/>
        <v/>
      </c>
      <c r="S74" s="161"/>
      <c r="T74" s="161"/>
    </row>
    <row r="75" spans="2:26" ht="15" customHeight="1">
      <c r="B75" s="306">
        <f t="shared" si="64"/>
        <v>11</v>
      </c>
      <c r="C75" s="318" t="str">
        <f t="shared" si="65"/>
        <v/>
      </c>
      <c r="D75" s="318" t="str">
        <f t="shared" si="66"/>
        <v/>
      </c>
      <c r="E75" s="318" t="str">
        <f t="shared" si="67"/>
        <v/>
      </c>
      <c r="F75" s="318" t="str">
        <f t="shared" si="68"/>
        <v/>
      </c>
      <c r="G75" s="318" t="str">
        <f t="shared" si="69"/>
        <v/>
      </c>
      <c r="I75" s="228" t="str">
        <f>IF($Q19=FALSE,"",ROUND(Pressure_3_R1!N14,$N$64))</f>
        <v/>
      </c>
      <c r="J75" s="228" t="str">
        <f>IF($Q19=FALSE,"",ROUND(Pressure_3_R1!O14,N$64))</f>
        <v/>
      </c>
      <c r="K75" s="228" t="str">
        <f t="shared" si="70"/>
        <v/>
      </c>
      <c r="L75" s="229" t="str">
        <f t="shared" si="71"/>
        <v/>
      </c>
      <c r="N75" s="171" t="str">
        <f t="shared" ca="1" si="72"/>
        <v/>
      </c>
      <c r="O75" s="171" t="str">
        <f t="shared" ca="1" si="73"/>
        <v/>
      </c>
      <c r="P75" s="171" t="str">
        <f t="shared" ca="1" si="74"/>
        <v/>
      </c>
      <c r="Q75" s="171" t="str">
        <f t="shared" si="75"/>
        <v/>
      </c>
      <c r="S75" s="164" t="s">
        <v>374</v>
      </c>
    </row>
    <row r="76" spans="2:26" ht="15" customHeight="1">
      <c r="B76" s="306">
        <f t="shared" si="64"/>
        <v>12</v>
      </c>
      <c r="C76" s="318" t="str">
        <f t="shared" si="65"/>
        <v/>
      </c>
      <c r="D76" s="318" t="str">
        <f t="shared" si="66"/>
        <v/>
      </c>
      <c r="E76" s="318" t="str">
        <f t="shared" si="67"/>
        <v/>
      </c>
      <c r="F76" s="318" t="str">
        <f t="shared" si="68"/>
        <v/>
      </c>
      <c r="G76" s="318" t="str">
        <f t="shared" si="69"/>
        <v/>
      </c>
      <c r="I76" s="228" t="str">
        <f>IF($Q20=FALSE,"",ROUND(Pressure_3_R1!N15,$N$64))</f>
        <v/>
      </c>
      <c r="J76" s="228" t="str">
        <f>IF($Q20=FALSE,"",ROUND(Pressure_3_R1!O15,N$64))</f>
        <v/>
      </c>
      <c r="K76" s="228" t="str">
        <f t="shared" si="70"/>
        <v/>
      </c>
      <c r="L76" s="229" t="str">
        <f t="shared" si="71"/>
        <v/>
      </c>
      <c r="N76" s="171" t="str">
        <f t="shared" ca="1" si="72"/>
        <v/>
      </c>
      <c r="O76" s="171" t="str">
        <f t="shared" ca="1" si="73"/>
        <v/>
      </c>
      <c r="P76" s="171" t="str">
        <f t="shared" ca="1" si="74"/>
        <v/>
      </c>
      <c r="Q76" s="171" t="str">
        <f t="shared" si="75"/>
        <v/>
      </c>
      <c r="S76" s="769" t="s">
        <v>375</v>
      </c>
      <c r="T76" s="770"/>
    </row>
    <row r="77" spans="2:26" ht="15" customHeight="1">
      <c r="B77" s="306">
        <f t="shared" si="64"/>
        <v>13</v>
      </c>
      <c r="C77" s="318" t="str">
        <f t="shared" si="65"/>
        <v/>
      </c>
      <c r="D77" s="318" t="str">
        <f t="shared" si="66"/>
        <v/>
      </c>
      <c r="E77" s="318" t="str">
        <f t="shared" si="67"/>
        <v/>
      </c>
      <c r="F77" s="318" t="str">
        <f t="shared" si="68"/>
        <v/>
      </c>
      <c r="G77" s="318" t="str">
        <f t="shared" si="69"/>
        <v/>
      </c>
      <c r="I77" s="228" t="str">
        <f>IF($Q21=FALSE,"",ROUND(Pressure_3_R1!N16,$N$64))</f>
        <v/>
      </c>
      <c r="J77" s="228" t="str">
        <f>IF($Q21=FALSE,"",ROUND(Pressure_3_R1!O16,N$64))</f>
        <v/>
      </c>
      <c r="K77" s="228" t="str">
        <f t="shared" si="70"/>
        <v/>
      </c>
      <c r="L77" s="229" t="str">
        <f t="shared" si="71"/>
        <v/>
      </c>
      <c r="N77" s="171" t="str">
        <f t="shared" ca="1" si="72"/>
        <v/>
      </c>
      <c r="O77" s="171" t="str">
        <f t="shared" ca="1" si="73"/>
        <v/>
      </c>
      <c r="P77" s="171" t="str">
        <f t="shared" ca="1" si="74"/>
        <v/>
      </c>
      <c r="Q77" s="171" t="str">
        <f t="shared" si="75"/>
        <v/>
      </c>
      <c r="S77" s="310" t="s">
        <v>376</v>
      </c>
      <c r="T77" s="320" t="e">
        <f>SLOPE(E45:E59,K45:K59)</f>
        <v>#DIV/0!</v>
      </c>
    </row>
    <row r="78" spans="2:26" ht="15" customHeight="1">
      <c r="B78" s="306">
        <f t="shared" si="64"/>
        <v>14</v>
      </c>
      <c r="C78" s="318" t="str">
        <f t="shared" si="65"/>
        <v/>
      </c>
      <c r="D78" s="318" t="str">
        <f t="shared" si="66"/>
        <v/>
      </c>
      <c r="E78" s="318" t="str">
        <f t="shared" si="67"/>
        <v/>
      </c>
      <c r="F78" s="318" t="str">
        <f t="shared" si="68"/>
        <v/>
      </c>
      <c r="G78" s="318" t="str">
        <f t="shared" si="69"/>
        <v/>
      </c>
      <c r="I78" s="228" t="str">
        <f>IF($Q22=FALSE,"",ROUND(Pressure_3_R1!N17,$N$64))</f>
        <v/>
      </c>
      <c r="J78" s="228" t="str">
        <f>IF($Q22=FALSE,"",ROUND(Pressure_3_R1!O17,N$64))</f>
        <v/>
      </c>
      <c r="K78" s="228" t="str">
        <f t="shared" si="70"/>
        <v/>
      </c>
      <c r="L78" s="229" t="str">
        <f t="shared" si="71"/>
        <v/>
      </c>
      <c r="N78" s="171" t="str">
        <f t="shared" ca="1" si="72"/>
        <v/>
      </c>
      <c r="O78" s="171" t="str">
        <f t="shared" ca="1" si="73"/>
        <v/>
      </c>
      <c r="P78" s="171" t="str">
        <f t="shared" ca="1" si="74"/>
        <v/>
      </c>
      <c r="Q78" s="171" t="str">
        <f t="shared" si="75"/>
        <v/>
      </c>
      <c r="S78" s="310" t="s">
        <v>377</v>
      </c>
      <c r="T78" s="320" t="e">
        <f>INTERCEPT(E45:E59,K45:K59)</f>
        <v>#DIV/0!</v>
      </c>
      <c r="U78" s="175"/>
    </row>
    <row r="79" spans="2:26" ht="15" customHeight="1">
      <c r="B79" s="306">
        <f t="shared" si="64"/>
        <v>15</v>
      </c>
      <c r="C79" s="318" t="str">
        <f t="shared" si="65"/>
        <v/>
      </c>
      <c r="D79" s="318" t="str">
        <f t="shared" si="66"/>
        <v/>
      </c>
      <c r="E79" s="318" t="str">
        <f t="shared" si="67"/>
        <v/>
      </c>
      <c r="F79" s="318" t="str">
        <f t="shared" si="68"/>
        <v/>
      </c>
      <c r="G79" s="318" t="str">
        <f t="shared" si="69"/>
        <v/>
      </c>
      <c r="I79" s="228" t="str">
        <f>IF($Q23=FALSE,"",ROUND(Pressure_3_R1!N18,$N$64))</f>
        <v/>
      </c>
      <c r="J79" s="228" t="str">
        <f>IF($Q23=FALSE,"",ROUND(Pressure_3_R1!O18,N$64))</f>
        <v/>
      </c>
      <c r="K79" s="228" t="str">
        <f t="shared" si="70"/>
        <v/>
      </c>
      <c r="L79" s="229" t="str">
        <f t="shared" si="71"/>
        <v/>
      </c>
      <c r="N79" s="171" t="str">
        <f t="shared" ca="1" si="72"/>
        <v/>
      </c>
      <c r="O79" s="171" t="str">
        <f t="shared" ca="1" si="73"/>
        <v/>
      </c>
      <c r="P79" s="171" t="str">
        <f t="shared" ca="1" si="74"/>
        <v/>
      </c>
      <c r="Q79" s="171" t="str">
        <f t="shared" si="75"/>
        <v/>
      </c>
      <c r="R79" s="161"/>
      <c r="T79" s="161"/>
    </row>
    <row r="80" spans="2:26" ht="15" customHeight="1">
      <c r="B80" s="161"/>
      <c r="C80" s="161"/>
      <c r="D80" s="161"/>
      <c r="E80" s="161"/>
      <c r="T80" s="161"/>
    </row>
    <row r="81" spans="1:24" ht="15" customHeight="1">
      <c r="B81" s="321" t="s">
        <v>378</v>
      </c>
      <c r="C81" s="321" t="s">
        <v>379</v>
      </c>
      <c r="D81" s="321" t="s">
        <v>380</v>
      </c>
      <c r="E81" s="321" t="s">
        <v>381</v>
      </c>
      <c r="F81" s="321" t="s">
        <v>382</v>
      </c>
      <c r="G81" s="321" t="s">
        <v>383</v>
      </c>
      <c r="I81" s="321" t="s">
        <v>384</v>
      </c>
      <c r="J81" s="321" t="s">
        <v>379</v>
      </c>
      <c r="K81" s="321" t="s">
        <v>385</v>
      </c>
      <c r="L81" s="321" t="s">
        <v>386</v>
      </c>
      <c r="M81" s="321" t="s">
        <v>387</v>
      </c>
      <c r="N81" s="321" t="s">
        <v>388</v>
      </c>
      <c r="T81" s="161"/>
    </row>
    <row r="82" spans="1:24" ht="15" customHeight="1">
      <c r="B82" s="321" t="s">
        <v>389</v>
      </c>
      <c r="C82" s="287" t="s">
        <v>390</v>
      </c>
      <c r="D82" s="287" t="s">
        <v>391</v>
      </c>
      <c r="E82" s="287"/>
      <c r="F82" s="287" t="s">
        <v>392</v>
      </c>
      <c r="G82" s="287"/>
      <c r="I82" s="321">
        <f>기본정보!C9</f>
        <v>0</v>
      </c>
      <c r="J82" s="321" t="e">
        <f>VLOOKUP($I82,$B82:$G87,2,FALSE)</f>
        <v>#N/A</v>
      </c>
      <c r="K82" s="321" t="e">
        <f>VLOOKUP($I82,$B82:$G87,3,FALSE)</f>
        <v>#N/A</v>
      </c>
      <c r="L82" s="321" t="e">
        <f>VLOOKUP($I82,$B82:$G87,4,FALSE)</f>
        <v>#N/A</v>
      </c>
      <c r="M82" s="321" t="e">
        <f>VLOOKUP($I82,$B82:$G87,5,FALSE)</f>
        <v>#N/A</v>
      </c>
      <c r="N82" s="321" t="e">
        <f>VLOOKUP($I82,$B82:$G87,6,FALSE)</f>
        <v>#N/A</v>
      </c>
      <c r="T82" s="161"/>
    </row>
    <row r="83" spans="1:24" ht="15" customHeight="1">
      <c r="B83" s="321"/>
      <c r="C83" s="287"/>
      <c r="D83" s="287"/>
      <c r="E83" s="287"/>
      <c r="F83" s="287"/>
      <c r="G83" s="287"/>
    </row>
    <row r="84" spans="1:24" ht="15" customHeight="1">
      <c r="B84" s="321"/>
      <c r="C84" s="287"/>
      <c r="D84" s="287"/>
      <c r="E84" s="287"/>
      <c r="F84" s="287"/>
      <c r="G84" s="287"/>
    </row>
    <row r="85" spans="1:24" ht="15" customHeight="1">
      <c r="B85" s="321"/>
      <c r="C85" s="287"/>
      <c r="D85" s="287"/>
      <c r="E85" s="287"/>
      <c r="F85" s="287"/>
      <c r="G85" s="287"/>
    </row>
    <row r="86" spans="1:24" ht="15" customHeight="1">
      <c r="B86" s="321"/>
      <c r="C86" s="287"/>
      <c r="D86" s="287"/>
      <c r="E86" s="287"/>
      <c r="F86" s="287"/>
      <c r="G86" s="287"/>
    </row>
    <row r="87" spans="1:24" ht="15" customHeight="1">
      <c r="B87" s="321"/>
      <c r="C87" s="287"/>
      <c r="D87" s="287"/>
      <c r="E87" s="287"/>
      <c r="F87" s="287"/>
      <c r="G87" s="287"/>
    </row>
    <row r="89" spans="1:24" ht="15" customHeight="1">
      <c r="A89" s="230" t="s">
        <v>393</v>
      </c>
    </row>
    <row r="90" spans="1:24" ht="15" customHeight="1">
      <c r="B90" s="321" t="s">
        <v>378</v>
      </c>
      <c r="C90" s="290" t="s">
        <v>394</v>
      </c>
      <c r="D90" s="291"/>
      <c r="E90" s="292"/>
      <c r="F90" s="290" t="s">
        <v>395</v>
      </c>
      <c r="G90" s="292"/>
      <c r="H90" s="321" t="s">
        <v>396</v>
      </c>
      <c r="I90" s="321" t="s">
        <v>397</v>
      </c>
      <c r="J90" s="321" t="s">
        <v>398</v>
      </c>
      <c r="L90" s="321" t="s">
        <v>399</v>
      </c>
      <c r="M90" s="321" t="s">
        <v>400</v>
      </c>
      <c r="N90" s="321" t="s">
        <v>401</v>
      </c>
      <c r="O90" s="321" t="s">
        <v>402</v>
      </c>
      <c r="P90" s="321" t="s">
        <v>397</v>
      </c>
      <c r="Q90" s="321" t="s">
        <v>403</v>
      </c>
      <c r="R90" s="321" t="s">
        <v>404</v>
      </c>
      <c r="S90" s="321" t="s">
        <v>405</v>
      </c>
      <c r="U90" s="170"/>
      <c r="V90" s="170"/>
      <c r="W90" s="170"/>
      <c r="X90" s="170"/>
    </row>
    <row r="91" spans="1:24" ht="15" customHeight="1">
      <c r="B91" s="322" t="s">
        <v>389</v>
      </c>
      <c r="C91" s="322"/>
      <c r="D91" s="322"/>
      <c r="E91" s="322"/>
      <c r="F91" s="322"/>
      <c r="G91" s="322"/>
      <c r="H91" s="322"/>
      <c r="I91" s="323">
        <v>350000</v>
      </c>
      <c r="J91" s="787" t="s">
        <v>406</v>
      </c>
      <c r="L91" s="321" t="s">
        <v>407</v>
      </c>
      <c r="M91" s="324">
        <f>COUNT(J9:L38)</f>
        <v>0</v>
      </c>
      <c r="N91" s="321" t="b">
        <f>NOT(M91=0)</f>
        <v>0</v>
      </c>
      <c r="O91" s="321">
        <f>IF((M91-16)&lt;0,0,M91-16)</f>
        <v>0</v>
      </c>
      <c r="P91" s="325">
        <f>I91</f>
        <v>350000</v>
      </c>
      <c r="Q91" s="325">
        <f>P91*6.25%*O91</f>
        <v>0</v>
      </c>
      <c r="R91" s="325">
        <f>IF(N91=TRUE,P91+Q91,0)</f>
        <v>0</v>
      </c>
      <c r="S91" s="790">
        <f>SUM(R91:R94)</f>
        <v>0</v>
      </c>
      <c r="U91" s="170"/>
      <c r="V91" s="170"/>
      <c r="W91" s="170"/>
      <c r="X91" s="170"/>
    </row>
    <row r="92" spans="1:24" ht="15" customHeight="1">
      <c r="B92" s="322"/>
      <c r="C92" s="322"/>
      <c r="D92" s="322"/>
      <c r="E92" s="322"/>
      <c r="F92" s="322"/>
      <c r="G92" s="322"/>
      <c r="H92" s="322"/>
      <c r="I92" s="323"/>
      <c r="J92" s="788"/>
      <c r="L92" s="321"/>
      <c r="M92" s="324"/>
      <c r="N92" s="321"/>
      <c r="O92" s="321"/>
      <c r="P92" s="325"/>
      <c r="Q92" s="325"/>
      <c r="R92" s="325"/>
      <c r="S92" s="791"/>
      <c r="U92" s="170"/>
      <c r="V92" s="170"/>
      <c r="W92" s="170"/>
      <c r="X92" s="170"/>
    </row>
    <row r="93" spans="1:24" ht="15" customHeight="1">
      <c r="B93" s="322"/>
      <c r="C93" s="322"/>
      <c r="D93" s="322"/>
      <c r="E93" s="322"/>
      <c r="F93" s="322"/>
      <c r="G93" s="322"/>
      <c r="H93" s="322"/>
      <c r="I93" s="323"/>
      <c r="J93" s="788"/>
      <c r="L93" s="321"/>
      <c r="M93" s="324"/>
      <c r="N93" s="321"/>
      <c r="O93" s="321"/>
      <c r="P93" s="325"/>
      <c r="Q93" s="325"/>
      <c r="R93" s="325"/>
      <c r="S93" s="791"/>
      <c r="U93" s="170"/>
      <c r="V93" s="170"/>
      <c r="W93" s="170"/>
      <c r="X93" s="170"/>
    </row>
    <row r="94" spans="1:24" ht="15" customHeight="1">
      <c r="B94" s="322"/>
      <c r="C94" s="322"/>
      <c r="D94" s="322"/>
      <c r="E94" s="322"/>
      <c r="F94" s="322"/>
      <c r="G94" s="322"/>
      <c r="H94" s="322"/>
      <c r="I94" s="323"/>
      <c r="J94" s="788"/>
      <c r="L94" s="321"/>
      <c r="M94" s="324"/>
      <c r="N94" s="321"/>
      <c r="O94" s="321"/>
      <c r="P94" s="325"/>
      <c r="Q94" s="325"/>
      <c r="R94" s="325"/>
      <c r="S94" s="792"/>
      <c r="U94" s="170"/>
      <c r="V94" s="170"/>
      <c r="W94" s="170"/>
      <c r="X94" s="170"/>
    </row>
    <row r="95" spans="1:24" ht="15" customHeight="1">
      <c r="B95" s="322"/>
      <c r="C95" s="322"/>
      <c r="D95" s="322"/>
      <c r="E95" s="322"/>
      <c r="F95" s="322"/>
      <c r="G95" s="322"/>
      <c r="H95" s="322"/>
      <c r="I95" s="323"/>
      <c r="J95" s="788"/>
      <c r="L95" s="161"/>
      <c r="U95" s="170"/>
      <c r="V95" s="170"/>
      <c r="W95" s="170"/>
      <c r="X95" s="170"/>
    </row>
    <row r="96" spans="1:24" ht="15" customHeight="1">
      <c r="B96" s="322"/>
      <c r="C96" s="322"/>
      <c r="D96" s="322"/>
      <c r="E96" s="322"/>
      <c r="F96" s="322"/>
      <c r="G96" s="322"/>
      <c r="H96" s="322"/>
      <c r="I96" s="323"/>
      <c r="J96" s="788"/>
      <c r="L96" s="231" t="s">
        <v>408</v>
      </c>
    </row>
    <row r="97" spans="2:24" ht="15" customHeight="1">
      <c r="B97" s="326"/>
      <c r="C97" s="326"/>
      <c r="D97" s="326"/>
      <c r="E97" s="326"/>
      <c r="F97" s="326"/>
      <c r="G97" s="326"/>
      <c r="H97" s="326"/>
      <c r="I97" s="327"/>
      <c r="J97" s="788"/>
      <c r="L97" s="244" t="s">
        <v>409</v>
      </c>
      <c r="M97" s="161"/>
      <c r="N97" s="161"/>
      <c r="O97" s="161"/>
      <c r="P97" s="161"/>
    </row>
    <row r="98" spans="2:24" ht="15" customHeight="1">
      <c r="B98" s="326"/>
      <c r="C98" s="326"/>
      <c r="D98" s="326"/>
      <c r="E98" s="326"/>
      <c r="F98" s="326"/>
      <c r="G98" s="326"/>
      <c r="H98" s="326"/>
      <c r="I98" s="327"/>
      <c r="J98" s="788"/>
      <c r="L98" s="232" t="s">
        <v>410</v>
      </c>
      <c r="M98" s="161"/>
      <c r="N98" s="161"/>
      <c r="O98" s="161"/>
      <c r="P98" s="161"/>
    </row>
    <row r="99" spans="2:24" ht="15" customHeight="1">
      <c r="B99" s="326"/>
      <c r="C99" s="326"/>
      <c r="D99" s="326"/>
      <c r="E99" s="326"/>
      <c r="F99" s="326"/>
      <c r="G99" s="326"/>
      <c r="H99" s="326"/>
      <c r="I99" s="327"/>
      <c r="J99" s="788"/>
      <c r="L99" s="232" t="s">
        <v>411</v>
      </c>
      <c r="M99" s="161"/>
      <c r="N99" s="161"/>
      <c r="O99" s="161"/>
      <c r="P99" s="161"/>
    </row>
    <row r="100" spans="2:24" ht="15" customHeight="1">
      <c r="B100" s="326"/>
      <c r="C100" s="326"/>
      <c r="D100" s="326"/>
      <c r="E100" s="326"/>
      <c r="F100" s="326"/>
      <c r="G100" s="326"/>
      <c r="H100" s="326"/>
      <c r="I100" s="327"/>
      <c r="J100" s="788"/>
      <c r="L100" s="232" t="s">
        <v>412</v>
      </c>
      <c r="M100" s="161"/>
      <c r="N100" s="161"/>
      <c r="O100" s="161"/>
      <c r="P100" s="161"/>
      <c r="Q100" s="161"/>
    </row>
    <row r="101" spans="2:24" ht="15" customHeight="1">
      <c r="B101" s="322"/>
      <c r="C101" s="322"/>
      <c r="D101" s="322"/>
      <c r="E101" s="322"/>
      <c r="F101" s="322"/>
      <c r="G101" s="322"/>
      <c r="H101" s="322"/>
      <c r="I101" s="323"/>
      <c r="J101" s="788"/>
      <c r="K101" s="161"/>
      <c r="L101" s="161"/>
      <c r="M101" s="161"/>
      <c r="N101" s="161"/>
      <c r="O101" s="161"/>
      <c r="U101" s="170"/>
      <c r="V101" s="170"/>
      <c r="W101" s="170"/>
      <c r="X101" s="170"/>
    </row>
    <row r="102" spans="2:24" ht="15" customHeight="1">
      <c r="B102" s="322"/>
      <c r="C102" s="322"/>
      <c r="D102" s="322"/>
      <c r="E102" s="322"/>
      <c r="F102" s="322"/>
      <c r="G102" s="322"/>
      <c r="H102" s="322"/>
      <c r="I102" s="323"/>
      <c r="J102" s="788"/>
      <c r="L102" s="161"/>
      <c r="M102" s="161"/>
      <c r="N102" s="161"/>
      <c r="O102" s="161"/>
      <c r="U102" s="170"/>
      <c r="V102" s="170"/>
      <c r="W102" s="170"/>
      <c r="X102" s="170"/>
    </row>
    <row r="103" spans="2:24" ht="15" customHeight="1">
      <c r="B103" s="326"/>
      <c r="C103" s="326"/>
      <c r="D103" s="326"/>
      <c r="E103" s="326"/>
      <c r="F103" s="326"/>
      <c r="G103" s="326"/>
      <c r="H103" s="326"/>
      <c r="I103" s="327"/>
      <c r="J103" s="788"/>
      <c r="L103" s="161"/>
      <c r="M103" s="161"/>
      <c r="N103" s="161"/>
      <c r="O103" s="161"/>
      <c r="U103" s="170"/>
      <c r="V103" s="170"/>
      <c r="W103" s="170"/>
    </row>
    <row r="104" spans="2:24" ht="15" customHeight="1">
      <c r="B104" s="326"/>
      <c r="C104" s="326"/>
      <c r="D104" s="326"/>
      <c r="E104" s="326"/>
      <c r="F104" s="326"/>
      <c r="G104" s="326"/>
      <c r="H104" s="326"/>
      <c r="I104" s="327"/>
      <c r="J104" s="788"/>
      <c r="L104" s="161"/>
      <c r="M104" s="161"/>
      <c r="N104" s="161"/>
      <c r="O104" s="161"/>
      <c r="U104" s="170"/>
      <c r="V104" s="170"/>
      <c r="W104" s="170"/>
      <c r="X104" s="170"/>
    </row>
    <row r="105" spans="2:24" ht="15" customHeight="1">
      <c r="B105" s="326"/>
      <c r="C105" s="326"/>
      <c r="D105" s="326"/>
      <c r="E105" s="326"/>
      <c r="F105" s="326"/>
      <c r="G105" s="326"/>
      <c r="H105" s="326"/>
      <c r="I105" s="327"/>
      <c r="J105" s="788"/>
      <c r="U105" s="170"/>
      <c r="V105" s="170"/>
      <c r="W105" s="170"/>
      <c r="X105" s="170"/>
    </row>
    <row r="106" spans="2:24" ht="15" customHeight="1">
      <c r="B106" s="326"/>
      <c r="C106" s="326"/>
      <c r="D106" s="326"/>
      <c r="E106" s="326"/>
      <c r="F106" s="326"/>
      <c r="G106" s="326"/>
      <c r="H106" s="326"/>
      <c r="I106" s="327"/>
      <c r="J106" s="788"/>
      <c r="U106" s="170"/>
      <c r="V106" s="170"/>
      <c r="W106" s="170"/>
      <c r="X106" s="170"/>
    </row>
    <row r="107" spans="2:24" ht="15" customHeight="1">
      <c r="B107" s="322"/>
      <c r="C107" s="322"/>
      <c r="D107" s="322"/>
      <c r="E107" s="322"/>
      <c r="F107" s="322"/>
      <c r="G107" s="322"/>
      <c r="H107" s="322"/>
      <c r="I107" s="323"/>
      <c r="J107" s="788"/>
      <c r="K107" s="161"/>
      <c r="X107" s="170"/>
    </row>
    <row r="108" spans="2:24" ht="15" customHeight="1">
      <c r="B108" s="322"/>
      <c r="C108" s="322"/>
      <c r="D108" s="322"/>
      <c r="E108" s="322"/>
      <c r="F108" s="322"/>
      <c r="G108" s="322"/>
      <c r="H108" s="322"/>
      <c r="I108" s="323"/>
      <c r="J108" s="788"/>
      <c r="K108" s="161"/>
      <c r="X108" s="170"/>
    </row>
    <row r="109" spans="2:24" ht="15" customHeight="1">
      <c r="B109" s="326"/>
      <c r="C109" s="326"/>
      <c r="D109" s="326"/>
      <c r="E109" s="326"/>
      <c r="F109" s="326"/>
      <c r="G109" s="326"/>
      <c r="H109" s="326"/>
      <c r="I109" s="327"/>
      <c r="J109" s="788"/>
      <c r="K109" s="161"/>
      <c r="X109" s="170"/>
    </row>
    <row r="110" spans="2:24" ht="15" customHeight="1">
      <c r="B110" s="326"/>
      <c r="C110" s="326"/>
      <c r="D110" s="326"/>
      <c r="E110" s="326"/>
      <c r="F110" s="326"/>
      <c r="G110" s="326"/>
      <c r="H110" s="326"/>
      <c r="I110" s="327"/>
      <c r="J110" s="789"/>
      <c r="K110" s="161"/>
      <c r="X110" s="170"/>
    </row>
  </sheetData>
  <mergeCells count="63">
    <mergeCell ref="Q6:Q8"/>
    <mergeCell ref="AA42:AA43"/>
    <mergeCell ref="B62:B64"/>
    <mergeCell ref="C62:C63"/>
    <mergeCell ref="B6:B8"/>
    <mergeCell ref="D6:D8"/>
    <mergeCell ref="E6:E7"/>
    <mergeCell ref="B41:B44"/>
    <mergeCell ref="D62:D63"/>
    <mergeCell ref="C6:C8"/>
    <mergeCell ref="F6:F7"/>
    <mergeCell ref="G6:G7"/>
    <mergeCell ref="W42:W43"/>
    <mergeCell ref="U42:U43"/>
    <mergeCell ref="L62:L63"/>
    <mergeCell ref="O62:Q62"/>
    <mergeCell ref="J91:J110"/>
    <mergeCell ref="S91:S94"/>
    <mergeCell ref="R6:R8"/>
    <mergeCell ref="Z42:Z43"/>
    <mergeCell ref="H6:H7"/>
    <mergeCell ref="J6:L6"/>
    <mergeCell ref="V42:V43"/>
    <mergeCell ref="I6:I7"/>
    <mergeCell ref="M6:O6"/>
    <mergeCell ref="S6:S8"/>
    <mergeCell ref="T6:W6"/>
    <mergeCell ref="O41:V41"/>
    <mergeCell ref="X6:AA6"/>
    <mergeCell ref="C41:I41"/>
    <mergeCell ref="E62:G62"/>
    <mergeCell ref="I62:K62"/>
    <mergeCell ref="AK41:AK44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X42:X43"/>
    <mergeCell ref="AF42:AF43"/>
    <mergeCell ref="J41:N41"/>
    <mergeCell ref="AF41:AJ41"/>
    <mergeCell ref="W41:AB41"/>
    <mergeCell ref="AC41:AC43"/>
    <mergeCell ref="AB42:AB43"/>
    <mergeCell ref="Y42:Y43"/>
    <mergeCell ref="O42:P42"/>
    <mergeCell ref="Q42:R42"/>
    <mergeCell ref="S42:T42"/>
    <mergeCell ref="AE41:AE43"/>
    <mergeCell ref="AD41:AD43"/>
    <mergeCell ref="S76:T76"/>
    <mergeCell ref="AG42:AG43"/>
    <mergeCell ref="AH42:AH43"/>
    <mergeCell ref="AI42:AI43"/>
    <mergeCell ref="AJ42:AJ43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0"/>
  <sheetViews>
    <sheetView showGridLines="0" workbookViewId="0"/>
  </sheetViews>
  <sheetFormatPr defaultColWidth="8.77734375" defaultRowHeight="15" customHeight="1"/>
  <cols>
    <col min="1" max="1" width="3.77734375" style="161" customWidth="1"/>
    <col min="2" max="4" width="8.77734375" style="172"/>
    <col min="5" max="20" width="8.77734375" style="170"/>
    <col min="21" max="16384" width="8.77734375" style="161"/>
  </cols>
  <sheetData>
    <row r="1" spans="1:37" ht="15" customHeight="1">
      <c r="A1" s="158" t="s">
        <v>519</v>
      </c>
      <c r="B1" s="159"/>
      <c r="C1" s="159"/>
      <c r="D1" s="159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</row>
    <row r="2" spans="1:37" ht="15" customHeight="1" thickBot="1">
      <c r="B2" s="268" t="s">
        <v>414</v>
      </c>
      <c r="C2" s="268" t="s">
        <v>415</v>
      </c>
      <c r="D2" s="268" t="s">
        <v>267</v>
      </c>
      <c r="E2" s="268" t="s">
        <v>159</v>
      </c>
      <c r="F2" s="305" t="s">
        <v>137</v>
      </c>
      <c r="G2" s="305" t="s">
        <v>416</v>
      </c>
      <c r="H2" s="305" t="s">
        <v>128</v>
      </c>
      <c r="I2" s="305" t="s">
        <v>417</v>
      </c>
      <c r="J2" s="305" t="s">
        <v>418</v>
      </c>
      <c r="K2" s="299" t="s">
        <v>419</v>
      </c>
      <c r="L2" s="268" t="s">
        <v>420</v>
      </c>
      <c r="M2" s="268" t="s">
        <v>421</v>
      </c>
      <c r="N2" s="160"/>
      <c r="O2" s="160"/>
      <c r="P2" s="160"/>
      <c r="Q2" s="160"/>
      <c r="R2" s="160"/>
      <c r="S2" s="160"/>
      <c r="T2" s="161"/>
    </row>
    <row r="3" spans="1:37" ht="15" customHeight="1" thickBot="1">
      <c r="B3" s="306">
        <f>COUNTIF(B9:B38,TRUE)/2</f>
        <v>0</v>
      </c>
      <c r="C3" s="306">
        <f>Pressure_3_R1!F$4</f>
        <v>0</v>
      </c>
      <c r="D3" s="306">
        <f>Pressure_3_R1_Result2</f>
        <v>0</v>
      </c>
      <c r="E3" s="306">
        <v>9.8066499999999994</v>
      </c>
      <c r="F3" s="248">
        <f>Pressure_3_R1!K4</f>
        <v>0</v>
      </c>
      <c r="G3" s="248">
        <f>Pressure_3_R1!L4</f>
        <v>0</v>
      </c>
      <c r="H3" s="248">
        <f>IF(TYPE(FIND(".",G3))=16,0,LEN(G3)-2)+M3</f>
        <v>1</v>
      </c>
      <c r="I3" s="248" t="str">
        <f ca="1">OFFSET(T63,MATCH(H3,U64:U73,0),0)</f>
        <v>0.0</v>
      </c>
      <c r="J3" s="248" t="e">
        <f>INDEX(표준압력!C3:J10,MATCH(H8,표준압력!C2:J2,0),MATCH("Pa",표준압력!B3:B10,0))</f>
        <v>#N/A</v>
      </c>
      <c r="K3" s="181" t="str">
        <f>IF(SUM(AK45:AK59)=0,"","초과")</f>
        <v/>
      </c>
      <c r="L3" s="269" t="b">
        <f>기본정보!A46=0</f>
        <v>1</v>
      </c>
      <c r="M3" s="269">
        <f>IF(L3=TRUE,1,기본정보!A47)</f>
        <v>1</v>
      </c>
      <c r="N3" s="160"/>
      <c r="O3" s="160"/>
      <c r="P3" s="160"/>
      <c r="Q3" s="160"/>
      <c r="R3" s="160"/>
      <c r="S3" s="160"/>
      <c r="T3" s="161"/>
    </row>
    <row r="4" spans="1:37" ht="15" customHeight="1">
      <c r="B4" s="159"/>
      <c r="C4" s="160"/>
      <c r="D4" s="160"/>
      <c r="E4" s="160"/>
      <c r="G4" s="160"/>
      <c r="H4" s="160"/>
      <c r="J4" s="160"/>
      <c r="K4" s="160"/>
      <c r="L4" s="160"/>
      <c r="M4" s="160"/>
      <c r="N4" s="160"/>
      <c r="O4" s="161"/>
      <c r="P4" s="161"/>
      <c r="Q4" s="161"/>
      <c r="R4" s="161"/>
      <c r="S4" s="161"/>
      <c r="T4" s="161"/>
    </row>
    <row r="5" spans="1:37" s="165" customFormat="1" ht="15" customHeight="1">
      <c r="B5" s="164" t="s">
        <v>422</v>
      </c>
      <c r="C5" s="162"/>
      <c r="D5" s="162"/>
      <c r="E5" s="163"/>
      <c r="F5" s="163"/>
      <c r="G5" s="163"/>
      <c r="H5" s="162"/>
      <c r="I5" s="159"/>
      <c r="J5" s="159"/>
      <c r="K5" s="159"/>
      <c r="L5" s="159"/>
      <c r="M5" s="162"/>
      <c r="N5" s="162"/>
      <c r="O5" s="162"/>
      <c r="P5" s="162"/>
      <c r="Q5" s="164" t="s">
        <v>423</v>
      </c>
      <c r="R5" s="162"/>
      <c r="S5" s="162"/>
      <c r="T5" s="162"/>
    </row>
    <row r="6" spans="1:37" s="160" customFormat="1" ht="15" customHeight="1">
      <c r="B6" s="797" t="s">
        <v>163</v>
      </c>
      <c r="C6" s="797" t="s">
        <v>424</v>
      </c>
      <c r="D6" s="797" t="s">
        <v>425</v>
      </c>
      <c r="E6" s="796" t="s">
        <v>426</v>
      </c>
      <c r="F6" s="797" t="s">
        <v>120</v>
      </c>
      <c r="G6" s="797" t="s">
        <v>428</v>
      </c>
      <c r="H6" s="796" t="s">
        <v>280</v>
      </c>
      <c r="I6" s="796" t="s">
        <v>135</v>
      </c>
      <c r="J6" s="797" t="s">
        <v>164</v>
      </c>
      <c r="K6" s="797"/>
      <c r="L6" s="797"/>
      <c r="M6" s="797" t="s">
        <v>528</v>
      </c>
      <c r="N6" s="797"/>
      <c r="O6" s="797"/>
      <c r="P6" s="162"/>
      <c r="Q6" s="793" t="s">
        <v>163</v>
      </c>
      <c r="R6" s="793" t="s">
        <v>429</v>
      </c>
      <c r="S6" s="793" t="s">
        <v>162</v>
      </c>
      <c r="T6" s="798" t="s">
        <v>164</v>
      </c>
      <c r="U6" s="799"/>
      <c r="V6" s="799"/>
      <c r="W6" s="800"/>
      <c r="X6" s="798" t="s">
        <v>430</v>
      </c>
      <c r="Y6" s="799"/>
      <c r="Z6" s="799"/>
      <c r="AA6" s="800"/>
      <c r="AC6" s="305" t="s">
        <v>431</v>
      </c>
      <c r="AD6" s="247" t="s">
        <v>432</v>
      </c>
      <c r="AE6" s="247" t="s">
        <v>433</v>
      </c>
      <c r="AF6" s="247" t="s">
        <v>434</v>
      </c>
      <c r="AG6" s="247" t="s">
        <v>435</v>
      </c>
      <c r="AH6" s="247" t="s">
        <v>436</v>
      </c>
      <c r="AI6" s="247" t="s">
        <v>437</v>
      </c>
      <c r="AJ6" s="247" t="s">
        <v>438</v>
      </c>
      <c r="AK6" s="247" t="s">
        <v>439</v>
      </c>
    </row>
    <row r="7" spans="1:37" s="160" customFormat="1" ht="15" customHeight="1">
      <c r="B7" s="797"/>
      <c r="C7" s="797"/>
      <c r="D7" s="797"/>
      <c r="E7" s="796"/>
      <c r="F7" s="797"/>
      <c r="G7" s="797"/>
      <c r="H7" s="796"/>
      <c r="I7" s="796"/>
      <c r="J7" s="330" t="s">
        <v>63</v>
      </c>
      <c r="K7" s="330" t="s">
        <v>64</v>
      </c>
      <c r="L7" s="330" t="s">
        <v>0</v>
      </c>
      <c r="M7" s="330" t="s">
        <v>440</v>
      </c>
      <c r="N7" s="330" t="s">
        <v>441</v>
      </c>
      <c r="O7" s="330" t="s">
        <v>0</v>
      </c>
      <c r="P7" s="162"/>
      <c r="Q7" s="794"/>
      <c r="R7" s="794"/>
      <c r="S7" s="794"/>
      <c r="T7" s="298" t="s">
        <v>440</v>
      </c>
      <c r="U7" s="298" t="s">
        <v>441</v>
      </c>
      <c r="V7" s="298" t="s">
        <v>442</v>
      </c>
      <c r="W7" s="298" t="s">
        <v>443</v>
      </c>
      <c r="X7" s="298" t="s">
        <v>440</v>
      </c>
      <c r="Y7" s="298" t="s">
        <v>441</v>
      </c>
      <c r="Z7" s="298" t="s">
        <v>442</v>
      </c>
      <c r="AA7" s="298" t="s">
        <v>444</v>
      </c>
      <c r="AC7" s="247" t="s">
        <v>432</v>
      </c>
      <c r="AD7" s="248">
        <f t="shared" ref="AD7:AD21" si="0">AF7*1000</f>
        <v>1</v>
      </c>
      <c r="AE7" s="248">
        <f>AF7*10</f>
        <v>0.01</v>
      </c>
      <c r="AF7" s="248">
        <f t="shared" ref="AF7:AF21" si="1">AG7*1000</f>
        <v>1E-3</v>
      </c>
      <c r="AG7" s="248">
        <v>9.9999999999999995E-7</v>
      </c>
      <c r="AH7" s="248">
        <f t="shared" ref="AH7:AH21" si="2">AJ7*1000</f>
        <v>1</v>
      </c>
      <c r="AI7" s="248">
        <f>AJ7*10</f>
        <v>0.01</v>
      </c>
      <c r="AJ7" s="248">
        <f t="shared" ref="AJ7:AJ21" si="3">AK7*1000</f>
        <v>1E-3</v>
      </c>
      <c r="AK7" s="248">
        <v>9.9999999999999995E-7</v>
      </c>
    </row>
    <row r="8" spans="1:37" s="160" customFormat="1" ht="15" customHeight="1">
      <c r="B8" s="797"/>
      <c r="C8" s="797"/>
      <c r="D8" s="797"/>
      <c r="E8" s="345" t="s">
        <v>445</v>
      </c>
      <c r="F8" s="345">
        <f>H8</f>
        <v>0</v>
      </c>
      <c r="G8" s="345">
        <f>C3</f>
        <v>0</v>
      </c>
      <c r="H8" s="345">
        <f>표준압력!C18</f>
        <v>0</v>
      </c>
      <c r="I8" s="345">
        <f>G8</f>
        <v>0</v>
      </c>
      <c r="J8" s="345">
        <f>I8</f>
        <v>0</v>
      </c>
      <c r="K8" s="345">
        <f t="shared" ref="K8:O8" si="4">J8</f>
        <v>0</v>
      </c>
      <c r="L8" s="345">
        <f t="shared" si="4"/>
        <v>0</v>
      </c>
      <c r="M8" s="345">
        <f t="shared" si="4"/>
        <v>0</v>
      </c>
      <c r="N8" s="345">
        <f t="shared" si="4"/>
        <v>0</v>
      </c>
      <c r="O8" s="345">
        <f t="shared" si="4"/>
        <v>0</v>
      </c>
      <c r="P8" s="162"/>
      <c r="Q8" s="795"/>
      <c r="R8" s="795"/>
      <c r="S8" s="795"/>
      <c r="T8" s="344">
        <f>O8</f>
        <v>0</v>
      </c>
      <c r="U8" s="344">
        <f>T8</f>
        <v>0</v>
      </c>
      <c r="V8" s="344">
        <f>U8</f>
        <v>0</v>
      </c>
      <c r="W8" s="344">
        <f>V8</f>
        <v>0</v>
      </c>
      <c r="X8" s="344">
        <f t="shared" ref="X8:AA8" si="5">W8</f>
        <v>0</v>
      </c>
      <c r="Y8" s="344">
        <f t="shared" si="5"/>
        <v>0</v>
      </c>
      <c r="Z8" s="344">
        <f t="shared" si="5"/>
        <v>0</v>
      </c>
      <c r="AA8" s="344">
        <f t="shared" si="5"/>
        <v>0</v>
      </c>
      <c r="AC8" s="247" t="s">
        <v>446</v>
      </c>
      <c r="AD8" s="248">
        <f t="shared" si="0"/>
        <v>100</v>
      </c>
      <c r="AE8" s="248">
        <f t="shared" ref="AE8:AE30" si="6">AF8*10</f>
        <v>1</v>
      </c>
      <c r="AF8" s="248">
        <f t="shared" si="1"/>
        <v>0.1</v>
      </c>
      <c r="AG8" s="248">
        <v>1E-4</v>
      </c>
      <c r="AH8" s="248">
        <f t="shared" si="2"/>
        <v>100</v>
      </c>
      <c r="AI8" s="248">
        <f t="shared" ref="AI8:AI30" si="7">AJ8*10</f>
        <v>1</v>
      </c>
      <c r="AJ8" s="248">
        <f t="shared" si="3"/>
        <v>0.1</v>
      </c>
      <c r="AK8" s="248">
        <v>1E-4</v>
      </c>
    </row>
    <row r="9" spans="1:37" s="160" customFormat="1" ht="15" customHeight="1">
      <c r="B9" s="166" t="b">
        <f>IF(Pressure_3_R1!U4="",FALSE,TRUE)</f>
        <v>0</v>
      </c>
      <c r="C9" s="190" t="b">
        <f>TYPE(Pressure_3_R1!V4)=1</f>
        <v>1</v>
      </c>
      <c r="D9" s="167">
        <v>1</v>
      </c>
      <c r="E9" s="284" t="str">
        <f>IF($B9=FALSE,"",IF(D$3="해수",1026,표준압력!AI18))</f>
        <v/>
      </c>
      <c r="F9" s="169" t="str">
        <f>IF($B9=FALSE,"",VALUE(Pressure_3_R1!B4))</f>
        <v/>
      </c>
      <c r="G9" s="284" t="str">
        <f t="shared" ref="G9:G38" si="8">IF($B9=FALSE,"",(F9*J$3)/(E9*E$3))</f>
        <v/>
      </c>
      <c r="H9" s="284" t="str">
        <f>IF($B9=FALSE,"",표준압력!G18)</f>
        <v/>
      </c>
      <c r="I9" s="284" t="str">
        <f t="shared" ref="I9:I38" si="9">IF($B9=FALSE,"",(H9*J$3)/(E9*E$3))</f>
        <v/>
      </c>
      <c r="J9" s="169" t="str">
        <f>IF($B9=FALSE,"",Pressure_3_R1!U4)</f>
        <v/>
      </c>
      <c r="K9" s="285" t="str">
        <f>IF($B9=FALSE,"",Pressure_3_R1!V4)</f>
        <v/>
      </c>
      <c r="L9" s="285" t="str">
        <f>IF($B9=FALSE,"",Pressure_3_R1!W4)</f>
        <v/>
      </c>
      <c r="M9" s="169" t="str">
        <f>IF($B9=FALSE,"",J9)</f>
        <v/>
      </c>
      <c r="N9" s="285" t="str">
        <f>IF($B9=FALSE,"",IF(K9="ⅹ",M9,K9))</f>
        <v/>
      </c>
      <c r="O9" s="285" t="str">
        <f>IF($B9=FALSE,"",IF(L9="ⅹ",M9,L9))</f>
        <v/>
      </c>
      <c r="P9" s="162"/>
      <c r="Q9" s="168" t="b">
        <f t="shared" ref="Q9:Q38" si="10">IF($S9&gt;$B$3,FALSE,TRUE)</f>
        <v>0</v>
      </c>
      <c r="R9" s="369" t="s">
        <v>1015</v>
      </c>
      <c r="S9" s="370">
        <v>1</v>
      </c>
      <c r="T9" s="224" t="str">
        <f t="shared" ref="T9:T23" ca="1" si="11">IF($Q9=FALSE,"",IF($R9="가압",M9,OFFSET(M$8,$B$3*2-($S9-1),0)))</f>
        <v/>
      </c>
      <c r="U9" s="224" t="str">
        <f t="shared" ref="U9:U38" ca="1" si="12">IF($Q9=FALSE,"",IF($R9="가압",N9,OFFSET(N$8,$B$3*2-($S9-1),0)))</f>
        <v/>
      </c>
      <c r="V9" s="224" t="str">
        <f t="shared" ref="V9:V38" ca="1" si="13">IF($Q9=FALSE,"",IF($R9="가압",O9,OFFSET(O$8,$B$3*2-($S9-1),0)))</f>
        <v/>
      </c>
      <c r="W9" s="374" t="str">
        <f t="shared" ref="W9:W38" si="14">IF($Q9=FALSE,"",AVERAGE(T9:V9))</f>
        <v/>
      </c>
      <c r="X9" s="373" t="str">
        <f t="shared" ref="X9:X23" si="15">IF($Q9=FALSE,"",T9-T$9)</f>
        <v/>
      </c>
      <c r="Y9" s="171" t="str">
        <f t="shared" ref="Y9:Y23" si="16">IF($Q9=FALSE,"",U9-U$9)</f>
        <v/>
      </c>
      <c r="Z9" s="171" t="str">
        <f t="shared" ref="Z9:Z23" si="17">IF($Q9=FALSE,"",V9-V$9)</f>
        <v/>
      </c>
      <c r="AA9" s="377" t="str">
        <f t="shared" ref="AA9:AA38" si="18">IF($Q9=FALSE,"",MAX(ABS(Y9-X9),ABS(Z9-X9),ABS(Z9-Y9)))</f>
        <v/>
      </c>
      <c r="AC9" s="247" t="s">
        <v>447</v>
      </c>
      <c r="AD9" s="248">
        <f t="shared" si="0"/>
        <v>1000</v>
      </c>
      <c r="AE9" s="248">
        <f t="shared" si="6"/>
        <v>10</v>
      </c>
      <c r="AF9" s="248">
        <f t="shared" si="1"/>
        <v>1</v>
      </c>
      <c r="AG9" s="248">
        <v>1E-3</v>
      </c>
      <c r="AH9" s="248">
        <f t="shared" si="2"/>
        <v>1000</v>
      </c>
      <c r="AI9" s="248">
        <f t="shared" si="7"/>
        <v>10</v>
      </c>
      <c r="AJ9" s="248">
        <f t="shared" si="3"/>
        <v>1</v>
      </c>
      <c r="AK9" s="248">
        <v>1E-3</v>
      </c>
    </row>
    <row r="10" spans="1:37" s="160" customFormat="1" ht="15" customHeight="1">
      <c r="B10" s="166" t="b">
        <f>IF(Pressure_3_R1!U5="",FALSE,TRUE)</f>
        <v>0</v>
      </c>
      <c r="C10" s="190" t="b">
        <f>TYPE(Pressure_3_R1!V5)=1</f>
        <v>1</v>
      </c>
      <c r="D10" s="167">
        <v>2</v>
      </c>
      <c r="E10" s="284" t="str">
        <f>IF($B10=FALSE,"",IF(D$3="해수",1026,표준압력!AI19))</f>
        <v/>
      </c>
      <c r="F10" s="169" t="str">
        <f>IF($B10=FALSE,"",VALUE(Pressure_3_R1!B5))</f>
        <v/>
      </c>
      <c r="G10" s="284" t="str">
        <f t="shared" si="8"/>
        <v/>
      </c>
      <c r="H10" s="284" t="str">
        <f>IF($B10=FALSE,"",표준압력!G19)</f>
        <v/>
      </c>
      <c r="I10" s="284" t="str">
        <f t="shared" si="9"/>
        <v/>
      </c>
      <c r="J10" s="169" t="str">
        <f>IF($B10=FALSE,"",Pressure_3_R1!U5)</f>
        <v/>
      </c>
      <c r="K10" s="285" t="str">
        <f>IF($B10=FALSE,"",Pressure_3_R1!V5)</f>
        <v/>
      </c>
      <c r="L10" s="285" t="str">
        <f>IF($B10=FALSE,"",Pressure_3_R1!W5)</f>
        <v/>
      </c>
      <c r="M10" s="169" t="str">
        <f t="shared" ref="M10:M38" si="19">IF($B10=FALSE,"",J10)</f>
        <v/>
      </c>
      <c r="N10" s="285" t="str">
        <f t="shared" ref="N10:N38" si="20">IF($B10=FALSE,"",IF(K10="ⅹ",M10,K10))</f>
        <v/>
      </c>
      <c r="O10" s="285" t="str">
        <f t="shared" ref="O10:O38" si="21">IF($B10=FALSE,"",IF(L10="ⅹ",M10,L10))</f>
        <v/>
      </c>
      <c r="P10" s="162"/>
      <c r="Q10" s="168" t="b">
        <f t="shared" si="10"/>
        <v>0</v>
      </c>
      <c r="R10" s="369" t="s">
        <v>1016</v>
      </c>
      <c r="S10" s="370">
        <v>2</v>
      </c>
      <c r="T10" s="224" t="str">
        <f t="shared" ca="1" si="11"/>
        <v/>
      </c>
      <c r="U10" s="224" t="str">
        <f t="shared" ca="1" si="12"/>
        <v/>
      </c>
      <c r="V10" s="224" t="str">
        <f t="shared" ca="1" si="13"/>
        <v/>
      </c>
      <c r="W10" s="374" t="str">
        <f t="shared" si="14"/>
        <v/>
      </c>
      <c r="X10" s="373" t="str">
        <f t="shared" si="15"/>
        <v/>
      </c>
      <c r="Y10" s="171" t="str">
        <f t="shared" si="16"/>
        <v/>
      </c>
      <c r="Z10" s="171" t="str">
        <f t="shared" si="17"/>
        <v/>
      </c>
      <c r="AA10" s="377" t="str">
        <f t="shared" si="18"/>
        <v/>
      </c>
      <c r="AC10" s="247" t="s">
        <v>448</v>
      </c>
      <c r="AD10" s="248">
        <f t="shared" si="0"/>
        <v>1000000</v>
      </c>
      <c r="AE10" s="248">
        <f t="shared" si="6"/>
        <v>10000</v>
      </c>
      <c r="AF10" s="248">
        <f t="shared" si="1"/>
        <v>1000</v>
      </c>
      <c r="AG10" s="248">
        <v>1</v>
      </c>
      <c r="AH10" s="248">
        <f t="shared" si="2"/>
        <v>1000000</v>
      </c>
      <c r="AI10" s="248">
        <f t="shared" si="7"/>
        <v>10000</v>
      </c>
      <c r="AJ10" s="248">
        <f t="shared" si="3"/>
        <v>1000</v>
      </c>
      <c r="AK10" s="248">
        <v>1</v>
      </c>
    </row>
    <row r="11" spans="1:37" s="160" customFormat="1" ht="15" customHeight="1">
      <c r="B11" s="166" t="b">
        <f>IF(Pressure_3_R1!U6="",FALSE,TRUE)</f>
        <v>0</v>
      </c>
      <c r="C11" s="190" t="b">
        <f>TYPE(Pressure_3_R1!V6)=1</f>
        <v>1</v>
      </c>
      <c r="D11" s="167">
        <v>3</v>
      </c>
      <c r="E11" s="284" t="str">
        <f>IF($B11=FALSE,"",IF(D$3="해수",1026,표준압력!AI20))</f>
        <v/>
      </c>
      <c r="F11" s="169" t="str">
        <f>IF($B11=FALSE,"",VALUE(Pressure_3_R1!B6))</f>
        <v/>
      </c>
      <c r="G11" s="284" t="str">
        <f t="shared" si="8"/>
        <v/>
      </c>
      <c r="H11" s="284" t="str">
        <f>IF($B11=FALSE,"",표준압력!G20)</f>
        <v/>
      </c>
      <c r="I11" s="284" t="str">
        <f t="shared" si="9"/>
        <v/>
      </c>
      <c r="J11" s="169" t="str">
        <f>IF($B11=FALSE,"",Pressure_3_R1!U6)</f>
        <v/>
      </c>
      <c r="K11" s="285" t="str">
        <f>IF($B11=FALSE,"",Pressure_3_R1!V6)</f>
        <v/>
      </c>
      <c r="L11" s="285" t="str">
        <f>IF($B11=FALSE,"",Pressure_3_R1!W6)</f>
        <v/>
      </c>
      <c r="M11" s="169" t="str">
        <f t="shared" si="19"/>
        <v/>
      </c>
      <c r="N11" s="285" t="str">
        <f t="shared" si="20"/>
        <v/>
      </c>
      <c r="O11" s="285" t="str">
        <f t="shared" si="21"/>
        <v/>
      </c>
      <c r="P11" s="162"/>
      <c r="Q11" s="168" t="b">
        <f t="shared" si="10"/>
        <v>0</v>
      </c>
      <c r="R11" s="369" t="s">
        <v>300</v>
      </c>
      <c r="S11" s="370">
        <v>3</v>
      </c>
      <c r="T11" s="224" t="str">
        <f t="shared" ca="1" si="11"/>
        <v/>
      </c>
      <c r="U11" s="224" t="str">
        <f t="shared" ca="1" si="12"/>
        <v/>
      </c>
      <c r="V11" s="224" t="str">
        <f t="shared" ca="1" si="13"/>
        <v/>
      </c>
      <c r="W11" s="374" t="str">
        <f t="shared" si="14"/>
        <v/>
      </c>
      <c r="X11" s="373" t="str">
        <f t="shared" si="15"/>
        <v/>
      </c>
      <c r="Y11" s="171" t="str">
        <f t="shared" si="16"/>
        <v/>
      </c>
      <c r="Z11" s="171" t="str">
        <f t="shared" si="17"/>
        <v/>
      </c>
      <c r="AA11" s="377" t="str">
        <f t="shared" si="18"/>
        <v/>
      </c>
      <c r="AC11" s="247" t="s">
        <v>449</v>
      </c>
      <c r="AD11" s="248">
        <f t="shared" si="0"/>
        <v>100</v>
      </c>
      <c r="AE11" s="248">
        <f t="shared" si="6"/>
        <v>1</v>
      </c>
      <c r="AF11" s="248">
        <f t="shared" si="1"/>
        <v>0.1</v>
      </c>
      <c r="AG11" s="248">
        <v>1E-4</v>
      </c>
      <c r="AH11" s="248">
        <f t="shared" si="2"/>
        <v>100</v>
      </c>
      <c r="AI11" s="248">
        <f t="shared" si="7"/>
        <v>1</v>
      </c>
      <c r="AJ11" s="248">
        <f t="shared" si="3"/>
        <v>0.1</v>
      </c>
      <c r="AK11" s="248">
        <v>1E-4</v>
      </c>
    </row>
    <row r="12" spans="1:37" s="160" customFormat="1" ht="15" customHeight="1">
      <c r="B12" s="166" t="b">
        <f>IF(Pressure_3_R1!U7="",FALSE,TRUE)</f>
        <v>0</v>
      </c>
      <c r="C12" s="190" t="b">
        <f>TYPE(Pressure_3_R1!V7)=1</f>
        <v>1</v>
      </c>
      <c r="D12" s="167">
        <v>4</v>
      </c>
      <c r="E12" s="284" t="str">
        <f>IF($B12=FALSE,"",IF(D$3="해수",1026,표준압력!AI21))</f>
        <v/>
      </c>
      <c r="F12" s="169" t="str">
        <f>IF($B12=FALSE,"",VALUE(Pressure_3_R1!B7))</f>
        <v/>
      </c>
      <c r="G12" s="284" t="str">
        <f t="shared" si="8"/>
        <v/>
      </c>
      <c r="H12" s="284" t="str">
        <f>IF($B12=FALSE,"",표준압력!G21)</f>
        <v/>
      </c>
      <c r="I12" s="284" t="str">
        <f t="shared" si="9"/>
        <v/>
      </c>
      <c r="J12" s="169" t="str">
        <f>IF($B12=FALSE,"",Pressure_3_R1!U7)</f>
        <v/>
      </c>
      <c r="K12" s="285" t="str">
        <f>IF($B12=FALSE,"",Pressure_3_R1!V7)</f>
        <v/>
      </c>
      <c r="L12" s="285" t="str">
        <f>IF($B12=FALSE,"",Pressure_3_R1!W7)</f>
        <v/>
      </c>
      <c r="M12" s="169" t="str">
        <f t="shared" si="19"/>
        <v/>
      </c>
      <c r="N12" s="285" t="str">
        <f t="shared" si="20"/>
        <v/>
      </c>
      <c r="O12" s="285" t="str">
        <f t="shared" si="21"/>
        <v/>
      </c>
      <c r="P12" s="162"/>
      <c r="Q12" s="168" t="b">
        <f t="shared" si="10"/>
        <v>0</v>
      </c>
      <c r="R12" s="369" t="s">
        <v>300</v>
      </c>
      <c r="S12" s="370">
        <v>4</v>
      </c>
      <c r="T12" s="224" t="str">
        <f t="shared" ca="1" si="11"/>
        <v/>
      </c>
      <c r="U12" s="224" t="str">
        <f t="shared" ca="1" si="12"/>
        <v/>
      </c>
      <c r="V12" s="224" t="str">
        <f t="shared" ca="1" si="13"/>
        <v/>
      </c>
      <c r="W12" s="374" t="str">
        <f t="shared" si="14"/>
        <v/>
      </c>
      <c r="X12" s="373" t="str">
        <f t="shared" si="15"/>
        <v/>
      </c>
      <c r="Y12" s="171" t="str">
        <f t="shared" si="16"/>
        <v/>
      </c>
      <c r="Z12" s="171" t="str">
        <f t="shared" si="17"/>
        <v/>
      </c>
      <c r="AA12" s="377" t="str">
        <f t="shared" si="18"/>
        <v/>
      </c>
      <c r="AC12" s="247" t="s">
        <v>450</v>
      </c>
      <c r="AD12" s="248">
        <f t="shared" si="0"/>
        <v>100000</v>
      </c>
      <c r="AE12" s="248">
        <f t="shared" si="6"/>
        <v>1000</v>
      </c>
      <c r="AF12" s="248">
        <f t="shared" si="1"/>
        <v>100</v>
      </c>
      <c r="AG12" s="248">
        <v>0.1</v>
      </c>
      <c r="AH12" s="248">
        <f t="shared" si="2"/>
        <v>100000</v>
      </c>
      <c r="AI12" s="248">
        <f t="shared" si="7"/>
        <v>1000</v>
      </c>
      <c r="AJ12" s="248">
        <f t="shared" si="3"/>
        <v>100</v>
      </c>
      <c r="AK12" s="248">
        <v>0.1</v>
      </c>
    </row>
    <row r="13" spans="1:37" s="160" customFormat="1" ht="15" customHeight="1">
      <c r="B13" s="166" t="b">
        <f>IF(Pressure_3_R1!U8="",FALSE,TRUE)</f>
        <v>0</v>
      </c>
      <c r="C13" s="190" t="b">
        <f>TYPE(Pressure_3_R1!V8)=1</f>
        <v>1</v>
      </c>
      <c r="D13" s="167">
        <v>5</v>
      </c>
      <c r="E13" s="284" t="str">
        <f>IF($B13=FALSE,"",IF(D$3="해수",1026,표준압력!AI22))</f>
        <v/>
      </c>
      <c r="F13" s="169" t="str">
        <f>IF($B13=FALSE,"",VALUE(Pressure_3_R1!B8))</f>
        <v/>
      </c>
      <c r="G13" s="284" t="str">
        <f t="shared" si="8"/>
        <v/>
      </c>
      <c r="H13" s="284" t="str">
        <f>IF($B13=FALSE,"",표준압력!G22)</f>
        <v/>
      </c>
      <c r="I13" s="284" t="str">
        <f t="shared" si="9"/>
        <v/>
      </c>
      <c r="J13" s="169" t="str">
        <f>IF($B13=FALSE,"",Pressure_3_R1!U8)</f>
        <v/>
      </c>
      <c r="K13" s="285" t="str">
        <f>IF($B13=FALSE,"",Pressure_3_R1!V8)</f>
        <v/>
      </c>
      <c r="L13" s="285" t="str">
        <f>IF($B13=FALSE,"",Pressure_3_R1!W8)</f>
        <v/>
      </c>
      <c r="M13" s="169" t="str">
        <f t="shared" si="19"/>
        <v/>
      </c>
      <c r="N13" s="285" t="str">
        <f t="shared" si="20"/>
        <v/>
      </c>
      <c r="O13" s="285" t="str">
        <f t="shared" si="21"/>
        <v/>
      </c>
      <c r="P13" s="162"/>
      <c r="Q13" s="168" t="b">
        <f t="shared" si="10"/>
        <v>0</v>
      </c>
      <c r="R13" s="369" t="s">
        <v>300</v>
      </c>
      <c r="S13" s="370">
        <v>5</v>
      </c>
      <c r="T13" s="224" t="str">
        <f t="shared" ca="1" si="11"/>
        <v/>
      </c>
      <c r="U13" s="224" t="str">
        <f t="shared" ca="1" si="12"/>
        <v/>
      </c>
      <c r="V13" s="224" t="str">
        <f t="shared" ca="1" si="13"/>
        <v/>
      </c>
      <c r="W13" s="374" t="str">
        <f t="shared" si="14"/>
        <v/>
      </c>
      <c r="X13" s="373" t="str">
        <f t="shared" si="15"/>
        <v/>
      </c>
      <c r="Y13" s="171" t="str">
        <f t="shared" si="16"/>
        <v/>
      </c>
      <c r="Z13" s="171" t="str">
        <f t="shared" si="17"/>
        <v/>
      </c>
      <c r="AA13" s="377" t="str">
        <f t="shared" si="18"/>
        <v/>
      </c>
      <c r="AC13" s="247" t="s">
        <v>451</v>
      </c>
      <c r="AD13" s="248">
        <f t="shared" si="0"/>
        <v>6894.7569999999996</v>
      </c>
      <c r="AE13" s="248">
        <f t="shared" si="6"/>
        <v>68.947569999999999</v>
      </c>
      <c r="AF13" s="248">
        <f t="shared" si="1"/>
        <v>6.8947569999999994</v>
      </c>
      <c r="AG13" s="248">
        <v>6.8947569999999996E-3</v>
      </c>
      <c r="AH13" s="248">
        <f t="shared" si="2"/>
        <v>6894.7569999999996</v>
      </c>
      <c r="AI13" s="248">
        <f t="shared" si="7"/>
        <v>68.947569999999999</v>
      </c>
      <c r="AJ13" s="248">
        <f t="shared" si="3"/>
        <v>6.8947569999999994</v>
      </c>
      <c r="AK13" s="248">
        <v>6.8947569999999996E-3</v>
      </c>
    </row>
    <row r="14" spans="1:37" s="160" customFormat="1" ht="15" customHeight="1">
      <c r="B14" s="166" t="b">
        <f>IF(Pressure_3_R1!U9="",FALSE,TRUE)</f>
        <v>0</v>
      </c>
      <c r="C14" s="190" t="b">
        <f>TYPE(Pressure_3_R1!V9)=1</f>
        <v>1</v>
      </c>
      <c r="D14" s="167">
        <v>6</v>
      </c>
      <c r="E14" s="284" t="str">
        <f>IF($B14=FALSE,"",IF(D$3="해수",1026,표준압력!AI23))</f>
        <v/>
      </c>
      <c r="F14" s="169" t="str">
        <f>IF($B14=FALSE,"",VALUE(Pressure_3_R1!B9))</f>
        <v/>
      </c>
      <c r="G14" s="284" t="str">
        <f t="shared" si="8"/>
        <v/>
      </c>
      <c r="H14" s="284" t="str">
        <f>IF($B14=FALSE,"",표준압력!G23)</f>
        <v/>
      </c>
      <c r="I14" s="284" t="str">
        <f t="shared" si="9"/>
        <v/>
      </c>
      <c r="J14" s="169" t="str">
        <f>IF($B14=FALSE,"",Pressure_3_R1!U9)</f>
        <v/>
      </c>
      <c r="K14" s="285" t="str">
        <f>IF($B14=FALSE,"",Pressure_3_R1!V9)</f>
        <v/>
      </c>
      <c r="L14" s="285" t="str">
        <f>IF($B14=FALSE,"",Pressure_3_R1!W9)</f>
        <v/>
      </c>
      <c r="M14" s="169" t="str">
        <f t="shared" si="19"/>
        <v/>
      </c>
      <c r="N14" s="285" t="str">
        <f t="shared" si="20"/>
        <v/>
      </c>
      <c r="O14" s="285" t="str">
        <f t="shared" si="21"/>
        <v/>
      </c>
      <c r="P14" s="162"/>
      <c r="Q14" s="168" t="b">
        <f t="shared" si="10"/>
        <v>0</v>
      </c>
      <c r="R14" s="369" t="s">
        <v>300</v>
      </c>
      <c r="S14" s="370">
        <v>6</v>
      </c>
      <c r="T14" s="224" t="str">
        <f t="shared" ca="1" si="11"/>
        <v/>
      </c>
      <c r="U14" s="224" t="str">
        <f t="shared" ca="1" si="12"/>
        <v/>
      </c>
      <c r="V14" s="224" t="str">
        <f t="shared" ca="1" si="13"/>
        <v/>
      </c>
      <c r="W14" s="374" t="str">
        <f t="shared" si="14"/>
        <v/>
      </c>
      <c r="X14" s="373" t="str">
        <f t="shared" si="15"/>
        <v/>
      </c>
      <c r="Y14" s="171" t="str">
        <f t="shared" si="16"/>
        <v/>
      </c>
      <c r="Z14" s="171" t="str">
        <f t="shared" si="17"/>
        <v/>
      </c>
      <c r="AA14" s="377" t="str">
        <f t="shared" si="18"/>
        <v/>
      </c>
      <c r="AC14" s="247" t="s">
        <v>165</v>
      </c>
      <c r="AD14" s="248">
        <f t="shared" si="0"/>
        <v>98066.5</v>
      </c>
      <c r="AE14" s="248">
        <f t="shared" si="6"/>
        <v>980.66500000000008</v>
      </c>
      <c r="AF14" s="248">
        <f t="shared" si="1"/>
        <v>98.066500000000005</v>
      </c>
      <c r="AG14" s="248">
        <v>9.8066500000000001E-2</v>
      </c>
      <c r="AH14" s="248">
        <f t="shared" si="2"/>
        <v>98066.5</v>
      </c>
      <c r="AI14" s="248">
        <f t="shared" si="7"/>
        <v>980.66500000000008</v>
      </c>
      <c r="AJ14" s="248">
        <f t="shared" si="3"/>
        <v>98.066500000000005</v>
      </c>
      <c r="AK14" s="248">
        <v>9.8066500000000001E-2</v>
      </c>
    </row>
    <row r="15" spans="1:37" s="160" customFormat="1" ht="15" customHeight="1">
      <c r="B15" s="166" t="b">
        <f>IF(Pressure_3_R1!U10="",FALSE,TRUE)</f>
        <v>0</v>
      </c>
      <c r="C15" s="190" t="b">
        <f>TYPE(Pressure_3_R1!V10)=1</f>
        <v>1</v>
      </c>
      <c r="D15" s="167">
        <v>7</v>
      </c>
      <c r="E15" s="284" t="str">
        <f>IF($B15=FALSE,"",IF(D$3="해수",1026,표준압력!AI24))</f>
        <v/>
      </c>
      <c r="F15" s="169" t="str">
        <f>IF($B15=FALSE,"",VALUE(Pressure_3_R1!B10))</f>
        <v/>
      </c>
      <c r="G15" s="284" t="str">
        <f t="shared" si="8"/>
        <v/>
      </c>
      <c r="H15" s="284" t="str">
        <f>IF($B15=FALSE,"",표준압력!G24)</f>
        <v/>
      </c>
      <c r="I15" s="284" t="str">
        <f t="shared" si="9"/>
        <v/>
      </c>
      <c r="J15" s="169" t="str">
        <f>IF($B15=FALSE,"",Pressure_3_R1!U10)</f>
        <v/>
      </c>
      <c r="K15" s="285" t="str">
        <f>IF($B15=FALSE,"",Pressure_3_R1!V10)</f>
        <v/>
      </c>
      <c r="L15" s="285" t="str">
        <f>IF($B15=FALSE,"",Pressure_3_R1!W10)</f>
        <v/>
      </c>
      <c r="M15" s="169" t="str">
        <f t="shared" si="19"/>
        <v/>
      </c>
      <c r="N15" s="285" t="str">
        <f t="shared" si="20"/>
        <v/>
      </c>
      <c r="O15" s="285" t="str">
        <f t="shared" si="21"/>
        <v/>
      </c>
      <c r="P15" s="162"/>
      <c r="Q15" s="168" t="b">
        <f t="shared" si="10"/>
        <v>0</v>
      </c>
      <c r="R15" s="369" t="s">
        <v>300</v>
      </c>
      <c r="S15" s="370">
        <v>7</v>
      </c>
      <c r="T15" s="224" t="str">
        <f t="shared" ca="1" si="11"/>
        <v/>
      </c>
      <c r="U15" s="224" t="str">
        <f t="shared" ca="1" si="12"/>
        <v/>
      </c>
      <c r="V15" s="224" t="str">
        <f t="shared" ca="1" si="13"/>
        <v/>
      </c>
      <c r="W15" s="374" t="str">
        <f t="shared" si="14"/>
        <v/>
      </c>
      <c r="X15" s="373" t="str">
        <f t="shared" si="15"/>
        <v/>
      </c>
      <c r="Y15" s="171" t="str">
        <f t="shared" si="16"/>
        <v/>
      </c>
      <c r="Z15" s="171" t="str">
        <f t="shared" si="17"/>
        <v/>
      </c>
      <c r="AA15" s="377" t="str">
        <f t="shared" si="18"/>
        <v/>
      </c>
      <c r="AC15" s="247" t="s">
        <v>101</v>
      </c>
      <c r="AD15" s="248">
        <f t="shared" si="0"/>
        <v>9.8066499999999994</v>
      </c>
      <c r="AE15" s="248">
        <f t="shared" si="6"/>
        <v>9.8066500000000001E-2</v>
      </c>
      <c r="AF15" s="248">
        <f t="shared" si="1"/>
        <v>9.8066500000000001E-3</v>
      </c>
      <c r="AG15" s="307">
        <v>9.8066500000000004E-6</v>
      </c>
      <c r="AH15" s="248">
        <f t="shared" si="2"/>
        <v>9.8066499999999994</v>
      </c>
      <c r="AI15" s="248">
        <f t="shared" si="7"/>
        <v>9.8066500000000001E-2</v>
      </c>
      <c r="AJ15" s="248">
        <f t="shared" si="3"/>
        <v>9.8066500000000001E-3</v>
      </c>
      <c r="AK15" s="307">
        <v>9.8066500000000004E-6</v>
      </c>
    </row>
    <row r="16" spans="1:37" s="160" customFormat="1" ht="15" customHeight="1">
      <c r="B16" s="166" t="b">
        <f>IF(Pressure_3_R1!U11="",FALSE,TRUE)</f>
        <v>0</v>
      </c>
      <c r="C16" s="190" t="b">
        <f>TYPE(Pressure_3_R1!V11)=1</f>
        <v>1</v>
      </c>
      <c r="D16" s="167">
        <v>8</v>
      </c>
      <c r="E16" s="284" t="str">
        <f>IF($B16=FALSE,"",IF(D$3="해수",1026,표준압력!AI25))</f>
        <v/>
      </c>
      <c r="F16" s="169" t="str">
        <f>IF($B16=FALSE,"",VALUE(Pressure_3_R1!B11))</f>
        <v/>
      </c>
      <c r="G16" s="284" t="str">
        <f t="shared" si="8"/>
        <v/>
      </c>
      <c r="H16" s="284" t="str">
        <f>IF($B16=FALSE,"",표준압력!G25)</f>
        <v/>
      </c>
      <c r="I16" s="284" t="str">
        <f t="shared" si="9"/>
        <v/>
      </c>
      <c r="J16" s="169" t="str">
        <f>IF($B16=FALSE,"",Pressure_3_R1!U11)</f>
        <v/>
      </c>
      <c r="K16" s="285" t="str">
        <f>IF($B16=FALSE,"",Pressure_3_R1!V11)</f>
        <v/>
      </c>
      <c r="L16" s="285" t="str">
        <f>IF($B16=FALSE,"",Pressure_3_R1!W11)</f>
        <v/>
      </c>
      <c r="M16" s="169" t="str">
        <f t="shared" si="19"/>
        <v/>
      </c>
      <c r="N16" s="285" t="str">
        <f t="shared" si="20"/>
        <v/>
      </c>
      <c r="O16" s="285" t="str">
        <f t="shared" si="21"/>
        <v/>
      </c>
      <c r="P16" s="162"/>
      <c r="Q16" s="168" t="b">
        <f t="shared" si="10"/>
        <v>0</v>
      </c>
      <c r="R16" s="369" t="s">
        <v>300</v>
      </c>
      <c r="S16" s="370">
        <v>8</v>
      </c>
      <c r="T16" s="224" t="str">
        <f t="shared" ca="1" si="11"/>
        <v/>
      </c>
      <c r="U16" s="224" t="str">
        <f t="shared" ca="1" si="12"/>
        <v/>
      </c>
      <c r="V16" s="224" t="str">
        <f t="shared" ca="1" si="13"/>
        <v/>
      </c>
      <c r="W16" s="374" t="str">
        <f t="shared" si="14"/>
        <v/>
      </c>
      <c r="X16" s="373" t="str">
        <f t="shared" si="15"/>
        <v/>
      </c>
      <c r="Y16" s="171" t="str">
        <f t="shared" si="16"/>
        <v/>
      </c>
      <c r="Z16" s="171" t="str">
        <f t="shared" si="17"/>
        <v/>
      </c>
      <c r="AA16" s="377" t="str">
        <f t="shared" si="18"/>
        <v/>
      </c>
      <c r="AC16" s="247" t="s">
        <v>452</v>
      </c>
      <c r="AD16" s="248">
        <f t="shared" si="0"/>
        <v>3386.3889999999997</v>
      </c>
      <c r="AE16" s="248">
        <f t="shared" si="6"/>
        <v>33.863889999999998</v>
      </c>
      <c r="AF16" s="248">
        <f t="shared" si="1"/>
        <v>3.3863889999999999</v>
      </c>
      <c r="AG16" s="248">
        <v>3.3863890000000001E-3</v>
      </c>
      <c r="AH16" s="248">
        <f t="shared" si="2"/>
        <v>3386.3889999999997</v>
      </c>
      <c r="AI16" s="248">
        <f t="shared" si="7"/>
        <v>33.863889999999998</v>
      </c>
      <c r="AJ16" s="248">
        <f t="shared" si="3"/>
        <v>3.3863889999999999</v>
      </c>
      <c r="AK16" s="248">
        <v>3.3863890000000001E-3</v>
      </c>
    </row>
    <row r="17" spans="2:37" s="160" customFormat="1" ht="15" customHeight="1">
      <c r="B17" s="166" t="b">
        <f>IF(Pressure_3_R1!U12="",FALSE,TRUE)</f>
        <v>0</v>
      </c>
      <c r="C17" s="190" t="b">
        <f>TYPE(Pressure_3_R1!V12)=1</f>
        <v>1</v>
      </c>
      <c r="D17" s="167">
        <v>9</v>
      </c>
      <c r="E17" s="284" t="str">
        <f>IF($B17=FALSE,"",IF(D$3="해수",1026,표준압력!AI26))</f>
        <v/>
      </c>
      <c r="F17" s="169" t="str">
        <f>IF($B17=FALSE,"",VALUE(Pressure_3_R1!B12))</f>
        <v/>
      </c>
      <c r="G17" s="284" t="str">
        <f t="shared" si="8"/>
        <v/>
      </c>
      <c r="H17" s="284" t="str">
        <f>IF($B17=FALSE,"",표준압력!G26)</f>
        <v/>
      </c>
      <c r="I17" s="284" t="str">
        <f t="shared" si="9"/>
        <v/>
      </c>
      <c r="J17" s="169" t="str">
        <f>IF($B17=FALSE,"",Pressure_3_R1!U12)</f>
        <v/>
      </c>
      <c r="K17" s="285" t="str">
        <f>IF($B17=FALSE,"",Pressure_3_R1!V12)</f>
        <v/>
      </c>
      <c r="L17" s="285" t="str">
        <f>IF($B17=FALSE,"",Pressure_3_R1!W12)</f>
        <v/>
      </c>
      <c r="M17" s="169" t="str">
        <f t="shared" si="19"/>
        <v/>
      </c>
      <c r="N17" s="285" t="str">
        <f t="shared" si="20"/>
        <v/>
      </c>
      <c r="O17" s="285" t="str">
        <f t="shared" si="21"/>
        <v/>
      </c>
      <c r="P17" s="162"/>
      <c r="Q17" s="168" t="b">
        <f t="shared" si="10"/>
        <v>0</v>
      </c>
      <c r="R17" s="369" t="s">
        <v>300</v>
      </c>
      <c r="S17" s="370">
        <v>9</v>
      </c>
      <c r="T17" s="224" t="str">
        <f t="shared" ca="1" si="11"/>
        <v/>
      </c>
      <c r="U17" s="224" t="str">
        <f t="shared" ca="1" si="12"/>
        <v/>
      </c>
      <c r="V17" s="224" t="str">
        <f t="shared" ca="1" si="13"/>
        <v/>
      </c>
      <c r="W17" s="374" t="str">
        <f t="shared" si="14"/>
        <v/>
      </c>
      <c r="X17" s="373" t="str">
        <f t="shared" si="15"/>
        <v/>
      </c>
      <c r="Y17" s="171" t="str">
        <f t="shared" si="16"/>
        <v/>
      </c>
      <c r="Z17" s="171" t="str">
        <f t="shared" si="17"/>
        <v/>
      </c>
      <c r="AA17" s="377" t="str">
        <f t="shared" si="18"/>
        <v/>
      </c>
      <c r="AC17" s="247" t="s">
        <v>453</v>
      </c>
      <c r="AD17" s="248">
        <f t="shared" si="0"/>
        <v>133.32240000000002</v>
      </c>
      <c r="AE17" s="248">
        <f t="shared" si="6"/>
        <v>1.333224</v>
      </c>
      <c r="AF17" s="248">
        <f t="shared" si="1"/>
        <v>0.13332240000000001</v>
      </c>
      <c r="AG17" s="248">
        <v>1.3332240000000001E-4</v>
      </c>
      <c r="AH17" s="248">
        <f t="shared" si="2"/>
        <v>133.32240000000002</v>
      </c>
      <c r="AI17" s="248">
        <f t="shared" si="7"/>
        <v>1.333224</v>
      </c>
      <c r="AJ17" s="248">
        <f t="shared" si="3"/>
        <v>0.13332240000000001</v>
      </c>
      <c r="AK17" s="248">
        <v>1.3332240000000001E-4</v>
      </c>
    </row>
    <row r="18" spans="2:37" s="160" customFormat="1" ht="15" customHeight="1">
      <c r="B18" s="166" t="b">
        <f>IF(Pressure_3_R1!U13="",FALSE,TRUE)</f>
        <v>0</v>
      </c>
      <c r="C18" s="190" t="b">
        <f>TYPE(Pressure_3_R1!V13)=1</f>
        <v>1</v>
      </c>
      <c r="D18" s="167">
        <v>10</v>
      </c>
      <c r="E18" s="284" t="str">
        <f>IF($B18=FALSE,"",IF(D$3="해수",1026,표준압력!AI27))</f>
        <v/>
      </c>
      <c r="F18" s="169" t="str">
        <f>IF($B18=FALSE,"",VALUE(Pressure_3_R1!B13))</f>
        <v/>
      </c>
      <c r="G18" s="284" t="str">
        <f t="shared" si="8"/>
        <v/>
      </c>
      <c r="H18" s="284" t="str">
        <f>IF($B18=FALSE,"",표준압력!G27)</f>
        <v/>
      </c>
      <c r="I18" s="284" t="str">
        <f t="shared" si="9"/>
        <v/>
      </c>
      <c r="J18" s="169" t="str">
        <f>IF($B18=FALSE,"",Pressure_3_R1!U13)</f>
        <v/>
      </c>
      <c r="K18" s="285" t="str">
        <f>IF($B18=FALSE,"",Pressure_3_R1!V13)</f>
        <v/>
      </c>
      <c r="L18" s="285" t="str">
        <f>IF($B18=FALSE,"",Pressure_3_R1!W13)</f>
        <v/>
      </c>
      <c r="M18" s="169" t="str">
        <f t="shared" si="19"/>
        <v/>
      </c>
      <c r="N18" s="285" t="str">
        <f t="shared" si="20"/>
        <v/>
      </c>
      <c r="O18" s="285" t="str">
        <f t="shared" si="21"/>
        <v/>
      </c>
      <c r="P18" s="162"/>
      <c r="Q18" s="168" t="b">
        <f t="shared" si="10"/>
        <v>0</v>
      </c>
      <c r="R18" s="369" t="s">
        <v>300</v>
      </c>
      <c r="S18" s="370">
        <v>10</v>
      </c>
      <c r="T18" s="224" t="str">
        <f t="shared" ca="1" si="11"/>
        <v/>
      </c>
      <c r="U18" s="224" t="str">
        <f t="shared" ca="1" si="12"/>
        <v/>
      </c>
      <c r="V18" s="224" t="str">
        <f t="shared" ca="1" si="13"/>
        <v/>
      </c>
      <c r="W18" s="374" t="str">
        <f t="shared" si="14"/>
        <v/>
      </c>
      <c r="X18" s="373" t="str">
        <f t="shared" si="15"/>
        <v/>
      </c>
      <c r="Y18" s="171" t="str">
        <f t="shared" si="16"/>
        <v/>
      </c>
      <c r="Z18" s="171" t="str">
        <f t="shared" si="17"/>
        <v/>
      </c>
      <c r="AA18" s="377" t="str">
        <f t="shared" si="18"/>
        <v/>
      </c>
      <c r="AC18" s="247" t="s">
        <v>454</v>
      </c>
      <c r="AD18" s="248">
        <f t="shared" si="0"/>
        <v>1333.2239999999999</v>
      </c>
      <c r="AE18" s="248">
        <f t="shared" si="6"/>
        <v>13.332239999999999</v>
      </c>
      <c r="AF18" s="248">
        <f t="shared" si="1"/>
        <v>1.333224</v>
      </c>
      <c r="AG18" s="248">
        <v>1.333224E-3</v>
      </c>
      <c r="AH18" s="248">
        <f t="shared" si="2"/>
        <v>1333.2239999999999</v>
      </c>
      <c r="AI18" s="248">
        <f t="shared" si="7"/>
        <v>13.332239999999999</v>
      </c>
      <c r="AJ18" s="248">
        <f t="shared" si="3"/>
        <v>1.333224</v>
      </c>
      <c r="AK18" s="248">
        <v>1.333224E-3</v>
      </c>
    </row>
    <row r="19" spans="2:37" s="160" customFormat="1" ht="15" customHeight="1">
      <c r="B19" s="166" t="b">
        <f>IF(Pressure_3_R1!U14="",FALSE,TRUE)</f>
        <v>0</v>
      </c>
      <c r="C19" s="190" t="b">
        <f>TYPE(Pressure_3_R1!V14)=1</f>
        <v>1</v>
      </c>
      <c r="D19" s="167">
        <v>11</v>
      </c>
      <c r="E19" s="284" t="str">
        <f>IF($B19=FALSE,"",IF(D$3="해수",1026,표준압력!AI28))</f>
        <v/>
      </c>
      <c r="F19" s="169" t="str">
        <f>IF($B19=FALSE,"",VALUE(Pressure_3_R1!B14))</f>
        <v/>
      </c>
      <c r="G19" s="284" t="str">
        <f t="shared" si="8"/>
        <v/>
      </c>
      <c r="H19" s="284" t="str">
        <f>IF($B19=FALSE,"",표준압력!G28)</f>
        <v/>
      </c>
      <c r="I19" s="284" t="str">
        <f t="shared" si="9"/>
        <v/>
      </c>
      <c r="J19" s="169" t="str">
        <f>IF($B19=FALSE,"",Pressure_3_R1!U14)</f>
        <v/>
      </c>
      <c r="K19" s="285" t="str">
        <f>IF($B19=FALSE,"",Pressure_3_R1!V14)</f>
        <v/>
      </c>
      <c r="L19" s="285" t="str">
        <f>IF($B19=FALSE,"",Pressure_3_R1!W14)</f>
        <v/>
      </c>
      <c r="M19" s="169" t="str">
        <f t="shared" si="19"/>
        <v/>
      </c>
      <c r="N19" s="285" t="str">
        <f t="shared" si="20"/>
        <v/>
      </c>
      <c r="O19" s="285" t="str">
        <f t="shared" si="21"/>
        <v/>
      </c>
      <c r="P19" s="162"/>
      <c r="Q19" s="168" t="b">
        <f t="shared" si="10"/>
        <v>0</v>
      </c>
      <c r="R19" s="369" t="s">
        <v>300</v>
      </c>
      <c r="S19" s="370">
        <v>11</v>
      </c>
      <c r="T19" s="224" t="str">
        <f t="shared" ca="1" si="11"/>
        <v/>
      </c>
      <c r="U19" s="224" t="str">
        <f t="shared" ca="1" si="12"/>
        <v/>
      </c>
      <c r="V19" s="224" t="str">
        <f t="shared" ca="1" si="13"/>
        <v/>
      </c>
      <c r="W19" s="374" t="str">
        <f t="shared" si="14"/>
        <v/>
      </c>
      <c r="X19" s="373" t="str">
        <f t="shared" si="15"/>
        <v/>
      </c>
      <c r="Y19" s="171" t="str">
        <f t="shared" si="16"/>
        <v/>
      </c>
      <c r="Z19" s="171" t="str">
        <f t="shared" si="17"/>
        <v/>
      </c>
      <c r="AA19" s="377" t="str">
        <f t="shared" si="18"/>
        <v/>
      </c>
      <c r="AC19" s="247" t="s">
        <v>305</v>
      </c>
      <c r="AD19" s="248">
        <f t="shared" si="0"/>
        <v>249.0889</v>
      </c>
      <c r="AE19" s="248">
        <f t="shared" si="6"/>
        <v>2.4908890000000001</v>
      </c>
      <c r="AF19" s="248">
        <f t="shared" si="1"/>
        <v>0.2490889</v>
      </c>
      <c r="AG19" s="248">
        <v>2.4908889999999999E-4</v>
      </c>
      <c r="AH19" s="248">
        <f t="shared" si="2"/>
        <v>249.0889</v>
      </c>
      <c r="AI19" s="248">
        <f t="shared" si="7"/>
        <v>2.4908890000000001</v>
      </c>
      <c r="AJ19" s="248">
        <f t="shared" si="3"/>
        <v>0.2490889</v>
      </c>
      <c r="AK19" s="248">
        <v>2.4908889999999999E-4</v>
      </c>
    </row>
    <row r="20" spans="2:37" s="160" customFormat="1" ht="15" customHeight="1">
      <c r="B20" s="166" t="b">
        <f>IF(Pressure_3_R1!U15="",FALSE,TRUE)</f>
        <v>0</v>
      </c>
      <c r="C20" s="190" t="b">
        <f>TYPE(Pressure_3_R1!V15)=1</f>
        <v>1</v>
      </c>
      <c r="D20" s="167">
        <v>12</v>
      </c>
      <c r="E20" s="284" t="str">
        <f>IF($B20=FALSE,"",IF(D$3="해수",1026,표준압력!AI29))</f>
        <v/>
      </c>
      <c r="F20" s="169" t="str">
        <f>IF($B20=FALSE,"",VALUE(Pressure_3_R1!B15))</f>
        <v/>
      </c>
      <c r="G20" s="284" t="str">
        <f t="shared" si="8"/>
        <v/>
      </c>
      <c r="H20" s="284" t="str">
        <f>IF($B20=FALSE,"",표준압력!G29)</f>
        <v/>
      </c>
      <c r="I20" s="284" t="str">
        <f t="shared" si="9"/>
        <v/>
      </c>
      <c r="J20" s="169" t="str">
        <f>IF($B20=FALSE,"",Pressure_3_R1!U15)</f>
        <v/>
      </c>
      <c r="K20" s="285" t="str">
        <f>IF($B20=FALSE,"",Pressure_3_R1!V15)</f>
        <v/>
      </c>
      <c r="L20" s="285" t="str">
        <f>IF($B20=FALSE,"",Pressure_3_R1!W15)</f>
        <v/>
      </c>
      <c r="M20" s="169" t="str">
        <f t="shared" si="19"/>
        <v/>
      </c>
      <c r="N20" s="285" t="str">
        <f t="shared" si="20"/>
        <v/>
      </c>
      <c r="O20" s="285" t="str">
        <f t="shared" si="21"/>
        <v/>
      </c>
      <c r="P20" s="162"/>
      <c r="Q20" s="168" t="b">
        <f t="shared" si="10"/>
        <v>0</v>
      </c>
      <c r="R20" s="369" t="s">
        <v>300</v>
      </c>
      <c r="S20" s="370">
        <v>12</v>
      </c>
      <c r="T20" s="224" t="str">
        <f t="shared" ca="1" si="11"/>
        <v/>
      </c>
      <c r="U20" s="224" t="str">
        <f t="shared" ca="1" si="12"/>
        <v/>
      </c>
      <c r="V20" s="224" t="str">
        <f t="shared" ca="1" si="13"/>
        <v/>
      </c>
      <c r="W20" s="374" t="str">
        <f t="shared" si="14"/>
        <v/>
      </c>
      <c r="X20" s="373" t="str">
        <f t="shared" si="15"/>
        <v/>
      </c>
      <c r="Y20" s="171" t="str">
        <f t="shared" si="16"/>
        <v/>
      </c>
      <c r="Z20" s="171" t="str">
        <f t="shared" si="17"/>
        <v/>
      </c>
      <c r="AA20" s="377" t="str">
        <f t="shared" si="18"/>
        <v/>
      </c>
      <c r="AC20" s="247" t="s">
        <v>455</v>
      </c>
      <c r="AD20" s="248">
        <f t="shared" si="0"/>
        <v>9.8066499999999994</v>
      </c>
      <c r="AE20" s="248">
        <f t="shared" si="6"/>
        <v>9.8066500000000001E-2</v>
      </c>
      <c r="AF20" s="248">
        <f t="shared" si="1"/>
        <v>9.8066500000000001E-3</v>
      </c>
      <c r="AG20" s="248">
        <v>9.8066500000000004E-6</v>
      </c>
      <c r="AH20" s="248">
        <f t="shared" si="2"/>
        <v>9.8066499999999994</v>
      </c>
      <c r="AI20" s="248">
        <f t="shared" si="7"/>
        <v>9.8066500000000001E-2</v>
      </c>
      <c r="AJ20" s="248">
        <f t="shared" si="3"/>
        <v>9.8066500000000001E-3</v>
      </c>
      <c r="AK20" s="248">
        <v>9.8066500000000004E-6</v>
      </c>
    </row>
    <row r="21" spans="2:37" s="160" customFormat="1" ht="15" customHeight="1">
      <c r="B21" s="166" t="b">
        <f>IF(Pressure_3_R1!U16="",FALSE,TRUE)</f>
        <v>0</v>
      </c>
      <c r="C21" s="190" t="b">
        <f>TYPE(Pressure_3_R1!V16)=1</f>
        <v>1</v>
      </c>
      <c r="D21" s="167">
        <v>13</v>
      </c>
      <c r="E21" s="284" t="str">
        <f>IF($B21=FALSE,"",IF(D$3="해수",1026,표준압력!AI30))</f>
        <v/>
      </c>
      <c r="F21" s="169" t="str">
        <f>IF($B21=FALSE,"",VALUE(Pressure_3_R1!B16))</f>
        <v/>
      </c>
      <c r="G21" s="284" t="str">
        <f t="shared" si="8"/>
        <v/>
      </c>
      <c r="H21" s="284" t="str">
        <f>IF($B21=FALSE,"",표준압력!G30)</f>
        <v/>
      </c>
      <c r="I21" s="284" t="str">
        <f t="shared" si="9"/>
        <v/>
      </c>
      <c r="J21" s="169" t="str">
        <f>IF($B21=FALSE,"",Pressure_3_R1!U16)</f>
        <v/>
      </c>
      <c r="K21" s="285" t="str">
        <f>IF($B21=FALSE,"",Pressure_3_R1!V16)</f>
        <v/>
      </c>
      <c r="L21" s="285" t="str">
        <f>IF($B21=FALSE,"",Pressure_3_R1!W16)</f>
        <v/>
      </c>
      <c r="M21" s="169" t="str">
        <f t="shared" si="19"/>
        <v/>
      </c>
      <c r="N21" s="285" t="str">
        <f t="shared" si="20"/>
        <v/>
      </c>
      <c r="O21" s="285" t="str">
        <f t="shared" si="21"/>
        <v/>
      </c>
      <c r="P21" s="162"/>
      <c r="Q21" s="168" t="b">
        <f t="shared" si="10"/>
        <v>0</v>
      </c>
      <c r="R21" s="369" t="s">
        <v>300</v>
      </c>
      <c r="S21" s="370">
        <v>13</v>
      </c>
      <c r="T21" s="224" t="str">
        <f t="shared" ca="1" si="11"/>
        <v/>
      </c>
      <c r="U21" s="224" t="str">
        <f t="shared" ca="1" si="12"/>
        <v/>
      </c>
      <c r="V21" s="224" t="str">
        <f t="shared" ca="1" si="13"/>
        <v/>
      </c>
      <c r="W21" s="374" t="str">
        <f t="shared" si="14"/>
        <v/>
      </c>
      <c r="X21" s="373" t="str">
        <f t="shared" si="15"/>
        <v/>
      </c>
      <c r="Y21" s="171" t="str">
        <f t="shared" si="16"/>
        <v/>
      </c>
      <c r="Z21" s="171" t="str">
        <f t="shared" si="17"/>
        <v/>
      </c>
      <c r="AA21" s="377" t="str">
        <f t="shared" si="18"/>
        <v/>
      </c>
      <c r="AC21" s="247" t="s">
        <v>129</v>
      </c>
      <c r="AD21" s="248">
        <f t="shared" si="0"/>
        <v>98.066500000000005</v>
      </c>
      <c r="AE21" s="248">
        <f t="shared" si="6"/>
        <v>0.98066500000000001</v>
      </c>
      <c r="AF21" s="248">
        <f t="shared" si="1"/>
        <v>9.8066500000000001E-2</v>
      </c>
      <c r="AG21" s="307">
        <v>9.80665E-5</v>
      </c>
      <c r="AH21" s="248">
        <f t="shared" si="2"/>
        <v>98.066500000000005</v>
      </c>
      <c r="AI21" s="248">
        <f t="shared" si="7"/>
        <v>0.98066500000000001</v>
      </c>
      <c r="AJ21" s="248">
        <f t="shared" si="3"/>
        <v>9.8066500000000001E-2</v>
      </c>
      <c r="AK21" s="307">
        <v>9.80665E-5</v>
      </c>
    </row>
    <row r="22" spans="2:37" s="160" customFormat="1" ht="15" customHeight="1">
      <c r="B22" s="166" t="b">
        <f>IF(Pressure_3_R1!U17="",FALSE,TRUE)</f>
        <v>0</v>
      </c>
      <c r="C22" s="190" t="b">
        <f>TYPE(Pressure_3_R1!V17)=1</f>
        <v>1</v>
      </c>
      <c r="D22" s="167">
        <v>14</v>
      </c>
      <c r="E22" s="284" t="str">
        <f>IF($B22=FALSE,"",IF(D$3="해수",1026,표준압력!AI31))</f>
        <v/>
      </c>
      <c r="F22" s="169" t="str">
        <f>IF($B22=FALSE,"",VALUE(Pressure_3_R1!B17))</f>
        <v/>
      </c>
      <c r="G22" s="284" t="str">
        <f t="shared" si="8"/>
        <v/>
      </c>
      <c r="H22" s="284" t="str">
        <f>IF($B22=FALSE,"",표준압력!G31)</f>
        <v/>
      </c>
      <c r="I22" s="284" t="str">
        <f t="shared" si="9"/>
        <v/>
      </c>
      <c r="J22" s="169" t="str">
        <f>IF($B22=FALSE,"",Pressure_3_R1!U17)</f>
        <v/>
      </c>
      <c r="K22" s="285" t="str">
        <f>IF($B22=FALSE,"",Pressure_3_R1!V17)</f>
        <v/>
      </c>
      <c r="L22" s="285" t="str">
        <f>IF($B22=FALSE,"",Pressure_3_R1!W17)</f>
        <v/>
      </c>
      <c r="M22" s="169" t="str">
        <f t="shared" si="19"/>
        <v/>
      </c>
      <c r="N22" s="285" t="str">
        <f t="shared" si="20"/>
        <v/>
      </c>
      <c r="O22" s="285" t="str">
        <f t="shared" si="21"/>
        <v/>
      </c>
      <c r="P22" s="162"/>
      <c r="Q22" s="168" t="b">
        <f t="shared" si="10"/>
        <v>0</v>
      </c>
      <c r="R22" s="369" t="s">
        <v>300</v>
      </c>
      <c r="S22" s="370">
        <v>14</v>
      </c>
      <c r="T22" s="224" t="str">
        <f t="shared" ca="1" si="11"/>
        <v/>
      </c>
      <c r="U22" s="224" t="str">
        <f t="shared" ca="1" si="12"/>
        <v/>
      </c>
      <c r="V22" s="224" t="str">
        <f t="shared" ca="1" si="13"/>
        <v/>
      </c>
      <c r="W22" s="374" t="str">
        <f t="shared" si="14"/>
        <v/>
      </c>
      <c r="X22" s="373" t="str">
        <f t="shared" si="15"/>
        <v/>
      </c>
      <c r="Y22" s="171" t="str">
        <f t="shared" si="16"/>
        <v/>
      </c>
      <c r="Z22" s="171" t="str">
        <f t="shared" si="17"/>
        <v/>
      </c>
      <c r="AA22" s="377" t="str">
        <f t="shared" si="18"/>
        <v/>
      </c>
      <c r="AC22" s="247" t="s">
        <v>456</v>
      </c>
      <c r="AD22" s="248">
        <v>10000</v>
      </c>
      <c r="AE22" s="248">
        <f t="shared" si="6"/>
        <v>100</v>
      </c>
      <c r="AF22" s="248">
        <v>10</v>
      </c>
      <c r="AG22" s="307">
        <v>0.01</v>
      </c>
      <c r="AH22" s="248">
        <v>10000</v>
      </c>
      <c r="AI22" s="248">
        <f t="shared" si="7"/>
        <v>100</v>
      </c>
      <c r="AJ22" s="248">
        <v>10</v>
      </c>
      <c r="AK22" s="307">
        <v>0.01</v>
      </c>
    </row>
    <row r="23" spans="2:37" s="160" customFormat="1" ht="15" customHeight="1">
      <c r="B23" s="166" t="b">
        <f>IF(Pressure_3_R1!U18="",FALSE,TRUE)</f>
        <v>0</v>
      </c>
      <c r="C23" s="190" t="b">
        <f>TYPE(Pressure_3_R1!V18)=1</f>
        <v>1</v>
      </c>
      <c r="D23" s="167">
        <v>15</v>
      </c>
      <c r="E23" s="284" t="str">
        <f>IF($B23=FALSE,"",IF(D$3="해수",1026,표준압력!AI32))</f>
        <v/>
      </c>
      <c r="F23" s="169" t="str">
        <f>IF($B23=FALSE,"",VALUE(Pressure_3_R1!B18))</f>
        <v/>
      </c>
      <c r="G23" s="284" t="str">
        <f t="shared" si="8"/>
        <v/>
      </c>
      <c r="H23" s="284" t="str">
        <f>IF($B23=FALSE,"",표준압력!G32)</f>
        <v/>
      </c>
      <c r="I23" s="284" t="str">
        <f t="shared" si="9"/>
        <v/>
      </c>
      <c r="J23" s="169" t="str">
        <f>IF($B23=FALSE,"",Pressure_3_R1!U18)</f>
        <v/>
      </c>
      <c r="K23" s="285" t="str">
        <f>IF($B23=FALSE,"",Pressure_3_R1!V18)</f>
        <v/>
      </c>
      <c r="L23" s="285" t="str">
        <f>IF($B23=FALSE,"",Pressure_3_R1!W18)</f>
        <v/>
      </c>
      <c r="M23" s="169" t="str">
        <f t="shared" si="19"/>
        <v/>
      </c>
      <c r="N23" s="285" t="str">
        <f t="shared" si="20"/>
        <v/>
      </c>
      <c r="O23" s="285" t="str">
        <f t="shared" si="21"/>
        <v/>
      </c>
      <c r="P23" s="162"/>
      <c r="Q23" s="168" t="b">
        <f t="shared" si="10"/>
        <v>0</v>
      </c>
      <c r="R23" s="369" t="s">
        <v>1013</v>
      </c>
      <c r="S23" s="370">
        <v>15</v>
      </c>
      <c r="T23" s="224" t="str">
        <f t="shared" ca="1" si="11"/>
        <v/>
      </c>
      <c r="U23" s="224" t="str">
        <f t="shared" ca="1" si="12"/>
        <v/>
      </c>
      <c r="V23" s="224" t="str">
        <f t="shared" ca="1" si="13"/>
        <v/>
      </c>
      <c r="W23" s="374" t="str">
        <f t="shared" si="14"/>
        <v/>
      </c>
      <c r="X23" s="373" t="str">
        <f t="shared" si="15"/>
        <v/>
      </c>
      <c r="Y23" s="171" t="str">
        <f t="shared" si="16"/>
        <v/>
      </c>
      <c r="Z23" s="171" t="str">
        <f t="shared" si="17"/>
        <v/>
      </c>
      <c r="AA23" s="377" t="str">
        <f t="shared" si="18"/>
        <v/>
      </c>
      <c r="AC23" s="247" t="s">
        <v>436</v>
      </c>
      <c r="AD23" s="248">
        <f t="shared" ref="AD23:AD30" si="22">AF23*1000</f>
        <v>1</v>
      </c>
      <c r="AE23" s="248">
        <f t="shared" si="6"/>
        <v>0.01</v>
      </c>
      <c r="AF23" s="248">
        <f>AG23*1000</f>
        <v>1E-3</v>
      </c>
      <c r="AG23" s="248">
        <v>9.9999999999999995E-7</v>
      </c>
      <c r="AH23" s="248">
        <f t="shared" ref="AH23:AH30" si="23">AJ23*1000</f>
        <v>1</v>
      </c>
      <c r="AI23" s="248">
        <f t="shared" si="7"/>
        <v>0.01</v>
      </c>
      <c r="AJ23" s="248">
        <f t="shared" ref="AJ23:AJ30" si="24">AK23*1000</f>
        <v>1E-3</v>
      </c>
      <c r="AK23" s="248">
        <v>9.9999999999999995E-7</v>
      </c>
    </row>
    <row r="24" spans="2:37" s="160" customFormat="1" ht="15" customHeight="1">
      <c r="B24" s="166" t="b">
        <f>IF(Pressure_3_R1!U19="",FALSE,TRUE)</f>
        <v>0</v>
      </c>
      <c r="C24" s="190" t="b">
        <f>TYPE(Pressure_3_R1!V19)=1</f>
        <v>1</v>
      </c>
      <c r="D24" s="167">
        <v>16</v>
      </c>
      <c r="E24" s="284" t="str">
        <f>IF($B24=FALSE,"",IF(D$3="해수",1026,표준압력!AI33))</f>
        <v/>
      </c>
      <c r="F24" s="169" t="str">
        <f>IF($B24=FALSE,"",VALUE(Pressure_3_R1!B19))</f>
        <v/>
      </c>
      <c r="G24" s="284" t="str">
        <f t="shared" si="8"/>
        <v/>
      </c>
      <c r="H24" s="284" t="str">
        <f>IF($B24=FALSE,"",표준압력!G33)</f>
        <v/>
      </c>
      <c r="I24" s="284" t="str">
        <f t="shared" si="9"/>
        <v/>
      </c>
      <c r="J24" s="169" t="str">
        <f>IF($B24=FALSE,"",Pressure_3_R1!U19)</f>
        <v/>
      </c>
      <c r="K24" s="285" t="str">
        <f>IF($B24=FALSE,"",Pressure_3_R1!V19)</f>
        <v/>
      </c>
      <c r="L24" s="285" t="str">
        <f>IF($B24=FALSE,"",Pressure_3_R1!W19)</f>
        <v/>
      </c>
      <c r="M24" s="169" t="str">
        <f t="shared" si="19"/>
        <v/>
      </c>
      <c r="N24" s="285" t="str">
        <f t="shared" si="20"/>
        <v/>
      </c>
      <c r="O24" s="285" t="str">
        <f t="shared" si="21"/>
        <v/>
      </c>
      <c r="P24" s="162"/>
      <c r="Q24" s="168" t="b">
        <f t="shared" si="10"/>
        <v>0</v>
      </c>
      <c r="R24" s="371" t="s">
        <v>309</v>
      </c>
      <c r="S24" s="372">
        <v>1</v>
      </c>
      <c r="T24" s="224" t="str">
        <f ca="1">IF($Q24=FALSE,"",IF($R24="가압",M24,OFFSET(M$8,$B$3*2-($S24-1),0)))</f>
        <v/>
      </c>
      <c r="U24" s="224" t="str">
        <f t="shared" ca="1" si="12"/>
        <v/>
      </c>
      <c r="V24" s="224" t="str">
        <f t="shared" ca="1" si="13"/>
        <v/>
      </c>
      <c r="W24" s="374" t="str">
        <f t="shared" si="14"/>
        <v/>
      </c>
      <c r="X24" s="375" t="str">
        <f>IF($Q24=FALSE,"",T24-T$24)</f>
        <v/>
      </c>
      <c r="Y24" s="376" t="str">
        <f>IF($Q24=FALSE,"",U24-U$24)</f>
        <v/>
      </c>
      <c r="Z24" s="376" t="str">
        <f>IF($Q24=FALSE,"",V24-V$24)</f>
        <v/>
      </c>
      <c r="AA24" s="377" t="str">
        <f t="shared" si="18"/>
        <v/>
      </c>
      <c r="AC24" s="247" t="s">
        <v>130</v>
      </c>
      <c r="AD24" s="248">
        <f t="shared" si="22"/>
        <v>100</v>
      </c>
      <c r="AE24" s="248">
        <f t="shared" si="6"/>
        <v>1</v>
      </c>
      <c r="AF24" s="248">
        <f t="shared" ref="AF24:AF30" si="25">AG24*1000</f>
        <v>0.1</v>
      </c>
      <c r="AG24" s="248">
        <v>1E-4</v>
      </c>
      <c r="AH24" s="248">
        <f t="shared" si="23"/>
        <v>100</v>
      </c>
      <c r="AI24" s="248">
        <f t="shared" si="7"/>
        <v>1</v>
      </c>
      <c r="AJ24" s="248">
        <f t="shared" si="24"/>
        <v>0.1</v>
      </c>
      <c r="AK24" s="248">
        <v>1E-4</v>
      </c>
    </row>
    <row r="25" spans="2:37" s="160" customFormat="1" ht="15" customHeight="1">
      <c r="B25" s="166" t="b">
        <f>IF(Pressure_3_R1!U20="",FALSE,TRUE)</f>
        <v>0</v>
      </c>
      <c r="C25" s="190" t="b">
        <f>TYPE(Pressure_3_R1!V20)=1</f>
        <v>1</v>
      </c>
      <c r="D25" s="167">
        <v>17</v>
      </c>
      <c r="E25" s="284" t="str">
        <f>IF($B25=FALSE,"",IF(D$3="해수",1026,표준압력!AI34))</f>
        <v/>
      </c>
      <c r="F25" s="169" t="str">
        <f>IF($B25=FALSE,"",VALUE(Pressure_3_R1!B20))</f>
        <v/>
      </c>
      <c r="G25" s="284" t="str">
        <f t="shared" si="8"/>
        <v/>
      </c>
      <c r="H25" s="284" t="str">
        <f>IF($B25=FALSE,"",표준압력!G34)</f>
        <v/>
      </c>
      <c r="I25" s="284" t="str">
        <f t="shared" si="9"/>
        <v/>
      </c>
      <c r="J25" s="169" t="str">
        <f>IF($B25=FALSE,"",Pressure_3_R1!U20)</f>
        <v/>
      </c>
      <c r="K25" s="285" t="str">
        <f>IF($B25=FALSE,"",Pressure_3_R1!V20)</f>
        <v/>
      </c>
      <c r="L25" s="285" t="str">
        <f>IF($B25=FALSE,"",Pressure_3_R1!W20)</f>
        <v/>
      </c>
      <c r="M25" s="169" t="str">
        <f t="shared" si="19"/>
        <v/>
      </c>
      <c r="N25" s="285" t="str">
        <f t="shared" si="20"/>
        <v/>
      </c>
      <c r="O25" s="285" t="str">
        <f t="shared" si="21"/>
        <v/>
      </c>
      <c r="P25" s="162"/>
      <c r="Q25" s="168" t="b">
        <f t="shared" si="10"/>
        <v>0</v>
      </c>
      <c r="R25" s="371" t="s">
        <v>309</v>
      </c>
      <c r="S25" s="372">
        <v>2</v>
      </c>
      <c r="T25" s="224" t="str">
        <f t="shared" ref="T25:T38" ca="1" si="26">IF($Q25=FALSE,"",IF($R25="가압",M25,OFFSET(M$8,$B$3*2-($S25-1),0)))</f>
        <v/>
      </c>
      <c r="U25" s="224" t="str">
        <f t="shared" ca="1" si="12"/>
        <v/>
      </c>
      <c r="V25" s="224" t="str">
        <f t="shared" ca="1" si="13"/>
        <v/>
      </c>
      <c r="W25" s="374" t="str">
        <f t="shared" si="14"/>
        <v/>
      </c>
      <c r="X25" s="375" t="str">
        <f t="shared" ref="X25:X38" si="27">IF($Q25=FALSE,"",T25-T$24)</f>
        <v/>
      </c>
      <c r="Y25" s="376" t="str">
        <f t="shared" ref="Y25:Y38" si="28">IF($Q25=FALSE,"",U25-U$24)</f>
        <v/>
      </c>
      <c r="Z25" s="376" t="str">
        <f t="shared" ref="Z25:Z38" si="29">IF($Q25=FALSE,"",V25-V$24)</f>
        <v/>
      </c>
      <c r="AA25" s="377" t="str">
        <f t="shared" si="18"/>
        <v/>
      </c>
      <c r="AC25" s="247" t="s">
        <v>457</v>
      </c>
      <c r="AD25" s="248">
        <f t="shared" si="22"/>
        <v>1000</v>
      </c>
      <c r="AE25" s="248">
        <f t="shared" si="6"/>
        <v>10</v>
      </c>
      <c r="AF25" s="248">
        <f t="shared" si="25"/>
        <v>1</v>
      </c>
      <c r="AG25" s="248">
        <v>1E-3</v>
      </c>
      <c r="AH25" s="248">
        <f t="shared" si="23"/>
        <v>1000</v>
      </c>
      <c r="AI25" s="248">
        <f t="shared" si="7"/>
        <v>10</v>
      </c>
      <c r="AJ25" s="248">
        <f t="shared" si="24"/>
        <v>1</v>
      </c>
      <c r="AK25" s="248">
        <v>1E-3</v>
      </c>
    </row>
    <row r="26" spans="2:37" s="160" customFormat="1" ht="15" customHeight="1">
      <c r="B26" s="166" t="b">
        <f>IF(Pressure_3_R1!U21="",FALSE,TRUE)</f>
        <v>0</v>
      </c>
      <c r="C26" s="190" t="b">
        <f>TYPE(Pressure_3_R1!V21)=1</f>
        <v>1</v>
      </c>
      <c r="D26" s="167">
        <v>18</v>
      </c>
      <c r="E26" s="284" t="str">
        <f>IF($B26=FALSE,"",IF(D$3="해수",1026,표준압력!AI35))</f>
        <v/>
      </c>
      <c r="F26" s="169" t="str">
        <f>IF($B26=FALSE,"",VALUE(Pressure_3_R1!B21))</f>
        <v/>
      </c>
      <c r="G26" s="284" t="str">
        <f t="shared" si="8"/>
        <v/>
      </c>
      <c r="H26" s="284" t="str">
        <f>IF($B26=FALSE,"",표준압력!G35)</f>
        <v/>
      </c>
      <c r="I26" s="284" t="str">
        <f t="shared" si="9"/>
        <v/>
      </c>
      <c r="J26" s="169" t="str">
        <f>IF($B26=FALSE,"",Pressure_3_R1!U21)</f>
        <v/>
      </c>
      <c r="K26" s="285" t="str">
        <f>IF($B26=FALSE,"",Pressure_3_R1!V21)</f>
        <v/>
      </c>
      <c r="L26" s="285" t="str">
        <f>IF($B26=FALSE,"",Pressure_3_R1!W21)</f>
        <v/>
      </c>
      <c r="M26" s="169" t="str">
        <f t="shared" si="19"/>
        <v/>
      </c>
      <c r="N26" s="285" t="str">
        <f t="shared" si="20"/>
        <v/>
      </c>
      <c r="O26" s="285" t="str">
        <f t="shared" si="21"/>
        <v/>
      </c>
      <c r="P26" s="162"/>
      <c r="Q26" s="168" t="b">
        <f t="shared" si="10"/>
        <v>0</v>
      </c>
      <c r="R26" s="371" t="s">
        <v>309</v>
      </c>
      <c r="S26" s="372">
        <v>3</v>
      </c>
      <c r="T26" s="224" t="str">
        <f t="shared" ca="1" si="26"/>
        <v/>
      </c>
      <c r="U26" s="224" t="str">
        <f t="shared" ca="1" si="12"/>
        <v/>
      </c>
      <c r="V26" s="224" t="str">
        <f t="shared" ca="1" si="13"/>
        <v/>
      </c>
      <c r="W26" s="374" t="str">
        <f t="shared" si="14"/>
        <v/>
      </c>
      <c r="X26" s="375" t="str">
        <f t="shared" si="27"/>
        <v/>
      </c>
      <c r="Y26" s="376" t="str">
        <f t="shared" si="28"/>
        <v/>
      </c>
      <c r="Z26" s="376" t="str">
        <f t="shared" si="29"/>
        <v/>
      </c>
      <c r="AA26" s="377" t="str">
        <f t="shared" si="18"/>
        <v/>
      </c>
      <c r="AC26" s="247" t="s">
        <v>458</v>
      </c>
      <c r="AD26" s="248">
        <f t="shared" si="22"/>
        <v>1000000</v>
      </c>
      <c r="AE26" s="248">
        <f t="shared" si="6"/>
        <v>10000</v>
      </c>
      <c r="AF26" s="248">
        <f t="shared" si="25"/>
        <v>1000</v>
      </c>
      <c r="AG26" s="248">
        <v>1</v>
      </c>
      <c r="AH26" s="248">
        <f t="shared" si="23"/>
        <v>1000000</v>
      </c>
      <c r="AI26" s="248">
        <f t="shared" si="7"/>
        <v>10000</v>
      </c>
      <c r="AJ26" s="248">
        <f t="shared" si="24"/>
        <v>1000</v>
      </c>
      <c r="AK26" s="248">
        <v>1</v>
      </c>
    </row>
    <row r="27" spans="2:37" s="160" customFormat="1" ht="15" customHeight="1">
      <c r="B27" s="166" t="b">
        <f>IF(Pressure_3_R1!U22="",FALSE,TRUE)</f>
        <v>0</v>
      </c>
      <c r="C27" s="190" t="b">
        <f>TYPE(Pressure_3_R1!V22)=1</f>
        <v>1</v>
      </c>
      <c r="D27" s="167">
        <v>19</v>
      </c>
      <c r="E27" s="284" t="str">
        <f>IF($B27=FALSE,"",IF(D$3="해수",1026,표준압력!AI36))</f>
        <v/>
      </c>
      <c r="F27" s="169" t="str">
        <f>IF($B27=FALSE,"",VALUE(Pressure_3_R1!B22))</f>
        <v/>
      </c>
      <c r="G27" s="284" t="str">
        <f t="shared" si="8"/>
        <v/>
      </c>
      <c r="H27" s="284" t="str">
        <f>IF($B27=FALSE,"",표준압력!G36)</f>
        <v/>
      </c>
      <c r="I27" s="284" t="str">
        <f t="shared" si="9"/>
        <v/>
      </c>
      <c r="J27" s="169" t="str">
        <f>IF($B27=FALSE,"",Pressure_3_R1!U22)</f>
        <v/>
      </c>
      <c r="K27" s="285" t="str">
        <f>IF($B27=FALSE,"",Pressure_3_R1!V22)</f>
        <v/>
      </c>
      <c r="L27" s="285" t="str">
        <f>IF($B27=FALSE,"",Pressure_3_R1!W22)</f>
        <v/>
      </c>
      <c r="M27" s="169" t="str">
        <f t="shared" si="19"/>
        <v/>
      </c>
      <c r="N27" s="285" t="str">
        <f t="shared" si="20"/>
        <v/>
      </c>
      <c r="O27" s="285" t="str">
        <f t="shared" si="21"/>
        <v/>
      </c>
      <c r="P27" s="162"/>
      <c r="Q27" s="168" t="b">
        <f t="shared" si="10"/>
        <v>0</v>
      </c>
      <c r="R27" s="371" t="s">
        <v>309</v>
      </c>
      <c r="S27" s="372">
        <v>4</v>
      </c>
      <c r="T27" s="224" t="str">
        <f t="shared" ca="1" si="26"/>
        <v/>
      </c>
      <c r="U27" s="224" t="str">
        <f t="shared" ca="1" si="12"/>
        <v/>
      </c>
      <c r="V27" s="224" t="str">
        <f t="shared" ca="1" si="13"/>
        <v/>
      </c>
      <c r="W27" s="374" t="str">
        <f t="shared" si="14"/>
        <v/>
      </c>
      <c r="X27" s="375" t="str">
        <f t="shared" si="27"/>
        <v/>
      </c>
      <c r="Y27" s="376" t="str">
        <f t="shared" si="28"/>
        <v/>
      </c>
      <c r="Z27" s="376" t="str">
        <f t="shared" si="29"/>
        <v/>
      </c>
      <c r="AA27" s="377" t="str">
        <f t="shared" si="18"/>
        <v/>
      </c>
      <c r="AC27" s="247" t="s">
        <v>312</v>
      </c>
      <c r="AD27" s="248">
        <f t="shared" si="22"/>
        <v>100</v>
      </c>
      <c r="AE27" s="248">
        <f t="shared" si="6"/>
        <v>1</v>
      </c>
      <c r="AF27" s="248">
        <f t="shared" si="25"/>
        <v>0.1</v>
      </c>
      <c r="AG27" s="248">
        <v>1E-4</v>
      </c>
      <c r="AH27" s="248">
        <f t="shared" si="23"/>
        <v>100</v>
      </c>
      <c r="AI27" s="248">
        <f t="shared" si="7"/>
        <v>1</v>
      </c>
      <c r="AJ27" s="248">
        <f t="shared" si="24"/>
        <v>0.1</v>
      </c>
      <c r="AK27" s="248">
        <v>1E-4</v>
      </c>
    </row>
    <row r="28" spans="2:37" s="160" customFormat="1" ht="15" customHeight="1">
      <c r="B28" s="166" t="b">
        <f>IF(Pressure_3_R1!U23="",FALSE,TRUE)</f>
        <v>0</v>
      </c>
      <c r="C28" s="190" t="b">
        <f>TYPE(Pressure_3_R1!V23)=1</f>
        <v>1</v>
      </c>
      <c r="D28" s="167">
        <v>20</v>
      </c>
      <c r="E28" s="284" t="str">
        <f>IF($B28=FALSE,"",IF(D$3="해수",1026,표준압력!AI37))</f>
        <v/>
      </c>
      <c r="F28" s="169" t="str">
        <f>IF($B28=FALSE,"",VALUE(Pressure_3_R1!B23))</f>
        <v/>
      </c>
      <c r="G28" s="284" t="str">
        <f t="shared" si="8"/>
        <v/>
      </c>
      <c r="H28" s="284" t="str">
        <f>IF($B28=FALSE,"",표준압력!G37)</f>
        <v/>
      </c>
      <c r="I28" s="284" t="str">
        <f t="shared" si="9"/>
        <v/>
      </c>
      <c r="J28" s="169" t="str">
        <f>IF($B28=FALSE,"",Pressure_3_R1!U23)</f>
        <v/>
      </c>
      <c r="K28" s="285" t="str">
        <f>IF($B28=FALSE,"",Pressure_3_R1!V23)</f>
        <v/>
      </c>
      <c r="L28" s="285" t="str">
        <f>IF($B28=FALSE,"",Pressure_3_R1!W23)</f>
        <v/>
      </c>
      <c r="M28" s="169" t="str">
        <f t="shared" si="19"/>
        <v/>
      </c>
      <c r="N28" s="285" t="str">
        <f t="shared" si="20"/>
        <v/>
      </c>
      <c r="O28" s="285" t="str">
        <f t="shared" si="21"/>
        <v/>
      </c>
      <c r="P28" s="162"/>
      <c r="Q28" s="168" t="b">
        <f t="shared" si="10"/>
        <v>0</v>
      </c>
      <c r="R28" s="371" t="s">
        <v>309</v>
      </c>
      <c r="S28" s="372">
        <v>5</v>
      </c>
      <c r="T28" s="224" t="str">
        <f t="shared" ca="1" si="26"/>
        <v/>
      </c>
      <c r="U28" s="224" t="str">
        <f t="shared" ca="1" si="12"/>
        <v/>
      </c>
      <c r="V28" s="224" t="str">
        <f t="shared" ca="1" si="13"/>
        <v/>
      </c>
      <c r="W28" s="374" t="str">
        <f t="shared" si="14"/>
        <v/>
      </c>
      <c r="X28" s="375" t="str">
        <f t="shared" si="27"/>
        <v/>
      </c>
      <c r="Y28" s="376" t="str">
        <f t="shared" si="28"/>
        <v/>
      </c>
      <c r="Z28" s="376" t="str">
        <f t="shared" si="29"/>
        <v/>
      </c>
      <c r="AA28" s="377" t="str">
        <f t="shared" si="18"/>
        <v/>
      </c>
      <c r="AC28" s="247" t="s">
        <v>459</v>
      </c>
      <c r="AD28" s="248">
        <f t="shared" si="22"/>
        <v>100000</v>
      </c>
      <c r="AE28" s="248">
        <f t="shared" si="6"/>
        <v>1000</v>
      </c>
      <c r="AF28" s="248">
        <f t="shared" si="25"/>
        <v>100</v>
      </c>
      <c r="AG28" s="248">
        <v>0.1</v>
      </c>
      <c r="AH28" s="248">
        <f t="shared" si="23"/>
        <v>100000</v>
      </c>
      <c r="AI28" s="248">
        <f t="shared" si="7"/>
        <v>1000</v>
      </c>
      <c r="AJ28" s="248">
        <f t="shared" si="24"/>
        <v>100</v>
      </c>
      <c r="AK28" s="248">
        <v>0.1</v>
      </c>
    </row>
    <row r="29" spans="2:37" s="160" customFormat="1" ht="15" customHeight="1">
      <c r="B29" s="166" t="b">
        <f>IF(Pressure_3_R1!U24="",FALSE,TRUE)</f>
        <v>0</v>
      </c>
      <c r="C29" s="190" t="b">
        <f>TYPE(Pressure_3_R1!V24)=1</f>
        <v>1</v>
      </c>
      <c r="D29" s="167">
        <v>21</v>
      </c>
      <c r="E29" s="284" t="str">
        <f>IF($B29=FALSE,"",IF(D$3="해수",1026,표준압력!AI38))</f>
        <v/>
      </c>
      <c r="F29" s="169" t="str">
        <f>IF($B29=FALSE,"",VALUE(Pressure_3_R1!B24))</f>
        <v/>
      </c>
      <c r="G29" s="284" t="str">
        <f t="shared" si="8"/>
        <v/>
      </c>
      <c r="H29" s="284" t="str">
        <f>IF($B29=FALSE,"",표준압력!G38)</f>
        <v/>
      </c>
      <c r="I29" s="284" t="str">
        <f t="shared" si="9"/>
        <v/>
      </c>
      <c r="J29" s="169" t="str">
        <f>IF($B29=FALSE,"",Pressure_3_R1!U24)</f>
        <v/>
      </c>
      <c r="K29" s="285" t="str">
        <f>IF($B29=FALSE,"",Pressure_3_R1!V24)</f>
        <v/>
      </c>
      <c r="L29" s="285" t="str">
        <f>IF($B29=FALSE,"",Pressure_3_R1!W24)</f>
        <v/>
      </c>
      <c r="M29" s="169" t="str">
        <f t="shared" si="19"/>
        <v/>
      </c>
      <c r="N29" s="285" t="str">
        <f t="shared" si="20"/>
        <v/>
      </c>
      <c r="O29" s="285" t="str">
        <f t="shared" si="21"/>
        <v/>
      </c>
      <c r="P29" s="162"/>
      <c r="Q29" s="168" t="b">
        <f t="shared" si="10"/>
        <v>0</v>
      </c>
      <c r="R29" s="371" t="s">
        <v>309</v>
      </c>
      <c r="S29" s="372">
        <v>6</v>
      </c>
      <c r="T29" s="224" t="str">
        <f t="shared" ca="1" si="26"/>
        <v/>
      </c>
      <c r="U29" s="224" t="str">
        <f t="shared" ca="1" si="12"/>
        <v/>
      </c>
      <c r="V29" s="224" t="str">
        <f t="shared" ca="1" si="13"/>
        <v/>
      </c>
      <c r="W29" s="374" t="str">
        <f t="shared" si="14"/>
        <v/>
      </c>
      <c r="X29" s="375" t="str">
        <f t="shared" si="27"/>
        <v/>
      </c>
      <c r="Y29" s="376" t="str">
        <f t="shared" si="28"/>
        <v/>
      </c>
      <c r="Z29" s="376" t="str">
        <f t="shared" si="29"/>
        <v/>
      </c>
      <c r="AA29" s="377" t="str">
        <f t="shared" si="18"/>
        <v/>
      </c>
      <c r="AC29" s="247" t="s">
        <v>202</v>
      </c>
      <c r="AD29" s="248">
        <f t="shared" si="22"/>
        <v>6894.7569999999996</v>
      </c>
      <c r="AE29" s="248">
        <f t="shared" si="6"/>
        <v>68.947569999999999</v>
      </c>
      <c r="AF29" s="248">
        <f t="shared" si="25"/>
        <v>6.8947569999999994</v>
      </c>
      <c r="AG29" s="248">
        <v>6.8947569999999996E-3</v>
      </c>
      <c r="AH29" s="248">
        <f t="shared" si="23"/>
        <v>6894.7569999999996</v>
      </c>
      <c r="AI29" s="248">
        <f t="shared" si="7"/>
        <v>68.947569999999999</v>
      </c>
      <c r="AJ29" s="248">
        <f t="shared" si="24"/>
        <v>6.8947569999999994</v>
      </c>
      <c r="AK29" s="248">
        <v>6.8947569999999996E-3</v>
      </c>
    </row>
    <row r="30" spans="2:37" s="160" customFormat="1" ht="15" customHeight="1">
      <c r="B30" s="166" t="b">
        <f>IF(Pressure_3_R1!U25="",FALSE,TRUE)</f>
        <v>0</v>
      </c>
      <c r="C30" s="190" t="b">
        <f>TYPE(Pressure_3_R1!V25)=1</f>
        <v>1</v>
      </c>
      <c r="D30" s="167">
        <v>22</v>
      </c>
      <c r="E30" s="284" t="str">
        <f>IF($B30=FALSE,"",IF(D$3="해수",1026,표준압력!AI39))</f>
        <v/>
      </c>
      <c r="F30" s="169" t="str">
        <f>IF($B30=FALSE,"",VALUE(Pressure_3_R1!B25))</f>
        <v/>
      </c>
      <c r="G30" s="284" t="str">
        <f t="shared" si="8"/>
        <v/>
      </c>
      <c r="H30" s="284" t="str">
        <f>IF($B30=FALSE,"",표준압력!G39)</f>
        <v/>
      </c>
      <c r="I30" s="284" t="str">
        <f t="shared" si="9"/>
        <v/>
      </c>
      <c r="J30" s="169" t="str">
        <f>IF($B30=FALSE,"",Pressure_3_R1!U25)</f>
        <v/>
      </c>
      <c r="K30" s="285" t="str">
        <f>IF($B30=FALSE,"",Pressure_3_R1!V25)</f>
        <v/>
      </c>
      <c r="L30" s="285" t="str">
        <f>IF($B30=FALSE,"",Pressure_3_R1!W25)</f>
        <v/>
      </c>
      <c r="M30" s="169" t="str">
        <f t="shared" si="19"/>
        <v/>
      </c>
      <c r="N30" s="285" t="str">
        <f t="shared" si="20"/>
        <v/>
      </c>
      <c r="O30" s="285" t="str">
        <f t="shared" si="21"/>
        <v/>
      </c>
      <c r="P30" s="162"/>
      <c r="Q30" s="168" t="b">
        <f t="shared" si="10"/>
        <v>0</v>
      </c>
      <c r="R30" s="371" t="s">
        <v>1014</v>
      </c>
      <c r="S30" s="372">
        <v>7</v>
      </c>
      <c r="T30" s="224" t="str">
        <f t="shared" ca="1" si="26"/>
        <v/>
      </c>
      <c r="U30" s="224" t="str">
        <f t="shared" ca="1" si="12"/>
        <v/>
      </c>
      <c r="V30" s="224" t="str">
        <f t="shared" ca="1" si="13"/>
        <v/>
      </c>
      <c r="W30" s="374" t="str">
        <f t="shared" si="14"/>
        <v/>
      </c>
      <c r="X30" s="375" t="str">
        <f t="shared" si="27"/>
        <v/>
      </c>
      <c r="Y30" s="376" t="str">
        <f t="shared" si="28"/>
        <v/>
      </c>
      <c r="Z30" s="376" t="str">
        <f t="shared" si="29"/>
        <v/>
      </c>
      <c r="AA30" s="377" t="str">
        <f t="shared" si="18"/>
        <v/>
      </c>
      <c r="AC30" s="247" t="s">
        <v>207</v>
      </c>
      <c r="AD30" s="248">
        <f t="shared" si="22"/>
        <v>98066.5</v>
      </c>
      <c r="AE30" s="248">
        <f t="shared" si="6"/>
        <v>980.66500000000008</v>
      </c>
      <c r="AF30" s="248">
        <f t="shared" si="25"/>
        <v>98.066500000000005</v>
      </c>
      <c r="AG30" s="248">
        <v>9.8066500000000001E-2</v>
      </c>
      <c r="AH30" s="248">
        <f t="shared" si="23"/>
        <v>98066.5</v>
      </c>
      <c r="AI30" s="248">
        <f t="shared" si="7"/>
        <v>980.66500000000008</v>
      </c>
      <c r="AJ30" s="248">
        <f t="shared" si="24"/>
        <v>98.066500000000005</v>
      </c>
      <c r="AK30" s="248">
        <v>9.8066500000000001E-2</v>
      </c>
    </row>
    <row r="31" spans="2:37" s="160" customFormat="1" ht="15" customHeight="1">
      <c r="B31" s="166" t="b">
        <f>IF(Pressure_3_R1!U26="",FALSE,TRUE)</f>
        <v>0</v>
      </c>
      <c r="C31" s="190" t="b">
        <f>TYPE(Pressure_3_R1!V26)=1</f>
        <v>1</v>
      </c>
      <c r="D31" s="167">
        <v>23</v>
      </c>
      <c r="E31" s="284" t="str">
        <f>IF($B31=FALSE,"",IF(D$3="해수",1026,표준압력!AI40))</f>
        <v/>
      </c>
      <c r="F31" s="169" t="str">
        <f>IF($B31=FALSE,"",VALUE(Pressure_3_R1!B26))</f>
        <v/>
      </c>
      <c r="G31" s="284" t="str">
        <f t="shared" si="8"/>
        <v/>
      </c>
      <c r="H31" s="284" t="str">
        <f>IF($B31=FALSE,"",표준압력!G40)</f>
        <v/>
      </c>
      <c r="I31" s="284" t="str">
        <f t="shared" si="9"/>
        <v/>
      </c>
      <c r="J31" s="169" t="str">
        <f>IF($B31=FALSE,"",Pressure_3_R1!U26)</f>
        <v/>
      </c>
      <c r="K31" s="285" t="str">
        <f>IF($B31=FALSE,"",Pressure_3_R1!V26)</f>
        <v/>
      </c>
      <c r="L31" s="285" t="str">
        <f>IF($B31=FALSE,"",Pressure_3_R1!W26)</f>
        <v/>
      </c>
      <c r="M31" s="169" t="str">
        <f t="shared" si="19"/>
        <v/>
      </c>
      <c r="N31" s="285" t="str">
        <f t="shared" si="20"/>
        <v/>
      </c>
      <c r="O31" s="285" t="str">
        <f t="shared" si="21"/>
        <v/>
      </c>
      <c r="P31" s="162"/>
      <c r="Q31" s="168" t="b">
        <f t="shared" si="10"/>
        <v>0</v>
      </c>
      <c r="R31" s="371" t="s">
        <v>1014</v>
      </c>
      <c r="S31" s="372">
        <v>8</v>
      </c>
      <c r="T31" s="224" t="str">
        <f t="shared" ca="1" si="26"/>
        <v/>
      </c>
      <c r="U31" s="224" t="str">
        <f t="shared" ca="1" si="12"/>
        <v/>
      </c>
      <c r="V31" s="224" t="str">
        <f t="shared" ca="1" si="13"/>
        <v/>
      </c>
      <c r="W31" s="374" t="str">
        <f t="shared" si="14"/>
        <v/>
      </c>
      <c r="X31" s="375" t="str">
        <f t="shared" si="27"/>
        <v/>
      </c>
      <c r="Y31" s="376" t="str">
        <f t="shared" si="28"/>
        <v/>
      </c>
      <c r="Z31" s="376" t="str">
        <f t="shared" si="29"/>
        <v/>
      </c>
      <c r="AA31" s="377" t="str">
        <f t="shared" si="18"/>
        <v/>
      </c>
      <c r="AC31" s="247" t="s">
        <v>169</v>
      </c>
      <c r="AD31" s="248">
        <f>AF31*1000</f>
        <v>101325</v>
      </c>
      <c r="AE31" s="248">
        <f>AF31*10</f>
        <v>1013.25</v>
      </c>
      <c r="AF31" s="248">
        <f>AG31*1000</f>
        <v>101.325</v>
      </c>
      <c r="AG31" s="248">
        <v>0.101325</v>
      </c>
      <c r="AH31" s="248">
        <f>AJ31*1000</f>
        <v>101325</v>
      </c>
      <c r="AI31" s="248">
        <f>AJ31*10</f>
        <v>1013.25</v>
      </c>
      <c r="AJ31" s="248">
        <f>AK31*1000</f>
        <v>101.325</v>
      </c>
      <c r="AK31" s="248">
        <v>0.101325</v>
      </c>
    </row>
    <row r="32" spans="2:37" s="160" customFormat="1" ht="15" customHeight="1">
      <c r="B32" s="166" t="b">
        <f>IF(Pressure_3_R1!U27="",FALSE,TRUE)</f>
        <v>0</v>
      </c>
      <c r="C32" s="190" t="b">
        <f>TYPE(Pressure_3_R1!V27)=1</f>
        <v>1</v>
      </c>
      <c r="D32" s="167">
        <v>24</v>
      </c>
      <c r="E32" s="284" t="str">
        <f>IF($B32=FALSE,"",IF(D$3="해수",1026,표준압력!AI41))</f>
        <v/>
      </c>
      <c r="F32" s="169" t="str">
        <f>IF($B32=FALSE,"",VALUE(Pressure_3_R1!B27))</f>
        <v/>
      </c>
      <c r="G32" s="284" t="str">
        <f t="shared" si="8"/>
        <v/>
      </c>
      <c r="H32" s="284" t="str">
        <f>IF($B32=FALSE,"",표준압력!G41)</f>
        <v/>
      </c>
      <c r="I32" s="284" t="str">
        <f t="shared" si="9"/>
        <v/>
      </c>
      <c r="J32" s="169" t="str">
        <f>IF($B32=FALSE,"",Pressure_3_R1!U27)</f>
        <v/>
      </c>
      <c r="K32" s="285" t="str">
        <f>IF($B32=FALSE,"",Pressure_3_R1!V27)</f>
        <v/>
      </c>
      <c r="L32" s="285" t="str">
        <f>IF($B32=FALSE,"",Pressure_3_R1!W27)</f>
        <v/>
      </c>
      <c r="M32" s="169" t="str">
        <f t="shared" si="19"/>
        <v/>
      </c>
      <c r="N32" s="285" t="str">
        <f t="shared" si="20"/>
        <v/>
      </c>
      <c r="O32" s="285" t="str">
        <f t="shared" si="21"/>
        <v/>
      </c>
      <c r="P32" s="162"/>
      <c r="Q32" s="168" t="b">
        <f t="shared" si="10"/>
        <v>0</v>
      </c>
      <c r="R32" s="371" t="s">
        <v>309</v>
      </c>
      <c r="S32" s="372">
        <v>9</v>
      </c>
      <c r="T32" s="224" t="str">
        <f t="shared" ca="1" si="26"/>
        <v/>
      </c>
      <c r="U32" s="224" t="str">
        <f t="shared" ca="1" si="12"/>
        <v/>
      </c>
      <c r="V32" s="224" t="str">
        <f t="shared" ca="1" si="13"/>
        <v/>
      </c>
      <c r="W32" s="374" t="str">
        <f t="shared" si="14"/>
        <v/>
      </c>
      <c r="X32" s="375" t="str">
        <f t="shared" si="27"/>
        <v/>
      </c>
      <c r="Y32" s="376" t="str">
        <f t="shared" si="28"/>
        <v/>
      </c>
      <c r="Z32" s="376" t="str">
        <f t="shared" si="29"/>
        <v/>
      </c>
      <c r="AA32" s="377" t="str">
        <f t="shared" si="18"/>
        <v/>
      </c>
    </row>
    <row r="33" spans="2:37" s="160" customFormat="1" ht="15" customHeight="1">
      <c r="B33" s="166" t="b">
        <f>IF(Pressure_3_R1!U28="",FALSE,TRUE)</f>
        <v>0</v>
      </c>
      <c r="C33" s="190" t="b">
        <f>TYPE(Pressure_3_R1!V28)=1</f>
        <v>1</v>
      </c>
      <c r="D33" s="167">
        <v>25</v>
      </c>
      <c r="E33" s="284" t="str">
        <f>IF($B33=FALSE,"",IF(D$3="해수",1026,표준압력!AI42))</f>
        <v/>
      </c>
      <c r="F33" s="169" t="str">
        <f>IF($B33=FALSE,"",VALUE(Pressure_3_R1!B28))</f>
        <v/>
      </c>
      <c r="G33" s="284" t="str">
        <f t="shared" si="8"/>
        <v/>
      </c>
      <c r="H33" s="284" t="str">
        <f>IF($B33=FALSE,"",표준압력!G42)</f>
        <v/>
      </c>
      <c r="I33" s="284" t="str">
        <f t="shared" si="9"/>
        <v/>
      </c>
      <c r="J33" s="169" t="str">
        <f>IF($B33=FALSE,"",Pressure_3_R1!U28)</f>
        <v/>
      </c>
      <c r="K33" s="285" t="str">
        <f>IF($B33=FALSE,"",Pressure_3_R1!V28)</f>
        <v/>
      </c>
      <c r="L33" s="285" t="str">
        <f>IF($B33=FALSE,"",Pressure_3_R1!W28)</f>
        <v/>
      </c>
      <c r="M33" s="169" t="str">
        <f t="shared" si="19"/>
        <v/>
      </c>
      <c r="N33" s="285" t="str">
        <f t="shared" si="20"/>
        <v/>
      </c>
      <c r="O33" s="285" t="str">
        <f t="shared" si="21"/>
        <v/>
      </c>
      <c r="P33" s="162"/>
      <c r="Q33" s="168" t="b">
        <f t="shared" si="10"/>
        <v>0</v>
      </c>
      <c r="R33" s="371" t="s">
        <v>1014</v>
      </c>
      <c r="S33" s="372">
        <v>10</v>
      </c>
      <c r="T33" s="224" t="str">
        <f t="shared" ca="1" si="26"/>
        <v/>
      </c>
      <c r="U33" s="224" t="str">
        <f t="shared" ca="1" si="12"/>
        <v/>
      </c>
      <c r="V33" s="224" t="str">
        <f t="shared" ca="1" si="13"/>
        <v/>
      </c>
      <c r="W33" s="374" t="str">
        <f t="shared" si="14"/>
        <v/>
      </c>
      <c r="X33" s="375" t="str">
        <f t="shared" si="27"/>
        <v/>
      </c>
      <c r="Y33" s="376" t="str">
        <f t="shared" si="28"/>
        <v/>
      </c>
      <c r="Z33" s="376" t="str">
        <f t="shared" si="29"/>
        <v/>
      </c>
      <c r="AA33" s="377" t="str">
        <f t="shared" si="18"/>
        <v/>
      </c>
    </row>
    <row r="34" spans="2:37" s="160" customFormat="1" ht="15" customHeight="1">
      <c r="B34" s="166" t="b">
        <f>IF(Pressure_3_R1!U29="",FALSE,TRUE)</f>
        <v>0</v>
      </c>
      <c r="C34" s="190" t="b">
        <f>TYPE(Pressure_3_R1!V29)=1</f>
        <v>1</v>
      </c>
      <c r="D34" s="167">
        <v>26</v>
      </c>
      <c r="E34" s="284" t="str">
        <f>IF($B34=FALSE,"",IF(D$3="해수",1026,표준압력!AI43))</f>
        <v/>
      </c>
      <c r="F34" s="169" t="str">
        <f>IF($B34=FALSE,"",VALUE(Pressure_3_R1!B29))</f>
        <v/>
      </c>
      <c r="G34" s="284" t="str">
        <f t="shared" si="8"/>
        <v/>
      </c>
      <c r="H34" s="284" t="str">
        <f>IF($B34=FALSE,"",표준압력!G43)</f>
        <v/>
      </c>
      <c r="I34" s="284" t="str">
        <f t="shared" si="9"/>
        <v/>
      </c>
      <c r="J34" s="169" t="str">
        <f>IF($B34=FALSE,"",Pressure_3_R1!U29)</f>
        <v/>
      </c>
      <c r="K34" s="285" t="str">
        <f>IF($B34=FALSE,"",Pressure_3_R1!V29)</f>
        <v/>
      </c>
      <c r="L34" s="285" t="str">
        <f>IF($B34=FALSE,"",Pressure_3_R1!W29)</f>
        <v/>
      </c>
      <c r="M34" s="169" t="str">
        <f t="shared" si="19"/>
        <v/>
      </c>
      <c r="N34" s="285" t="str">
        <f t="shared" si="20"/>
        <v/>
      </c>
      <c r="O34" s="285" t="str">
        <f t="shared" si="21"/>
        <v/>
      </c>
      <c r="P34" s="162"/>
      <c r="Q34" s="168" t="b">
        <f t="shared" si="10"/>
        <v>0</v>
      </c>
      <c r="R34" s="371" t="s">
        <v>309</v>
      </c>
      <c r="S34" s="372">
        <v>11</v>
      </c>
      <c r="T34" s="224" t="str">
        <f t="shared" ca="1" si="26"/>
        <v/>
      </c>
      <c r="U34" s="224" t="str">
        <f t="shared" ca="1" si="12"/>
        <v/>
      </c>
      <c r="V34" s="224" t="str">
        <f t="shared" ca="1" si="13"/>
        <v/>
      </c>
      <c r="W34" s="374" t="str">
        <f t="shared" si="14"/>
        <v/>
      </c>
      <c r="X34" s="375" t="str">
        <f t="shared" si="27"/>
        <v/>
      </c>
      <c r="Y34" s="376" t="str">
        <f t="shared" si="28"/>
        <v/>
      </c>
      <c r="Z34" s="376" t="str">
        <f t="shared" si="29"/>
        <v/>
      </c>
      <c r="AA34" s="377" t="str">
        <f t="shared" si="18"/>
        <v/>
      </c>
    </row>
    <row r="35" spans="2:37" s="160" customFormat="1" ht="15" customHeight="1">
      <c r="B35" s="166" t="b">
        <f>IF(Pressure_3_R1!U30="",FALSE,TRUE)</f>
        <v>0</v>
      </c>
      <c r="C35" s="190" t="b">
        <f>TYPE(Pressure_3_R1!V30)=1</f>
        <v>1</v>
      </c>
      <c r="D35" s="167">
        <v>27</v>
      </c>
      <c r="E35" s="284" t="str">
        <f>IF($B35=FALSE,"",IF(D$3="해수",1026,표준압력!AI44))</f>
        <v/>
      </c>
      <c r="F35" s="169" t="str">
        <f>IF($B35=FALSE,"",VALUE(Pressure_3_R1!B30))</f>
        <v/>
      </c>
      <c r="G35" s="284" t="str">
        <f t="shared" si="8"/>
        <v/>
      </c>
      <c r="H35" s="284" t="str">
        <f>IF($B35=FALSE,"",표준압력!G44)</f>
        <v/>
      </c>
      <c r="I35" s="284" t="str">
        <f t="shared" si="9"/>
        <v/>
      </c>
      <c r="J35" s="169" t="str">
        <f>IF($B35=FALSE,"",Pressure_3_R1!U30)</f>
        <v/>
      </c>
      <c r="K35" s="285" t="str">
        <f>IF($B35=FALSE,"",Pressure_3_R1!V30)</f>
        <v/>
      </c>
      <c r="L35" s="285" t="str">
        <f>IF($B35=FALSE,"",Pressure_3_R1!W30)</f>
        <v/>
      </c>
      <c r="M35" s="169" t="str">
        <f t="shared" si="19"/>
        <v/>
      </c>
      <c r="N35" s="285" t="str">
        <f t="shared" si="20"/>
        <v/>
      </c>
      <c r="O35" s="285" t="str">
        <f t="shared" si="21"/>
        <v/>
      </c>
      <c r="P35" s="162"/>
      <c r="Q35" s="168" t="b">
        <f t="shared" si="10"/>
        <v>0</v>
      </c>
      <c r="R35" s="371" t="s">
        <v>1014</v>
      </c>
      <c r="S35" s="372">
        <v>12</v>
      </c>
      <c r="T35" s="224" t="str">
        <f t="shared" ca="1" si="26"/>
        <v/>
      </c>
      <c r="U35" s="224" t="str">
        <f t="shared" ca="1" si="12"/>
        <v/>
      </c>
      <c r="V35" s="224" t="str">
        <f t="shared" ca="1" si="13"/>
        <v/>
      </c>
      <c r="W35" s="374" t="str">
        <f t="shared" si="14"/>
        <v/>
      </c>
      <c r="X35" s="375" t="str">
        <f t="shared" si="27"/>
        <v/>
      </c>
      <c r="Y35" s="376" t="str">
        <f t="shared" si="28"/>
        <v/>
      </c>
      <c r="Z35" s="376" t="str">
        <f t="shared" si="29"/>
        <v/>
      </c>
      <c r="AA35" s="377" t="str">
        <f t="shared" si="18"/>
        <v/>
      </c>
    </row>
    <row r="36" spans="2:37" s="160" customFormat="1" ht="15" customHeight="1">
      <c r="B36" s="166" t="b">
        <f>IF(Pressure_3_R1!U31="",FALSE,TRUE)</f>
        <v>0</v>
      </c>
      <c r="C36" s="190" t="b">
        <f>TYPE(Pressure_3_R1!V31)=1</f>
        <v>1</v>
      </c>
      <c r="D36" s="167">
        <v>28</v>
      </c>
      <c r="E36" s="284" t="str">
        <f>IF($B36=FALSE,"",IF(D$3="해수",1026,표준압력!AI45))</f>
        <v/>
      </c>
      <c r="F36" s="169" t="str">
        <f>IF($B36=FALSE,"",VALUE(Pressure_3_R1!B31))</f>
        <v/>
      </c>
      <c r="G36" s="284" t="str">
        <f t="shared" si="8"/>
        <v/>
      </c>
      <c r="H36" s="284" t="str">
        <f>IF($B36=FALSE,"",표준압력!G45)</f>
        <v/>
      </c>
      <c r="I36" s="284" t="str">
        <f t="shared" si="9"/>
        <v/>
      </c>
      <c r="J36" s="169" t="str">
        <f>IF($B36=FALSE,"",Pressure_3_R1!U31)</f>
        <v/>
      </c>
      <c r="K36" s="285" t="str">
        <f>IF($B36=FALSE,"",Pressure_3_R1!V31)</f>
        <v/>
      </c>
      <c r="L36" s="285" t="str">
        <f>IF($B36=FALSE,"",Pressure_3_R1!W31)</f>
        <v/>
      </c>
      <c r="M36" s="169" t="str">
        <f t="shared" si="19"/>
        <v/>
      </c>
      <c r="N36" s="285" t="str">
        <f t="shared" si="20"/>
        <v/>
      </c>
      <c r="O36" s="285" t="str">
        <f t="shared" si="21"/>
        <v/>
      </c>
      <c r="P36" s="162"/>
      <c r="Q36" s="168" t="b">
        <f t="shared" si="10"/>
        <v>0</v>
      </c>
      <c r="R36" s="371" t="s">
        <v>309</v>
      </c>
      <c r="S36" s="372">
        <v>13</v>
      </c>
      <c r="T36" s="224" t="str">
        <f t="shared" ca="1" si="26"/>
        <v/>
      </c>
      <c r="U36" s="224" t="str">
        <f t="shared" ca="1" si="12"/>
        <v/>
      </c>
      <c r="V36" s="224" t="str">
        <f t="shared" ca="1" si="13"/>
        <v/>
      </c>
      <c r="W36" s="374" t="str">
        <f t="shared" si="14"/>
        <v/>
      </c>
      <c r="X36" s="375" t="str">
        <f t="shared" si="27"/>
        <v/>
      </c>
      <c r="Y36" s="376" t="str">
        <f t="shared" si="28"/>
        <v/>
      </c>
      <c r="Z36" s="376" t="str">
        <f t="shared" si="29"/>
        <v/>
      </c>
      <c r="AA36" s="377" t="str">
        <f t="shared" si="18"/>
        <v/>
      </c>
    </row>
    <row r="37" spans="2:37" s="160" customFormat="1" ht="15" customHeight="1">
      <c r="B37" s="166" t="b">
        <f>IF(Pressure_3_R1!U32="",FALSE,TRUE)</f>
        <v>0</v>
      </c>
      <c r="C37" s="190" t="b">
        <f>TYPE(Pressure_3_R1!V32)=1</f>
        <v>1</v>
      </c>
      <c r="D37" s="167">
        <v>29</v>
      </c>
      <c r="E37" s="284" t="str">
        <f>IF($B37=FALSE,"",IF(D$3="해수",1026,표준압력!AI46))</f>
        <v/>
      </c>
      <c r="F37" s="169" t="str">
        <f>IF($B37=FALSE,"",VALUE(Pressure_3_R1!B32))</f>
        <v/>
      </c>
      <c r="G37" s="284" t="str">
        <f t="shared" si="8"/>
        <v/>
      </c>
      <c r="H37" s="284" t="str">
        <f>IF($B37=FALSE,"",표준압력!G46)</f>
        <v/>
      </c>
      <c r="I37" s="284" t="str">
        <f t="shared" si="9"/>
        <v/>
      </c>
      <c r="J37" s="169" t="str">
        <f>IF($B37=FALSE,"",Pressure_3_R1!U32)</f>
        <v/>
      </c>
      <c r="K37" s="285" t="str">
        <f>IF($B37=FALSE,"",Pressure_3_R1!V32)</f>
        <v/>
      </c>
      <c r="L37" s="285" t="str">
        <f>IF($B37=FALSE,"",Pressure_3_R1!W32)</f>
        <v/>
      </c>
      <c r="M37" s="169" t="str">
        <f t="shared" si="19"/>
        <v/>
      </c>
      <c r="N37" s="285" t="str">
        <f t="shared" si="20"/>
        <v/>
      </c>
      <c r="O37" s="285" t="str">
        <f t="shared" si="21"/>
        <v/>
      </c>
      <c r="P37" s="162"/>
      <c r="Q37" s="168" t="b">
        <f t="shared" si="10"/>
        <v>0</v>
      </c>
      <c r="R37" s="371" t="s">
        <v>309</v>
      </c>
      <c r="S37" s="372">
        <v>14</v>
      </c>
      <c r="T37" s="224" t="str">
        <f t="shared" ca="1" si="26"/>
        <v/>
      </c>
      <c r="U37" s="224" t="str">
        <f t="shared" ca="1" si="12"/>
        <v/>
      </c>
      <c r="V37" s="224" t="str">
        <f t="shared" ca="1" si="13"/>
        <v/>
      </c>
      <c r="W37" s="374" t="str">
        <f t="shared" si="14"/>
        <v/>
      </c>
      <c r="X37" s="375" t="str">
        <f t="shared" si="27"/>
        <v/>
      </c>
      <c r="Y37" s="376" t="str">
        <f t="shared" si="28"/>
        <v/>
      </c>
      <c r="Z37" s="376" t="str">
        <f t="shared" si="29"/>
        <v/>
      </c>
      <c r="AA37" s="377" t="str">
        <f t="shared" si="18"/>
        <v/>
      </c>
    </row>
    <row r="38" spans="2:37" s="160" customFormat="1" ht="15" customHeight="1">
      <c r="B38" s="166" t="b">
        <f>IF(Pressure_3_R1!U33="",FALSE,TRUE)</f>
        <v>0</v>
      </c>
      <c r="C38" s="190" t="b">
        <f>TYPE(Pressure_3_R1!V33)=1</f>
        <v>1</v>
      </c>
      <c r="D38" s="167">
        <v>30</v>
      </c>
      <c r="E38" s="284" t="str">
        <f>IF($B38=FALSE,"",IF(D$3="해수",1026,표준압력!AI47))</f>
        <v/>
      </c>
      <c r="F38" s="169" t="str">
        <f>IF($B38=FALSE,"",VALUE(Pressure_3_R1!B33))</f>
        <v/>
      </c>
      <c r="G38" s="284" t="str">
        <f t="shared" si="8"/>
        <v/>
      </c>
      <c r="H38" s="284" t="str">
        <f>IF($B38=FALSE,"",표준압력!G47)</f>
        <v/>
      </c>
      <c r="I38" s="284" t="str">
        <f t="shared" si="9"/>
        <v/>
      </c>
      <c r="J38" s="169" t="str">
        <f>IF($B38=FALSE,"",Pressure_3_R1!U33)</f>
        <v/>
      </c>
      <c r="K38" s="285" t="str">
        <f>IF($B38=FALSE,"",Pressure_3_R1!V33)</f>
        <v/>
      </c>
      <c r="L38" s="285" t="str">
        <f>IF($B38=FALSE,"",Pressure_3_R1!W33)</f>
        <v/>
      </c>
      <c r="M38" s="169" t="str">
        <f t="shared" si="19"/>
        <v/>
      </c>
      <c r="N38" s="285" t="str">
        <f t="shared" si="20"/>
        <v/>
      </c>
      <c r="O38" s="285" t="str">
        <f t="shared" si="21"/>
        <v/>
      </c>
      <c r="P38" s="162"/>
      <c r="Q38" s="168" t="b">
        <f t="shared" si="10"/>
        <v>0</v>
      </c>
      <c r="R38" s="371" t="s">
        <v>309</v>
      </c>
      <c r="S38" s="372">
        <v>15</v>
      </c>
      <c r="T38" s="224" t="str">
        <f t="shared" ca="1" si="26"/>
        <v/>
      </c>
      <c r="U38" s="224" t="str">
        <f t="shared" ca="1" si="12"/>
        <v/>
      </c>
      <c r="V38" s="224" t="str">
        <f t="shared" ca="1" si="13"/>
        <v/>
      </c>
      <c r="W38" s="374" t="str">
        <f t="shared" si="14"/>
        <v/>
      </c>
      <c r="X38" s="375" t="str">
        <f t="shared" si="27"/>
        <v/>
      </c>
      <c r="Y38" s="376" t="str">
        <f t="shared" si="28"/>
        <v/>
      </c>
      <c r="Z38" s="376" t="str">
        <f t="shared" si="29"/>
        <v/>
      </c>
      <c r="AA38" s="377" t="str">
        <f t="shared" si="18"/>
        <v/>
      </c>
    </row>
    <row r="39" spans="2:37" ht="15" customHeight="1">
      <c r="B39" s="159"/>
      <c r="C39" s="159"/>
      <c r="D39" s="159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</row>
    <row r="40" spans="2:37" ht="15" customHeight="1">
      <c r="B40" s="164" t="s">
        <v>317</v>
      </c>
      <c r="C40" s="159"/>
      <c r="D40" s="159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U40" s="170"/>
    </row>
    <row r="41" spans="2:37" ht="15" customHeight="1">
      <c r="B41" s="810" t="s">
        <v>318</v>
      </c>
      <c r="C41" s="804" t="s">
        <v>65</v>
      </c>
      <c r="D41" s="805"/>
      <c r="E41" s="805"/>
      <c r="F41" s="805"/>
      <c r="G41" s="805"/>
      <c r="H41" s="805"/>
      <c r="I41" s="806"/>
      <c r="J41" s="786" t="s">
        <v>320</v>
      </c>
      <c r="K41" s="777"/>
      <c r="L41" s="777"/>
      <c r="M41" s="777"/>
      <c r="N41" s="778"/>
      <c r="O41" s="801" t="s">
        <v>65</v>
      </c>
      <c r="P41" s="802"/>
      <c r="Q41" s="802"/>
      <c r="R41" s="802"/>
      <c r="S41" s="802"/>
      <c r="T41" s="802"/>
      <c r="U41" s="802"/>
      <c r="V41" s="803"/>
      <c r="W41" s="767" t="s">
        <v>460</v>
      </c>
      <c r="X41" s="779"/>
      <c r="Y41" s="779"/>
      <c r="Z41" s="779"/>
      <c r="AA41" s="779"/>
      <c r="AB41" s="768"/>
      <c r="AC41" s="773" t="s">
        <v>322</v>
      </c>
      <c r="AD41" s="773" t="s">
        <v>521</v>
      </c>
      <c r="AE41" s="773" t="s">
        <v>323</v>
      </c>
      <c r="AF41" s="776" t="s">
        <v>195</v>
      </c>
      <c r="AG41" s="777"/>
      <c r="AH41" s="777"/>
      <c r="AI41" s="777"/>
      <c r="AJ41" s="778"/>
      <c r="AK41" s="773" t="s">
        <v>170</v>
      </c>
    </row>
    <row r="42" spans="2:37" ht="15" customHeight="1">
      <c r="B42" s="811"/>
      <c r="C42" s="780" t="s">
        <v>461</v>
      </c>
      <c r="D42" s="780" t="s">
        <v>427</v>
      </c>
      <c r="E42" s="780" t="s">
        <v>280</v>
      </c>
      <c r="F42" s="780" t="s">
        <v>135</v>
      </c>
      <c r="G42" s="782" t="s">
        <v>462</v>
      </c>
      <c r="H42" s="780" t="str">
        <f>D3&amp;"밀도"</f>
        <v>0밀도</v>
      </c>
      <c r="I42" s="780" t="s">
        <v>331</v>
      </c>
      <c r="J42" s="784" t="s">
        <v>138</v>
      </c>
      <c r="K42" s="773" t="s">
        <v>171</v>
      </c>
      <c r="L42" s="773" t="s">
        <v>172</v>
      </c>
      <c r="M42" s="773" t="s">
        <v>174</v>
      </c>
      <c r="N42" s="773" t="s">
        <v>173</v>
      </c>
      <c r="O42" s="767" t="s">
        <v>547</v>
      </c>
      <c r="P42" s="768"/>
      <c r="Q42" s="767" t="str">
        <f>H42</f>
        <v>0밀도</v>
      </c>
      <c r="R42" s="768"/>
      <c r="S42" s="767" t="s">
        <v>331</v>
      </c>
      <c r="T42" s="768"/>
      <c r="U42" s="773" t="s">
        <v>337</v>
      </c>
      <c r="V42" s="773" t="s">
        <v>338</v>
      </c>
      <c r="W42" s="773" t="s">
        <v>138</v>
      </c>
      <c r="X42" s="773" t="s">
        <v>175</v>
      </c>
      <c r="Y42" s="773" t="s">
        <v>463</v>
      </c>
      <c r="Z42" s="773" t="s">
        <v>464</v>
      </c>
      <c r="AA42" s="773" t="s">
        <v>176</v>
      </c>
      <c r="AB42" s="773" t="s">
        <v>197</v>
      </c>
      <c r="AC42" s="774"/>
      <c r="AD42" s="774"/>
      <c r="AE42" s="774"/>
      <c r="AF42" s="771" t="s">
        <v>177</v>
      </c>
      <c r="AG42" s="771" t="s">
        <v>465</v>
      </c>
      <c r="AH42" s="771" t="s">
        <v>178</v>
      </c>
      <c r="AI42" s="771" t="s">
        <v>466</v>
      </c>
      <c r="AJ42" s="771" t="s">
        <v>345</v>
      </c>
      <c r="AK42" s="774"/>
    </row>
    <row r="43" spans="2:37" ht="15" customHeight="1">
      <c r="B43" s="811"/>
      <c r="C43" s="781"/>
      <c r="D43" s="781"/>
      <c r="E43" s="781"/>
      <c r="F43" s="781"/>
      <c r="G43" s="783"/>
      <c r="H43" s="781"/>
      <c r="I43" s="781"/>
      <c r="J43" s="785"/>
      <c r="K43" s="775"/>
      <c r="L43" s="775"/>
      <c r="M43" s="775"/>
      <c r="N43" s="775"/>
      <c r="O43" s="268" t="s">
        <v>540</v>
      </c>
      <c r="P43" s="268" t="s">
        <v>539</v>
      </c>
      <c r="Q43" s="268" t="s">
        <v>540</v>
      </c>
      <c r="R43" s="268" t="s">
        <v>539</v>
      </c>
      <c r="S43" s="268" t="s">
        <v>540</v>
      </c>
      <c r="T43" s="268" t="s">
        <v>539</v>
      </c>
      <c r="U43" s="775"/>
      <c r="V43" s="775"/>
      <c r="W43" s="775"/>
      <c r="X43" s="775"/>
      <c r="Y43" s="775"/>
      <c r="Z43" s="775"/>
      <c r="AA43" s="775"/>
      <c r="AB43" s="775"/>
      <c r="AC43" s="775"/>
      <c r="AD43" s="775"/>
      <c r="AE43" s="775"/>
      <c r="AF43" s="772"/>
      <c r="AG43" s="772"/>
      <c r="AH43" s="772"/>
      <c r="AI43" s="772"/>
      <c r="AJ43" s="772"/>
      <c r="AK43" s="774"/>
    </row>
    <row r="44" spans="2:37" ht="15" customHeight="1">
      <c r="B44" s="812"/>
      <c r="C44" s="313">
        <f>F8</f>
        <v>0</v>
      </c>
      <c r="D44" s="313">
        <f>G8</f>
        <v>0</v>
      </c>
      <c r="E44" s="313">
        <f>H8</f>
        <v>0</v>
      </c>
      <c r="F44" s="313">
        <f>I8</f>
        <v>0</v>
      </c>
      <c r="G44" s="300">
        <f>E44</f>
        <v>0</v>
      </c>
      <c r="H44" s="300" t="str">
        <f>E8</f>
        <v>kg/㎥</v>
      </c>
      <c r="I44" s="300" t="s">
        <v>467</v>
      </c>
      <c r="J44" s="300">
        <f>M8</f>
        <v>0</v>
      </c>
      <c r="K44" s="300">
        <f>W8</f>
        <v>0</v>
      </c>
      <c r="L44" s="300">
        <f>K44</f>
        <v>0</v>
      </c>
      <c r="M44" s="300">
        <f>N44</f>
        <v>0</v>
      </c>
      <c r="N44" s="300">
        <f>L44</f>
        <v>0</v>
      </c>
      <c r="O44" s="346" t="s">
        <v>542</v>
      </c>
      <c r="P44" s="346" t="s">
        <v>550</v>
      </c>
      <c r="Q44" s="346" t="s">
        <v>543</v>
      </c>
      <c r="R44" s="346" t="str">
        <f>H44</f>
        <v>kg/㎥</v>
      </c>
      <c r="S44" s="346" t="s">
        <v>548</v>
      </c>
      <c r="T44" s="346" t="s">
        <v>545</v>
      </c>
      <c r="U44" s="343" t="s">
        <v>546</v>
      </c>
      <c r="V44" s="343"/>
      <c r="W44" s="300" t="str">
        <f>U44</f>
        <v>m</v>
      </c>
      <c r="X44" s="300" t="str">
        <f>W44</f>
        <v>m</v>
      </c>
      <c r="Y44" s="300" t="str">
        <f t="shared" ref="Y44:AA44" si="30">X44</f>
        <v>m</v>
      </c>
      <c r="Z44" s="300" t="str">
        <f t="shared" si="30"/>
        <v>m</v>
      </c>
      <c r="AA44" s="300" t="str">
        <f t="shared" si="30"/>
        <v>m</v>
      </c>
      <c r="AB44" s="300"/>
      <c r="AC44" s="300" t="str">
        <f>AA44</f>
        <v>m</v>
      </c>
      <c r="AD44" s="329"/>
      <c r="AE44" s="329"/>
      <c r="AF44" s="300" t="str">
        <f>AC44</f>
        <v>m</v>
      </c>
      <c r="AG44" s="300" t="str">
        <f>AJ44</f>
        <v>m</v>
      </c>
      <c r="AH44" s="300" t="str">
        <f>AG44</f>
        <v>m</v>
      </c>
      <c r="AI44" s="300"/>
      <c r="AJ44" s="300" t="str">
        <f>AF44</f>
        <v>m</v>
      </c>
      <c r="AK44" s="775"/>
    </row>
    <row r="45" spans="2:37" ht="15" customHeight="1">
      <c r="B45" s="171">
        <f t="shared" ref="B45:B59" si="31">D9</f>
        <v>1</v>
      </c>
      <c r="C45" s="171" t="str">
        <f t="shared" ref="C45:C59" si="32">IF($Q9=FALSE,"",F9)</f>
        <v/>
      </c>
      <c r="D45" s="224" t="str">
        <f t="shared" ref="D45:D59" si="33">IF($Q9=FALSE,"",G9)</f>
        <v/>
      </c>
      <c r="E45" s="224" t="str">
        <f t="shared" ref="E45:E59" si="34">IF($Q9=FALSE,"",H9)</f>
        <v/>
      </c>
      <c r="F45" s="224" t="str">
        <f t="shared" ref="F45:F59" si="35">IF($Q9=FALSE,"",I9)</f>
        <v/>
      </c>
      <c r="G45" s="171" t="str">
        <f>IF($Q9=FALSE,"",표준압력!L18)</f>
        <v/>
      </c>
      <c r="H45" s="224" t="str">
        <f>IF($Q9=FALSE,"",IF(D3="해수",표준압력!AD18,표준압력!AK18))</f>
        <v/>
      </c>
      <c r="I45" s="309" t="str">
        <f t="shared" ref="I45:I59" si="36">IF($Q9=FALSE,"",E$3*0.08%)</f>
        <v/>
      </c>
      <c r="J45" s="171" t="str">
        <f t="shared" ref="J45:J59" si="37">IF($Q9=FALSE,"",G$3)</f>
        <v/>
      </c>
      <c r="K45" s="171" t="str">
        <f t="shared" ref="K45:K59" si="38">IF($Q9=FALSE,"",ROUND(AVERAGE(W9,W24),H$3))</f>
        <v/>
      </c>
      <c r="L45" s="171" t="str">
        <f t="shared" ref="L45:L59" si="39">IF($Q9=FALSE,"",ROUND(F45,H$3)-K45)</f>
        <v/>
      </c>
      <c r="M45" s="286" t="str">
        <f t="shared" ref="M45:M59" si="40">IF($Q9=FALSE,"",MAX(AA9,AA24))</f>
        <v/>
      </c>
      <c r="N45" s="224" t="str">
        <f t="shared" ref="N45:N59" si="41">IF($Q9=FALSE,"",MAX(ABS(T24-T9),ABS(U24-U9),ABS(V24-V9)))</f>
        <v/>
      </c>
      <c r="O45" s="171" t="str">
        <f>IF($Q9=FALSE,"",1/(E9*E$3))</f>
        <v/>
      </c>
      <c r="P45" s="171" t="str">
        <f>IF($Q9=FALSE,"",(G45*J$3)/2)</f>
        <v/>
      </c>
      <c r="Q45" s="286" t="str">
        <f>IF($Q9=FALSE,"",(E45*J$3)/(E9^2*E$3))</f>
        <v/>
      </c>
      <c r="R45" s="286" t="str">
        <f>IF($Q9=FALSE,"",H45/SQRT(3))</f>
        <v/>
      </c>
      <c r="S45" s="286" t="str">
        <f>IF($Q9=FALSE,"",(E45*J$3)/(E9*E$3^2))</f>
        <v/>
      </c>
      <c r="T45" s="286" t="str">
        <f>IF($Q9=FALSE,"",I45/SQRT(3))</f>
        <v/>
      </c>
      <c r="U45" s="286" t="str">
        <f>IF($Q9=FALSE,"",SQRT(SUMSQ(O45*P45,Q45*R45,S45*T45)))</f>
        <v/>
      </c>
      <c r="V45" s="171" t="str">
        <f>IF($Q9=FALSE,"",IF(AND(Q45=0,S45=0),"∞",ROUNDDOWN(U45^4/SUM(IF(Q45=0,0,(Q45*R45)^4/12.5),IF(S45=0,0,(S45*T45)^4/12.5)),0)))</f>
        <v/>
      </c>
      <c r="W45" s="286" t="str">
        <f t="shared" ref="W45:W59" si="42">IF($Q9=FALSE,"",J45/2/SQRT(3))</f>
        <v/>
      </c>
      <c r="X45" s="286" t="str">
        <f t="shared" ref="X45:X59" si="43">IF($Q9=FALSE,"",MAX(ABS(T$24-T$9),ABS(U$24-U$9),ABS(V$24-V$9))/2/SQRT(3))</f>
        <v/>
      </c>
      <c r="Y45" s="286" t="str">
        <f>IF($Q9=FALSE,"",MAX(M$45:M$59)/2/SQRT(3))</f>
        <v/>
      </c>
      <c r="Z45" s="286" t="str">
        <f t="shared" ref="Z45:Z59" si="44">IF($Q9=FALSE,"",N45/2/SQRT(3))</f>
        <v/>
      </c>
      <c r="AA45" s="286" t="str">
        <f t="shared" ref="AA45:AA59" si="45">IF($Q9=FALSE,"",SQRT(SUMSQ(W45:Z45)))</f>
        <v/>
      </c>
      <c r="AB45" s="171" t="str">
        <f t="shared" ref="AB45:AB59" si="46">IF($Q9=FALSE,"",IF(AND(X45=0,Y45=0,Z45=0),"∞",ROUNDDOWN(AA45^4/SUM(IF(X45=0,0,X45^4/12.5),IF(Y45=0,0,Y45^4/12.5),IF(Z45=0,0,Z45^4/2)),0)))</f>
        <v/>
      </c>
      <c r="AC45" s="286" t="str">
        <f t="shared" ref="AC45:AC59" si="47">IF($Q9=FALSE,"",SQRT(SUMSQ(U45,AA45)))</f>
        <v/>
      </c>
      <c r="AD45" s="171" t="str">
        <f t="shared" ref="AD45:AD59" si="48">IF($Q9=FALSE,"",IF(AND(V45="∞",AB45="∞"),"∞",ROUNDDOWN(AC45^4/SUM(IF(V45="∞",0,U45^4/V45),IF(AB45="∞",0,AA45^4/AB45)),0)))</f>
        <v/>
      </c>
      <c r="AE45" s="171" t="str">
        <f t="shared" ref="AE45:AE59" ca="1" si="49">IF($Q9=FALSE,"",IF(AD45&gt;9,2,OFFSET(Z$63,MATCH(AD45,Y$64:Y$73,0),0)))</f>
        <v/>
      </c>
      <c r="AF45" s="286" t="str">
        <f t="shared" ref="AF45:AF59" si="50">IF($Q9=FALSE,"",MAX(AE$45:AE$59)*AC45)</f>
        <v/>
      </c>
      <c r="AG45" s="310" t="str">
        <f>IF($Q9=FALSE,"",Pressure_3_R1!G4*D45)</f>
        <v/>
      </c>
      <c r="AH45" s="310" t="str">
        <f t="shared" ref="AH45:AH59" si="51">IF($Q9=FALSE,"",MAX(AF45:AG45))</f>
        <v/>
      </c>
      <c r="AI45" s="306" t="str">
        <f t="shared" ref="AI45:AI59" si="52">IF($Q9=FALSE,"",IF(((AH45-ROUND(AH45,N$64))/AH45*100)&gt;=5,TRUE,FALSE))</f>
        <v/>
      </c>
      <c r="AJ45" s="306" t="str">
        <f t="shared" ref="AJ45:AJ59" si="53">IF($Q9=FALSE,"",IF(ROUND(AH45,N$64)=0,ROUNDUP(AH45,N$64),IF(AI45=TRUE,ROUNDUP(AH45,N$64),ROUND(AH45,N$64))))</f>
        <v/>
      </c>
      <c r="AK45" s="311" t="str">
        <f t="shared" ref="AK45:AK59" si="54">IF($Q9=FALSE,"",IF(AF45=AH45,0,1))</f>
        <v/>
      </c>
    </row>
    <row r="46" spans="2:37" ht="15" customHeight="1">
      <c r="B46" s="171">
        <f t="shared" si="31"/>
        <v>2</v>
      </c>
      <c r="C46" s="171" t="str">
        <f t="shared" si="32"/>
        <v/>
      </c>
      <c r="D46" s="224" t="str">
        <f t="shared" si="33"/>
        <v/>
      </c>
      <c r="E46" s="224" t="str">
        <f t="shared" si="34"/>
        <v/>
      </c>
      <c r="F46" s="224" t="str">
        <f t="shared" si="35"/>
        <v/>
      </c>
      <c r="G46" s="171" t="str">
        <f>IF($Q10=FALSE,"",표준압력!L19)</f>
        <v/>
      </c>
      <c r="H46" s="224" t="str">
        <f>IF($Q10=FALSE,"",IF(D4="해수",표준압력!AD19,표준압력!AK19))</f>
        <v/>
      </c>
      <c r="I46" s="309" t="str">
        <f t="shared" si="36"/>
        <v/>
      </c>
      <c r="J46" s="171" t="str">
        <f t="shared" si="37"/>
        <v/>
      </c>
      <c r="K46" s="171" t="str">
        <f t="shared" si="38"/>
        <v/>
      </c>
      <c r="L46" s="171" t="str">
        <f t="shared" si="39"/>
        <v/>
      </c>
      <c r="M46" s="286" t="str">
        <f t="shared" si="40"/>
        <v/>
      </c>
      <c r="N46" s="224" t="str">
        <f t="shared" si="41"/>
        <v/>
      </c>
      <c r="O46" s="171" t="str">
        <f t="shared" ref="O46:O59" si="55">IF($Q10=FALSE,"",1/(E10*E$3))</f>
        <v/>
      </c>
      <c r="P46" s="171" t="str">
        <f t="shared" ref="P46:P59" si="56">IF($Q10=FALSE,"",(G46*J$3)/2)</f>
        <v/>
      </c>
      <c r="Q46" s="286" t="str">
        <f t="shared" ref="Q46:Q59" si="57">IF($Q10=FALSE,"",(E46*J$3)/(E10^2*E$3))</f>
        <v/>
      </c>
      <c r="R46" s="286" t="str">
        <f t="shared" ref="R46:R59" si="58">IF($Q10=FALSE,"",H46/SQRT(3))</f>
        <v/>
      </c>
      <c r="S46" s="286" t="str">
        <f t="shared" ref="S46:S59" si="59">IF($Q10=FALSE,"",(E46*J$3)/(E10*E$3^2))</f>
        <v/>
      </c>
      <c r="T46" s="286" t="str">
        <f t="shared" ref="T46:T59" si="60">IF($Q10=FALSE,"",I46/SQRT(3))</f>
        <v/>
      </c>
      <c r="U46" s="286" t="str">
        <f t="shared" ref="U46:U59" si="61">IF($Q10=FALSE,"",SQRT(SUMSQ(O46*P46,Q46*R46,S46*T46)))</f>
        <v/>
      </c>
      <c r="V46" s="171" t="str">
        <f t="shared" ref="V46:V59" si="62">IF($Q10=FALSE,"",IF(AND(Q46=0,S46=0),"∞",ROUNDDOWN(U46^4/SUM(IF(Q46=0,0,(Q46*R46)^4/12.5),IF(S46=0,0,(S46*T46)^4/12.5)),0)))</f>
        <v/>
      </c>
      <c r="W46" s="286" t="str">
        <f t="shared" si="42"/>
        <v/>
      </c>
      <c r="X46" s="286" t="str">
        <f t="shared" si="43"/>
        <v/>
      </c>
      <c r="Y46" s="286" t="str">
        <f t="shared" ref="Y46:Y59" si="63">IF($Q10=FALSE,"",MAX(M$45:M$59)/2/SQRT(3))</f>
        <v/>
      </c>
      <c r="Z46" s="286" t="str">
        <f t="shared" si="44"/>
        <v/>
      </c>
      <c r="AA46" s="286" t="str">
        <f t="shared" si="45"/>
        <v/>
      </c>
      <c r="AB46" s="171" t="str">
        <f t="shared" si="46"/>
        <v/>
      </c>
      <c r="AC46" s="286" t="str">
        <f t="shared" si="47"/>
        <v/>
      </c>
      <c r="AD46" s="171" t="str">
        <f t="shared" si="48"/>
        <v/>
      </c>
      <c r="AE46" s="171" t="str">
        <f t="shared" ca="1" si="49"/>
        <v/>
      </c>
      <c r="AF46" s="286" t="str">
        <f t="shared" si="50"/>
        <v/>
      </c>
      <c r="AG46" s="310" t="str">
        <f>IF($Q10=FALSE,"",Pressure_3_R1!G5*D46)</f>
        <v/>
      </c>
      <c r="AH46" s="310" t="str">
        <f t="shared" si="51"/>
        <v/>
      </c>
      <c r="AI46" s="306" t="str">
        <f t="shared" si="52"/>
        <v/>
      </c>
      <c r="AJ46" s="306" t="str">
        <f t="shared" si="53"/>
        <v/>
      </c>
      <c r="AK46" s="311" t="str">
        <f t="shared" si="54"/>
        <v/>
      </c>
    </row>
    <row r="47" spans="2:37" ht="15" customHeight="1">
      <c r="B47" s="171">
        <f t="shared" si="31"/>
        <v>3</v>
      </c>
      <c r="C47" s="171" t="str">
        <f t="shared" si="32"/>
        <v/>
      </c>
      <c r="D47" s="224" t="str">
        <f t="shared" si="33"/>
        <v/>
      </c>
      <c r="E47" s="224" t="str">
        <f t="shared" si="34"/>
        <v/>
      </c>
      <c r="F47" s="224" t="str">
        <f t="shared" si="35"/>
        <v/>
      </c>
      <c r="G47" s="171" t="str">
        <f>IF($Q11=FALSE,"",표준압력!L20)</f>
        <v/>
      </c>
      <c r="H47" s="224" t="str">
        <f>IF($Q11=FALSE,"",IF(D5="해수",표준압력!AD20,표준압력!AK20))</f>
        <v/>
      </c>
      <c r="I47" s="309" t="str">
        <f t="shared" si="36"/>
        <v/>
      </c>
      <c r="J47" s="171" t="str">
        <f t="shared" si="37"/>
        <v/>
      </c>
      <c r="K47" s="171" t="str">
        <f t="shared" si="38"/>
        <v/>
      </c>
      <c r="L47" s="171" t="str">
        <f t="shared" si="39"/>
        <v/>
      </c>
      <c r="M47" s="286" t="str">
        <f t="shared" si="40"/>
        <v/>
      </c>
      <c r="N47" s="224" t="str">
        <f t="shared" si="41"/>
        <v/>
      </c>
      <c r="O47" s="171" t="str">
        <f t="shared" si="55"/>
        <v/>
      </c>
      <c r="P47" s="171" t="str">
        <f t="shared" si="56"/>
        <v/>
      </c>
      <c r="Q47" s="286" t="str">
        <f t="shared" si="57"/>
        <v/>
      </c>
      <c r="R47" s="286" t="str">
        <f t="shared" si="58"/>
        <v/>
      </c>
      <c r="S47" s="286" t="str">
        <f t="shared" si="59"/>
        <v/>
      </c>
      <c r="T47" s="286" t="str">
        <f t="shared" si="60"/>
        <v/>
      </c>
      <c r="U47" s="286" t="str">
        <f t="shared" si="61"/>
        <v/>
      </c>
      <c r="V47" s="171" t="str">
        <f t="shared" si="62"/>
        <v/>
      </c>
      <c r="W47" s="286" t="str">
        <f t="shared" si="42"/>
        <v/>
      </c>
      <c r="X47" s="286" t="str">
        <f t="shared" si="43"/>
        <v/>
      </c>
      <c r="Y47" s="286" t="str">
        <f t="shared" si="63"/>
        <v/>
      </c>
      <c r="Z47" s="286" t="str">
        <f t="shared" si="44"/>
        <v/>
      </c>
      <c r="AA47" s="286" t="str">
        <f t="shared" si="45"/>
        <v/>
      </c>
      <c r="AB47" s="171" t="str">
        <f t="shared" si="46"/>
        <v/>
      </c>
      <c r="AC47" s="286" t="str">
        <f t="shared" si="47"/>
        <v/>
      </c>
      <c r="AD47" s="171" t="str">
        <f t="shared" si="48"/>
        <v/>
      </c>
      <c r="AE47" s="171" t="str">
        <f t="shared" ca="1" si="49"/>
        <v/>
      </c>
      <c r="AF47" s="286" t="str">
        <f t="shared" si="50"/>
        <v/>
      </c>
      <c r="AG47" s="310" t="str">
        <f>IF($Q11=FALSE,"",Pressure_3_R1!G6*D47)</f>
        <v/>
      </c>
      <c r="AH47" s="310" t="str">
        <f t="shared" si="51"/>
        <v/>
      </c>
      <c r="AI47" s="306" t="str">
        <f t="shared" si="52"/>
        <v/>
      </c>
      <c r="AJ47" s="306" t="str">
        <f t="shared" si="53"/>
        <v/>
      </c>
      <c r="AK47" s="311" t="str">
        <f t="shared" si="54"/>
        <v/>
      </c>
    </row>
    <row r="48" spans="2:37" ht="15" customHeight="1">
      <c r="B48" s="171">
        <f t="shared" si="31"/>
        <v>4</v>
      </c>
      <c r="C48" s="171" t="str">
        <f t="shared" si="32"/>
        <v/>
      </c>
      <c r="D48" s="224" t="str">
        <f t="shared" si="33"/>
        <v/>
      </c>
      <c r="E48" s="224" t="str">
        <f t="shared" si="34"/>
        <v/>
      </c>
      <c r="F48" s="224" t="str">
        <f t="shared" si="35"/>
        <v/>
      </c>
      <c r="G48" s="171" t="str">
        <f>IF($Q12=FALSE,"",표준압력!L21)</f>
        <v/>
      </c>
      <c r="H48" s="224" t="str">
        <f>IF($Q12=FALSE,"",IF(D6="해수",표준압력!AD21,표준압력!AK21))</f>
        <v/>
      </c>
      <c r="I48" s="309" t="str">
        <f t="shared" si="36"/>
        <v/>
      </c>
      <c r="J48" s="171" t="str">
        <f t="shared" si="37"/>
        <v/>
      </c>
      <c r="K48" s="171" t="str">
        <f t="shared" si="38"/>
        <v/>
      </c>
      <c r="L48" s="171" t="str">
        <f t="shared" si="39"/>
        <v/>
      </c>
      <c r="M48" s="286" t="str">
        <f t="shared" si="40"/>
        <v/>
      </c>
      <c r="N48" s="224" t="str">
        <f t="shared" si="41"/>
        <v/>
      </c>
      <c r="O48" s="171" t="str">
        <f t="shared" si="55"/>
        <v/>
      </c>
      <c r="P48" s="171" t="str">
        <f t="shared" si="56"/>
        <v/>
      </c>
      <c r="Q48" s="286" t="str">
        <f t="shared" si="57"/>
        <v/>
      </c>
      <c r="R48" s="286" t="str">
        <f t="shared" si="58"/>
        <v/>
      </c>
      <c r="S48" s="286" t="str">
        <f t="shared" si="59"/>
        <v/>
      </c>
      <c r="T48" s="286" t="str">
        <f t="shared" si="60"/>
        <v/>
      </c>
      <c r="U48" s="286" t="str">
        <f t="shared" si="61"/>
        <v/>
      </c>
      <c r="V48" s="171" t="str">
        <f t="shared" si="62"/>
        <v/>
      </c>
      <c r="W48" s="286" t="str">
        <f t="shared" si="42"/>
        <v/>
      </c>
      <c r="X48" s="286" t="str">
        <f t="shared" si="43"/>
        <v/>
      </c>
      <c r="Y48" s="286" t="str">
        <f t="shared" si="63"/>
        <v/>
      </c>
      <c r="Z48" s="286" t="str">
        <f t="shared" si="44"/>
        <v/>
      </c>
      <c r="AA48" s="286" t="str">
        <f t="shared" si="45"/>
        <v/>
      </c>
      <c r="AB48" s="171" t="str">
        <f t="shared" si="46"/>
        <v/>
      </c>
      <c r="AC48" s="286" t="str">
        <f t="shared" si="47"/>
        <v/>
      </c>
      <c r="AD48" s="171" t="str">
        <f t="shared" si="48"/>
        <v/>
      </c>
      <c r="AE48" s="171" t="str">
        <f t="shared" ca="1" si="49"/>
        <v/>
      </c>
      <c r="AF48" s="286" t="str">
        <f t="shared" si="50"/>
        <v/>
      </c>
      <c r="AG48" s="310" t="str">
        <f>IF($Q12=FALSE,"",Pressure_3_R1!G7*D48)</f>
        <v/>
      </c>
      <c r="AH48" s="310" t="str">
        <f t="shared" si="51"/>
        <v/>
      </c>
      <c r="AI48" s="306" t="str">
        <f t="shared" si="52"/>
        <v/>
      </c>
      <c r="AJ48" s="306" t="str">
        <f t="shared" si="53"/>
        <v/>
      </c>
      <c r="AK48" s="311" t="str">
        <f t="shared" si="54"/>
        <v/>
      </c>
    </row>
    <row r="49" spans="2:37" ht="15" customHeight="1">
      <c r="B49" s="171">
        <f t="shared" si="31"/>
        <v>5</v>
      </c>
      <c r="C49" s="171" t="str">
        <f t="shared" si="32"/>
        <v/>
      </c>
      <c r="D49" s="224" t="str">
        <f t="shared" si="33"/>
        <v/>
      </c>
      <c r="E49" s="224" t="str">
        <f t="shared" si="34"/>
        <v/>
      </c>
      <c r="F49" s="224" t="str">
        <f t="shared" si="35"/>
        <v/>
      </c>
      <c r="G49" s="171" t="str">
        <f>IF($Q13=FALSE,"",표준압력!L22)</f>
        <v/>
      </c>
      <c r="H49" s="224" t="str">
        <f>IF($Q13=FALSE,"",IF(D7="해수",표준압력!AD22,표준압력!AK22))</f>
        <v/>
      </c>
      <c r="I49" s="309" t="str">
        <f t="shared" si="36"/>
        <v/>
      </c>
      <c r="J49" s="171" t="str">
        <f t="shared" si="37"/>
        <v/>
      </c>
      <c r="K49" s="171" t="str">
        <f t="shared" si="38"/>
        <v/>
      </c>
      <c r="L49" s="171" t="str">
        <f t="shared" si="39"/>
        <v/>
      </c>
      <c r="M49" s="286" t="str">
        <f t="shared" si="40"/>
        <v/>
      </c>
      <c r="N49" s="224" t="str">
        <f t="shared" si="41"/>
        <v/>
      </c>
      <c r="O49" s="171" t="str">
        <f t="shared" si="55"/>
        <v/>
      </c>
      <c r="P49" s="171" t="str">
        <f t="shared" si="56"/>
        <v/>
      </c>
      <c r="Q49" s="286" t="str">
        <f t="shared" si="57"/>
        <v/>
      </c>
      <c r="R49" s="286" t="str">
        <f t="shared" si="58"/>
        <v/>
      </c>
      <c r="S49" s="286" t="str">
        <f t="shared" si="59"/>
        <v/>
      </c>
      <c r="T49" s="286" t="str">
        <f t="shared" si="60"/>
        <v/>
      </c>
      <c r="U49" s="286" t="str">
        <f t="shared" si="61"/>
        <v/>
      </c>
      <c r="V49" s="171" t="str">
        <f t="shared" si="62"/>
        <v/>
      </c>
      <c r="W49" s="286" t="str">
        <f t="shared" si="42"/>
        <v/>
      </c>
      <c r="X49" s="286" t="str">
        <f t="shared" si="43"/>
        <v/>
      </c>
      <c r="Y49" s="286" t="str">
        <f t="shared" si="63"/>
        <v/>
      </c>
      <c r="Z49" s="286" t="str">
        <f t="shared" si="44"/>
        <v/>
      </c>
      <c r="AA49" s="286" t="str">
        <f t="shared" si="45"/>
        <v/>
      </c>
      <c r="AB49" s="171" t="str">
        <f t="shared" si="46"/>
        <v/>
      </c>
      <c r="AC49" s="286" t="str">
        <f t="shared" si="47"/>
        <v/>
      </c>
      <c r="AD49" s="171" t="str">
        <f t="shared" si="48"/>
        <v/>
      </c>
      <c r="AE49" s="171" t="str">
        <f t="shared" ca="1" si="49"/>
        <v/>
      </c>
      <c r="AF49" s="286" t="str">
        <f t="shared" si="50"/>
        <v/>
      </c>
      <c r="AG49" s="310" t="str">
        <f>IF($Q13=FALSE,"",Pressure_3_R1!G8*D49)</f>
        <v/>
      </c>
      <c r="AH49" s="310" t="str">
        <f t="shared" si="51"/>
        <v/>
      </c>
      <c r="AI49" s="306" t="str">
        <f t="shared" si="52"/>
        <v/>
      </c>
      <c r="AJ49" s="306" t="str">
        <f t="shared" si="53"/>
        <v/>
      </c>
      <c r="AK49" s="311" t="str">
        <f t="shared" si="54"/>
        <v/>
      </c>
    </row>
    <row r="50" spans="2:37" ht="15" customHeight="1">
      <c r="B50" s="171">
        <f t="shared" si="31"/>
        <v>6</v>
      </c>
      <c r="C50" s="171" t="str">
        <f t="shared" si="32"/>
        <v/>
      </c>
      <c r="D50" s="224" t="str">
        <f t="shared" si="33"/>
        <v/>
      </c>
      <c r="E50" s="224" t="str">
        <f t="shared" si="34"/>
        <v/>
      </c>
      <c r="F50" s="224" t="str">
        <f t="shared" si="35"/>
        <v/>
      </c>
      <c r="G50" s="171" t="str">
        <f>IF($Q14=FALSE,"",표준압력!L23)</f>
        <v/>
      </c>
      <c r="H50" s="224" t="str">
        <f>IF($Q14=FALSE,"",IF(D8="해수",표준압력!AD23,표준압력!AK23))</f>
        <v/>
      </c>
      <c r="I50" s="309" t="str">
        <f t="shared" si="36"/>
        <v/>
      </c>
      <c r="J50" s="171" t="str">
        <f t="shared" si="37"/>
        <v/>
      </c>
      <c r="K50" s="171" t="str">
        <f t="shared" si="38"/>
        <v/>
      </c>
      <c r="L50" s="171" t="str">
        <f t="shared" si="39"/>
        <v/>
      </c>
      <c r="M50" s="286" t="str">
        <f t="shared" si="40"/>
        <v/>
      </c>
      <c r="N50" s="224" t="str">
        <f t="shared" si="41"/>
        <v/>
      </c>
      <c r="O50" s="171" t="str">
        <f t="shared" si="55"/>
        <v/>
      </c>
      <c r="P50" s="171" t="str">
        <f t="shared" si="56"/>
        <v/>
      </c>
      <c r="Q50" s="286" t="str">
        <f t="shared" si="57"/>
        <v/>
      </c>
      <c r="R50" s="286" t="str">
        <f t="shared" si="58"/>
        <v/>
      </c>
      <c r="S50" s="286" t="str">
        <f t="shared" si="59"/>
        <v/>
      </c>
      <c r="T50" s="286" t="str">
        <f t="shared" si="60"/>
        <v/>
      </c>
      <c r="U50" s="286" t="str">
        <f t="shared" si="61"/>
        <v/>
      </c>
      <c r="V50" s="171" t="str">
        <f t="shared" si="62"/>
        <v/>
      </c>
      <c r="W50" s="286" t="str">
        <f t="shared" si="42"/>
        <v/>
      </c>
      <c r="X50" s="286" t="str">
        <f t="shared" si="43"/>
        <v/>
      </c>
      <c r="Y50" s="286" t="str">
        <f t="shared" si="63"/>
        <v/>
      </c>
      <c r="Z50" s="286" t="str">
        <f t="shared" si="44"/>
        <v/>
      </c>
      <c r="AA50" s="286" t="str">
        <f t="shared" si="45"/>
        <v/>
      </c>
      <c r="AB50" s="171" t="str">
        <f t="shared" si="46"/>
        <v/>
      </c>
      <c r="AC50" s="286" t="str">
        <f t="shared" si="47"/>
        <v/>
      </c>
      <c r="AD50" s="171" t="str">
        <f t="shared" si="48"/>
        <v/>
      </c>
      <c r="AE50" s="171" t="str">
        <f t="shared" ca="1" si="49"/>
        <v/>
      </c>
      <c r="AF50" s="286" t="str">
        <f t="shared" si="50"/>
        <v/>
      </c>
      <c r="AG50" s="310" t="str">
        <f>IF($Q14=FALSE,"",Pressure_3_R1!G9*D50)</f>
        <v/>
      </c>
      <c r="AH50" s="310" t="str">
        <f t="shared" si="51"/>
        <v/>
      </c>
      <c r="AI50" s="306" t="str">
        <f t="shared" si="52"/>
        <v/>
      </c>
      <c r="AJ50" s="306" t="str">
        <f t="shared" si="53"/>
        <v/>
      </c>
      <c r="AK50" s="311" t="str">
        <f t="shared" si="54"/>
        <v/>
      </c>
    </row>
    <row r="51" spans="2:37" ht="15" customHeight="1">
      <c r="B51" s="171">
        <f t="shared" si="31"/>
        <v>7</v>
      </c>
      <c r="C51" s="171" t="str">
        <f t="shared" si="32"/>
        <v/>
      </c>
      <c r="D51" s="224" t="str">
        <f t="shared" si="33"/>
        <v/>
      </c>
      <c r="E51" s="224" t="str">
        <f t="shared" si="34"/>
        <v/>
      </c>
      <c r="F51" s="224" t="str">
        <f t="shared" si="35"/>
        <v/>
      </c>
      <c r="G51" s="171" t="str">
        <f>IF($Q15=FALSE,"",표준압력!L24)</f>
        <v/>
      </c>
      <c r="H51" s="224" t="str">
        <f>IF($Q15=FALSE,"",IF(D9="해수",표준압력!AD24,표준압력!AK24))</f>
        <v/>
      </c>
      <c r="I51" s="309" t="str">
        <f t="shared" si="36"/>
        <v/>
      </c>
      <c r="J51" s="171" t="str">
        <f t="shared" si="37"/>
        <v/>
      </c>
      <c r="K51" s="171" t="str">
        <f t="shared" si="38"/>
        <v/>
      </c>
      <c r="L51" s="171" t="str">
        <f t="shared" si="39"/>
        <v/>
      </c>
      <c r="M51" s="286" t="str">
        <f t="shared" si="40"/>
        <v/>
      </c>
      <c r="N51" s="224" t="str">
        <f t="shared" si="41"/>
        <v/>
      </c>
      <c r="O51" s="171" t="str">
        <f t="shared" si="55"/>
        <v/>
      </c>
      <c r="P51" s="171" t="str">
        <f t="shared" si="56"/>
        <v/>
      </c>
      <c r="Q51" s="286" t="str">
        <f t="shared" si="57"/>
        <v/>
      </c>
      <c r="R51" s="286" t="str">
        <f t="shared" si="58"/>
        <v/>
      </c>
      <c r="S51" s="286" t="str">
        <f t="shared" si="59"/>
        <v/>
      </c>
      <c r="T51" s="286" t="str">
        <f t="shared" si="60"/>
        <v/>
      </c>
      <c r="U51" s="286" t="str">
        <f t="shared" si="61"/>
        <v/>
      </c>
      <c r="V51" s="171" t="str">
        <f t="shared" si="62"/>
        <v/>
      </c>
      <c r="W51" s="286" t="str">
        <f t="shared" si="42"/>
        <v/>
      </c>
      <c r="X51" s="286" t="str">
        <f t="shared" si="43"/>
        <v/>
      </c>
      <c r="Y51" s="286" t="str">
        <f t="shared" si="63"/>
        <v/>
      </c>
      <c r="Z51" s="286" t="str">
        <f t="shared" si="44"/>
        <v/>
      </c>
      <c r="AA51" s="286" t="str">
        <f t="shared" si="45"/>
        <v/>
      </c>
      <c r="AB51" s="171" t="str">
        <f t="shared" si="46"/>
        <v/>
      </c>
      <c r="AC51" s="286" t="str">
        <f t="shared" si="47"/>
        <v/>
      </c>
      <c r="AD51" s="171" t="str">
        <f t="shared" si="48"/>
        <v/>
      </c>
      <c r="AE51" s="171" t="str">
        <f t="shared" ca="1" si="49"/>
        <v/>
      </c>
      <c r="AF51" s="286" t="str">
        <f t="shared" si="50"/>
        <v/>
      </c>
      <c r="AG51" s="310" t="str">
        <f>IF($Q15=FALSE,"",Pressure_3_R1!G10*D51)</f>
        <v/>
      </c>
      <c r="AH51" s="310" t="str">
        <f t="shared" si="51"/>
        <v/>
      </c>
      <c r="AI51" s="306" t="str">
        <f t="shared" si="52"/>
        <v/>
      </c>
      <c r="AJ51" s="306" t="str">
        <f t="shared" si="53"/>
        <v/>
      </c>
      <c r="AK51" s="311" t="str">
        <f t="shared" si="54"/>
        <v/>
      </c>
    </row>
    <row r="52" spans="2:37" ht="15" customHeight="1">
      <c r="B52" s="171">
        <f t="shared" si="31"/>
        <v>8</v>
      </c>
      <c r="C52" s="171" t="str">
        <f t="shared" si="32"/>
        <v/>
      </c>
      <c r="D52" s="224" t="str">
        <f t="shared" si="33"/>
        <v/>
      </c>
      <c r="E52" s="224" t="str">
        <f t="shared" si="34"/>
        <v/>
      </c>
      <c r="F52" s="224" t="str">
        <f t="shared" si="35"/>
        <v/>
      </c>
      <c r="G52" s="171" t="str">
        <f>IF($Q16=FALSE,"",표준압력!L25)</f>
        <v/>
      </c>
      <c r="H52" s="224" t="str">
        <f>IF($Q16=FALSE,"",IF(D10="해수",표준압력!AD25,표준압력!AK25))</f>
        <v/>
      </c>
      <c r="I52" s="309" t="str">
        <f t="shared" si="36"/>
        <v/>
      </c>
      <c r="J52" s="171" t="str">
        <f t="shared" si="37"/>
        <v/>
      </c>
      <c r="K52" s="171" t="str">
        <f t="shared" si="38"/>
        <v/>
      </c>
      <c r="L52" s="171" t="str">
        <f t="shared" si="39"/>
        <v/>
      </c>
      <c r="M52" s="286" t="str">
        <f t="shared" si="40"/>
        <v/>
      </c>
      <c r="N52" s="224" t="str">
        <f t="shared" si="41"/>
        <v/>
      </c>
      <c r="O52" s="171" t="str">
        <f t="shared" si="55"/>
        <v/>
      </c>
      <c r="P52" s="171" t="str">
        <f t="shared" si="56"/>
        <v/>
      </c>
      <c r="Q52" s="286" t="str">
        <f t="shared" si="57"/>
        <v/>
      </c>
      <c r="R52" s="286" t="str">
        <f t="shared" si="58"/>
        <v/>
      </c>
      <c r="S52" s="286" t="str">
        <f t="shared" si="59"/>
        <v/>
      </c>
      <c r="T52" s="286" t="str">
        <f t="shared" si="60"/>
        <v/>
      </c>
      <c r="U52" s="286" t="str">
        <f t="shared" si="61"/>
        <v/>
      </c>
      <c r="V52" s="171" t="str">
        <f t="shared" si="62"/>
        <v/>
      </c>
      <c r="W52" s="286" t="str">
        <f t="shared" si="42"/>
        <v/>
      </c>
      <c r="X52" s="286" t="str">
        <f t="shared" si="43"/>
        <v/>
      </c>
      <c r="Y52" s="286" t="str">
        <f t="shared" si="63"/>
        <v/>
      </c>
      <c r="Z52" s="286" t="str">
        <f t="shared" si="44"/>
        <v/>
      </c>
      <c r="AA52" s="286" t="str">
        <f t="shared" si="45"/>
        <v/>
      </c>
      <c r="AB52" s="171" t="str">
        <f t="shared" si="46"/>
        <v/>
      </c>
      <c r="AC52" s="286" t="str">
        <f t="shared" si="47"/>
        <v/>
      </c>
      <c r="AD52" s="171" t="str">
        <f t="shared" si="48"/>
        <v/>
      </c>
      <c r="AE52" s="171" t="str">
        <f t="shared" ca="1" si="49"/>
        <v/>
      </c>
      <c r="AF52" s="286" t="str">
        <f t="shared" si="50"/>
        <v/>
      </c>
      <c r="AG52" s="310" t="str">
        <f>IF($Q16=FALSE,"",Pressure_3_R1!G11*D52)</f>
        <v/>
      </c>
      <c r="AH52" s="310" t="str">
        <f t="shared" si="51"/>
        <v/>
      </c>
      <c r="AI52" s="306" t="str">
        <f t="shared" si="52"/>
        <v/>
      </c>
      <c r="AJ52" s="306" t="str">
        <f t="shared" si="53"/>
        <v/>
      </c>
      <c r="AK52" s="311" t="str">
        <f t="shared" si="54"/>
        <v/>
      </c>
    </row>
    <row r="53" spans="2:37" ht="15" customHeight="1">
      <c r="B53" s="171">
        <f t="shared" si="31"/>
        <v>9</v>
      </c>
      <c r="C53" s="171" t="str">
        <f t="shared" si="32"/>
        <v/>
      </c>
      <c r="D53" s="224" t="str">
        <f t="shared" si="33"/>
        <v/>
      </c>
      <c r="E53" s="224" t="str">
        <f t="shared" si="34"/>
        <v/>
      </c>
      <c r="F53" s="224" t="str">
        <f t="shared" si="35"/>
        <v/>
      </c>
      <c r="G53" s="171" t="str">
        <f>IF($Q17=FALSE,"",표준압력!L26)</f>
        <v/>
      </c>
      <c r="H53" s="224" t="str">
        <f>IF($Q17=FALSE,"",IF(D11="해수",표준압력!AD26,표준압력!AK26))</f>
        <v/>
      </c>
      <c r="I53" s="309" t="str">
        <f t="shared" si="36"/>
        <v/>
      </c>
      <c r="J53" s="171" t="str">
        <f t="shared" si="37"/>
        <v/>
      </c>
      <c r="K53" s="171" t="str">
        <f t="shared" si="38"/>
        <v/>
      </c>
      <c r="L53" s="171" t="str">
        <f t="shared" si="39"/>
        <v/>
      </c>
      <c r="M53" s="286" t="str">
        <f t="shared" si="40"/>
        <v/>
      </c>
      <c r="N53" s="224" t="str">
        <f t="shared" si="41"/>
        <v/>
      </c>
      <c r="O53" s="171" t="str">
        <f t="shared" si="55"/>
        <v/>
      </c>
      <c r="P53" s="171" t="str">
        <f t="shared" si="56"/>
        <v/>
      </c>
      <c r="Q53" s="286" t="str">
        <f t="shared" si="57"/>
        <v/>
      </c>
      <c r="R53" s="286" t="str">
        <f t="shared" si="58"/>
        <v/>
      </c>
      <c r="S53" s="286" t="str">
        <f t="shared" si="59"/>
        <v/>
      </c>
      <c r="T53" s="286" t="str">
        <f t="shared" si="60"/>
        <v/>
      </c>
      <c r="U53" s="286" t="str">
        <f t="shared" si="61"/>
        <v/>
      </c>
      <c r="V53" s="171" t="str">
        <f t="shared" si="62"/>
        <v/>
      </c>
      <c r="W53" s="286" t="str">
        <f t="shared" si="42"/>
        <v/>
      </c>
      <c r="X53" s="286" t="str">
        <f t="shared" si="43"/>
        <v/>
      </c>
      <c r="Y53" s="286" t="str">
        <f t="shared" si="63"/>
        <v/>
      </c>
      <c r="Z53" s="286" t="str">
        <f t="shared" si="44"/>
        <v/>
      </c>
      <c r="AA53" s="286" t="str">
        <f t="shared" si="45"/>
        <v/>
      </c>
      <c r="AB53" s="171" t="str">
        <f t="shared" si="46"/>
        <v/>
      </c>
      <c r="AC53" s="286" t="str">
        <f t="shared" si="47"/>
        <v/>
      </c>
      <c r="AD53" s="171" t="str">
        <f t="shared" si="48"/>
        <v/>
      </c>
      <c r="AE53" s="171" t="str">
        <f t="shared" ca="1" si="49"/>
        <v/>
      </c>
      <c r="AF53" s="286" t="str">
        <f t="shared" si="50"/>
        <v/>
      </c>
      <c r="AG53" s="310" t="str">
        <f>IF($Q17=FALSE,"",Pressure_3_R1!G12*D53)</f>
        <v/>
      </c>
      <c r="AH53" s="310" t="str">
        <f t="shared" si="51"/>
        <v/>
      </c>
      <c r="AI53" s="306" t="str">
        <f t="shared" si="52"/>
        <v/>
      </c>
      <c r="AJ53" s="306" t="str">
        <f t="shared" si="53"/>
        <v/>
      </c>
      <c r="AK53" s="311" t="str">
        <f t="shared" si="54"/>
        <v/>
      </c>
    </row>
    <row r="54" spans="2:37" ht="15" customHeight="1">
      <c r="B54" s="171">
        <f t="shared" si="31"/>
        <v>10</v>
      </c>
      <c r="C54" s="171" t="str">
        <f t="shared" si="32"/>
        <v/>
      </c>
      <c r="D54" s="224" t="str">
        <f t="shared" si="33"/>
        <v/>
      </c>
      <c r="E54" s="224" t="str">
        <f t="shared" si="34"/>
        <v/>
      </c>
      <c r="F54" s="224" t="str">
        <f t="shared" si="35"/>
        <v/>
      </c>
      <c r="G54" s="171" t="str">
        <f>IF($Q18=FALSE,"",표준압력!L27)</f>
        <v/>
      </c>
      <c r="H54" s="224" t="str">
        <f>IF($Q18=FALSE,"",IF(D12="해수",표준압력!AD27,표준압력!AK27))</f>
        <v/>
      </c>
      <c r="I54" s="309" t="str">
        <f t="shared" si="36"/>
        <v/>
      </c>
      <c r="J54" s="171" t="str">
        <f t="shared" si="37"/>
        <v/>
      </c>
      <c r="K54" s="171" t="str">
        <f t="shared" si="38"/>
        <v/>
      </c>
      <c r="L54" s="171" t="str">
        <f t="shared" si="39"/>
        <v/>
      </c>
      <c r="M54" s="286" t="str">
        <f t="shared" si="40"/>
        <v/>
      </c>
      <c r="N54" s="224" t="str">
        <f t="shared" si="41"/>
        <v/>
      </c>
      <c r="O54" s="171" t="str">
        <f t="shared" si="55"/>
        <v/>
      </c>
      <c r="P54" s="171" t="str">
        <f t="shared" si="56"/>
        <v/>
      </c>
      <c r="Q54" s="286" t="str">
        <f t="shared" si="57"/>
        <v/>
      </c>
      <c r="R54" s="286" t="str">
        <f t="shared" si="58"/>
        <v/>
      </c>
      <c r="S54" s="286" t="str">
        <f t="shared" si="59"/>
        <v/>
      </c>
      <c r="T54" s="286" t="str">
        <f t="shared" si="60"/>
        <v/>
      </c>
      <c r="U54" s="286" t="str">
        <f t="shared" si="61"/>
        <v/>
      </c>
      <c r="V54" s="171" t="str">
        <f t="shared" si="62"/>
        <v/>
      </c>
      <c r="W54" s="286" t="str">
        <f t="shared" si="42"/>
        <v/>
      </c>
      <c r="X54" s="286" t="str">
        <f t="shared" si="43"/>
        <v/>
      </c>
      <c r="Y54" s="286" t="str">
        <f t="shared" si="63"/>
        <v/>
      </c>
      <c r="Z54" s="286" t="str">
        <f t="shared" si="44"/>
        <v/>
      </c>
      <c r="AA54" s="286" t="str">
        <f t="shared" si="45"/>
        <v/>
      </c>
      <c r="AB54" s="171" t="str">
        <f t="shared" si="46"/>
        <v/>
      </c>
      <c r="AC54" s="286" t="str">
        <f t="shared" si="47"/>
        <v/>
      </c>
      <c r="AD54" s="171" t="str">
        <f t="shared" si="48"/>
        <v/>
      </c>
      <c r="AE54" s="171" t="str">
        <f t="shared" ca="1" si="49"/>
        <v/>
      </c>
      <c r="AF54" s="286" t="str">
        <f t="shared" si="50"/>
        <v/>
      </c>
      <c r="AG54" s="310" t="str">
        <f>IF($Q18=FALSE,"",Pressure_3_R1!G13*D54)</f>
        <v/>
      </c>
      <c r="AH54" s="310" t="str">
        <f t="shared" si="51"/>
        <v/>
      </c>
      <c r="AI54" s="306" t="str">
        <f t="shared" si="52"/>
        <v/>
      </c>
      <c r="AJ54" s="306" t="str">
        <f t="shared" si="53"/>
        <v/>
      </c>
      <c r="AK54" s="311" t="str">
        <f t="shared" si="54"/>
        <v/>
      </c>
    </row>
    <row r="55" spans="2:37" ht="15" customHeight="1">
      <c r="B55" s="171">
        <f t="shared" si="31"/>
        <v>11</v>
      </c>
      <c r="C55" s="171" t="str">
        <f t="shared" si="32"/>
        <v/>
      </c>
      <c r="D55" s="224" t="str">
        <f t="shared" si="33"/>
        <v/>
      </c>
      <c r="E55" s="224" t="str">
        <f t="shared" si="34"/>
        <v/>
      </c>
      <c r="F55" s="224" t="str">
        <f t="shared" si="35"/>
        <v/>
      </c>
      <c r="G55" s="171" t="str">
        <f>IF($Q19=FALSE,"",표준압력!L28)</f>
        <v/>
      </c>
      <c r="H55" s="224" t="str">
        <f>IF($Q19=FALSE,"",IF(D13="해수",표준압력!AD28,표준압력!AK28))</f>
        <v/>
      </c>
      <c r="I55" s="309" t="str">
        <f t="shared" si="36"/>
        <v/>
      </c>
      <c r="J55" s="171" t="str">
        <f t="shared" si="37"/>
        <v/>
      </c>
      <c r="K55" s="171" t="str">
        <f t="shared" si="38"/>
        <v/>
      </c>
      <c r="L55" s="171" t="str">
        <f t="shared" si="39"/>
        <v/>
      </c>
      <c r="M55" s="286" t="str">
        <f t="shared" si="40"/>
        <v/>
      </c>
      <c r="N55" s="224" t="str">
        <f t="shared" si="41"/>
        <v/>
      </c>
      <c r="O55" s="171" t="str">
        <f t="shared" si="55"/>
        <v/>
      </c>
      <c r="P55" s="171" t="str">
        <f t="shared" si="56"/>
        <v/>
      </c>
      <c r="Q55" s="286" t="str">
        <f t="shared" si="57"/>
        <v/>
      </c>
      <c r="R55" s="286" t="str">
        <f t="shared" si="58"/>
        <v/>
      </c>
      <c r="S55" s="286" t="str">
        <f t="shared" si="59"/>
        <v/>
      </c>
      <c r="T55" s="286" t="str">
        <f t="shared" si="60"/>
        <v/>
      </c>
      <c r="U55" s="286" t="str">
        <f t="shared" si="61"/>
        <v/>
      </c>
      <c r="V55" s="171" t="str">
        <f t="shared" si="62"/>
        <v/>
      </c>
      <c r="W55" s="286" t="str">
        <f t="shared" si="42"/>
        <v/>
      </c>
      <c r="X55" s="286" t="str">
        <f t="shared" si="43"/>
        <v/>
      </c>
      <c r="Y55" s="286" t="str">
        <f t="shared" si="63"/>
        <v/>
      </c>
      <c r="Z55" s="286" t="str">
        <f t="shared" si="44"/>
        <v/>
      </c>
      <c r="AA55" s="286" t="str">
        <f t="shared" si="45"/>
        <v/>
      </c>
      <c r="AB55" s="171" t="str">
        <f t="shared" si="46"/>
        <v/>
      </c>
      <c r="AC55" s="286" t="str">
        <f t="shared" si="47"/>
        <v/>
      </c>
      <c r="AD55" s="171" t="str">
        <f t="shared" si="48"/>
        <v/>
      </c>
      <c r="AE55" s="171" t="str">
        <f t="shared" ca="1" si="49"/>
        <v/>
      </c>
      <c r="AF55" s="286" t="str">
        <f t="shared" si="50"/>
        <v/>
      </c>
      <c r="AG55" s="310" t="str">
        <f>IF($Q19=FALSE,"",Pressure_3_R1!G14*D55)</f>
        <v/>
      </c>
      <c r="AH55" s="310" t="str">
        <f t="shared" si="51"/>
        <v/>
      </c>
      <c r="AI55" s="306" t="str">
        <f t="shared" si="52"/>
        <v/>
      </c>
      <c r="AJ55" s="306" t="str">
        <f t="shared" si="53"/>
        <v/>
      </c>
      <c r="AK55" s="311" t="str">
        <f t="shared" si="54"/>
        <v/>
      </c>
    </row>
    <row r="56" spans="2:37" ht="15" customHeight="1">
      <c r="B56" s="171">
        <f t="shared" si="31"/>
        <v>12</v>
      </c>
      <c r="C56" s="171" t="str">
        <f t="shared" si="32"/>
        <v/>
      </c>
      <c r="D56" s="224" t="str">
        <f t="shared" si="33"/>
        <v/>
      </c>
      <c r="E56" s="224" t="str">
        <f t="shared" si="34"/>
        <v/>
      </c>
      <c r="F56" s="224" t="str">
        <f t="shared" si="35"/>
        <v/>
      </c>
      <c r="G56" s="171" t="str">
        <f>IF($Q20=FALSE,"",표준압력!L29)</f>
        <v/>
      </c>
      <c r="H56" s="224" t="str">
        <f>IF($Q20=FALSE,"",IF(D14="해수",표준압력!AD29,표준압력!AK29))</f>
        <v/>
      </c>
      <c r="I56" s="309" t="str">
        <f t="shared" si="36"/>
        <v/>
      </c>
      <c r="J56" s="171" t="str">
        <f t="shared" si="37"/>
        <v/>
      </c>
      <c r="K56" s="171" t="str">
        <f t="shared" si="38"/>
        <v/>
      </c>
      <c r="L56" s="171" t="str">
        <f t="shared" si="39"/>
        <v/>
      </c>
      <c r="M56" s="286" t="str">
        <f t="shared" si="40"/>
        <v/>
      </c>
      <c r="N56" s="224" t="str">
        <f t="shared" si="41"/>
        <v/>
      </c>
      <c r="O56" s="171" t="str">
        <f t="shared" si="55"/>
        <v/>
      </c>
      <c r="P56" s="171" t="str">
        <f t="shared" si="56"/>
        <v/>
      </c>
      <c r="Q56" s="286" t="str">
        <f t="shared" si="57"/>
        <v/>
      </c>
      <c r="R56" s="286" t="str">
        <f t="shared" si="58"/>
        <v/>
      </c>
      <c r="S56" s="286" t="str">
        <f t="shared" si="59"/>
        <v/>
      </c>
      <c r="T56" s="286" t="str">
        <f t="shared" si="60"/>
        <v/>
      </c>
      <c r="U56" s="286" t="str">
        <f t="shared" si="61"/>
        <v/>
      </c>
      <c r="V56" s="171" t="str">
        <f t="shared" si="62"/>
        <v/>
      </c>
      <c r="W56" s="286" t="str">
        <f t="shared" si="42"/>
        <v/>
      </c>
      <c r="X56" s="286" t="str">
        <f t="shared" si="43"/>
        <v/>
      </c>
      <c r="Y56" s="286" t="str">
        <f t="shared" si="63"/>
        <v/>
      </c>
      <c r="Z56" s="286" t="str">
        <f t="shared" si="44"/>
        <v/>
      </c>
      <c r="AA56" s="286" t="str">
        <f t="shared" si="45"/>
        <v/>
      </c>
      <c r="AB56" s="171" t="str">
        <f t="shared" si="46"/>
        <v/>
      </c>
      <c r="AC56" s="286" t="str">
        <f t="shared" si="47"/>
        <v/>
      </c>
      <c r="AD56" s="171" t="str">
        <f t="shared" si="48"/>
        <v/>
      </c>
      <c r="AE56" s="171" t="str">
        <f t="shared" ca="1" si="49"/>
        <v/>
      </c>
      <c r="AF56" s="286" t="str">
        <f t="shared" si="50"/>
        <v/>
      </c>
      <c r="AG56" s="310" t="str">
        <f>IF($Q20=FALSE,"",Pressure_3_R1!G15*D56)</f>
        <v/>
      </c>
      <c r="AH56" s="310" t="str">
        <f t="shared" si="51"/>
        <v/>
      </c>
      <c r="AI56" s="306" t="str">
        <f t="shared" si="52"/>
        <v/>
      </c>
      <c r="AJ56" s="306" t="str">
        <f t="shared" si="53"/>
        <v/>
      </c>
      <c r="AK56" s="311" t="str">
        <f t="shared" si="54"/>
        <v/>
      </c>
    </row>
    <row r="57" spans="2:37" ht="15" customHeight="1">
      <c r="B57" s="171">
        <f t="shared" si="31"/>
        <v>13</v>
      </c>
      <c r="C57" s="171" t="str">
        <f t="shared" si="32"/>
        <v/>
      </c>
      <c r="D57" s="224" t="str">
        <f t="shared" si="33"/>
        <v/>
      </c>
      <c r="E57" s="224" t="str">
        <f t="shared" si="34"/>
        <v/>
      </c>
      <c r="F57" s="224" t="str">
        <f t="shared" si="35"/>
        <v/>
      </c>
      <c r="G57" s="171" t="str">
        <f>IF($Q21=FALSE,"",표준압력!L30)</f>
        <v/>
      </c>
      <c r="H57" s="224" t="str">
        <f>IF($Q21=FALSE,"",IF(D15="해수",표준압력!AD30,표준압력!AK30))</f>
        <v/>
      </c>
      <c r="I57" s="309" t="str">
        <f t="shared" si="36"/>
        <v/>
      </c>
      <c r="J57" s="171" t="str">
        <f t="shared" si="37"/>
        <v/>
      </c>
      <c r="K57" s="171" t="str">
        <f t="shared" si="38"/>
        <v/>
      </c>
      <c r="L57" s="171" t="str">
        <f t="shared" si="39"/>
        <v/>
      </c>
      <c r="M57" s="286" t="str">
        <f t="shared" si="40"/>
        <v/>
      </c>
      <c r="N57" s="224" t="str">
        <f t="shared" si="41"/>
        <v/>
      </c>
      <c r="O57" s="171" t="str">
        <f t="shared" si="55"/>
        <v/>
      </c>
      <c r="P57" s="171" t="str">
        <f t="shared" si="56"/>
        <v/>
      </c>
      <c r="Q57" s="286" t="str">
        <f t="shared" si="57"/>
        <v/>
      </c>
      <c r="R57" s="286" t="str">
        <f t="shared" si="58"/>
        <v/>
      </c>
      <c r="S57" s="286" t="str">
        <f t="shared" si="59"/>
        <v/>
      </c>
      <c r="T57" s="286" t="str">
        <f t="shared" si="60"/>
        <v/>
      </c>
      <c r="U57" s="286" t="str">
        <f t="shared" si="61"/>
        <v/>
      </c>
      <c r="V57" s="171" t="str">
        <f t="shared" si="62"/>
        <v/>
      </c>
      <c r="W57" s="286" t="str">
        <f t="shared" si="42"/>
        <v/>
      </c>
      <c r="X57" s="286" t="str">
        <f t="shared" si="43"/>
        <v/>
      </c>
      <c r="Y57" s="286" t="str">
        <f t="shared" si="63"/>
        <v/>
      </c>
      <c r="Z57" s="286" t="str">
        <f t="shared" si="44"/>
        <v/>
      </c>
      <c r="AA57" s="286" t="str">
        <f t="shared" si="45"/>
        <v/>
      </c>
      <c r="AB57" s="171" t="str">
        <f t="shared" si="46"/>
        <v/>
      </c>
      <c r="AC57" s="286" t="str">
        <f t="shared" si="47"/>
        <v/>
      </c>
      <c r="AD57" s="171" t="str">
        <f t="shared" si="48"/>
        <v/>
      </c>
      <c r="AE57" s="171" t="str">
        <f t="shared" ca="1" si="49"/>
        <v/>
      </c>
      <c r="AF57" s="286" t="str">
        <f t="shared" si="50"/>
        <v/>
      </c>
      <c r="AG57" s="310" t="str">
        <f>IF($Q21=FALSE,"",Pressure_3_R1!G16*D57)</f>
        <v/>
      </c>
      <c r="AH57" s="310" t="str">
        <f t="shared" si="51"/>
        <v/>
      </c>
      <c r="AI57" s="306" t="str">
        <f t="shared" si="52"/>
        <v/>
      </c>
      <c r="AJ57" s="306" t="str">
        <f t="shared" si="53"/>
        <v/>
      </c>
      <c r="AK57" s="311" t="str">
        <f t="shared" si="54"/>
        <v/>
      </c>
    </row>
    <row r="58" spans="2:37" ht="15" customHeight="1">
      <c r="B58" s="171">
        <f t="shared" si="31"/>
        <v>14</v>
      </c>
      <c r="C58" s="171" t="str">
        <f t="shared" si="32"/>
        <v/>
      </c>
      <c r="D58" s="224" t="str">
        <f t="shared" si="33"/>
        <v/>
      </c>
      <c r="E58" s="224" t="str">
        <f t="shared" si="34"/>
        <v/>
      </c>
      <c r="F58" s="224" t="str">
        <f t="shared" si="35"/>
        <v/>
      </c>
      <c r="G58" s="171" t="str">
        <f>IF($Q22=FALSE,"",표준압력!L31)</f>
        <v/>
      </c>
      <c r="H58" s="224" t="str">
        <f>IF($Q22=FALSE,"",IF(D16="해수",표준압력!AD31,표준압력!AK31))</f>
        <v/>
      </c>
      <c r="I58" s="309" t="str">
        <f t="shared" si="36"/>
        <v/>
      </c>
      <c r="J58" s="171" t="str">
        <f t="shared" si="37"/>
        <v/>
      </c>
      <c r="K58" s="171" t="str">
        <f t="shared" si="38"/>
        <v/>
      </c>
      <c r="L58" s="171" t="str">
        <f t="shared" si="39"/>
        <v/>
      </c>
      <c r="M58" s="286" t="str">
        <f t="shared" si="40"/>
        <v/>
      </c>
      <c r="N58" s="224" t="str">
        <f t="shared" si="41"/>
        <v/>
      </c>
      <c r="O58" s="171" t="str">
        <f t="shared" si="55"/>
        <v/>
      </c>
      <c r="P58" s="171" t="str">
        <f t="shared" si="56"/>
        <v/>
      </c>
      <c r="Q58" s="286" t="str">
        <f t="shared" si="57"/>
        <v/>
      </c>
      <c r="R58" s="286" t="str">
        <f t="shared" si="58"/>
        <v/>
      </c>
      <c r="S58" s="286" t="str">
        <f t="shared" si="59"/>
        <v/>
      </c>
      <c r="T58" s="286" t="str">
        <f t="shared" si="60"/>
        <v/>
      </c>
      <c r="U58" s="286" t="str">
        <f t="shared" si="61"/>
        <v/>
      </c>
      <c r="V58" s="171" t="str">
        <f t="shared" si="62"/>
        <v/>
      </c>
      <c r="W58" s="286" t="str">
        <f t="shared" si="42"/>
        <v/>
      </c>
      <c r="X58" s="286" t="str">
        <f t="shared" si="43"/>
        <v/>
      </c>
      <c r="Y58" s="286" t="str">
        <f t="shared" si="63"/>
        <v/>
      </c>
      <c r="Z58" s="286" t="str">
        <f t="shared" si="44"/>
        <v/>
      </c>
      <c r="AA58" s="286" t="str">
        <f t="shared" si="45"/>
        <v/>
      </c>
      <c r="AB58" s="171" t="str">
        <f t="shared" si="46"/>
        <v/>
      </c>
      <c r="AC58" s="286" t="str">
        <f t="shared" si="47"/>
        <v/>
      </c>
      <c r="AD58" s="171" t="str">
        <f t="shared" si="48"/>
        <v/>
      </c>
      <c r="AE58" s="171" t="str">
        <f t="shared" ca="1" si="49"/>
        <v/>
      </c>
      <c r="AF58" s="286" t="str">
        <f t="shared" si="50"/>
        <v/>
      </c>
      <c r="AG58" s="310" t="str">
        <f>IF($Q22=FALSE,"",Pressure_3_R1!G17*D58)</f>
        <v/>
      </c>
      <c r="AH58" s="310" t="str">
        <f t="shared" si="51"/>
        <v/>
      </c>
      <c r="AI58" s="306" t="str">
        <f t="shared" si="52"/>
        <v/>
      </c>
      <c r="AJ58" s="306" t="str">
        <f t="shared" si="53"/>
        <v/>
      </c>
      <c r="AK58" s="311" t="str">
        <f t="shared" si="54"/>
        <v/>
      </c>
    </row>
    <row r="59" spans="2:37" ht="15" customHeight="1">
      <c r="B59" s="171">
        <f t="shared" si="31"/>
        <v>15</v>
      </c>
      <c r="C59" s="171" t="str">
        <f t="shared" si="32"/>
        <v/>
      </c>
      <c r="D59" s="224" t="str">
        <f t="shared" si="33"/>
        <v/>
      </c>
      <c r="E59" s="224" t="str">
        <f t="shared" si="34"/>
        <v/>
      </c>
      <c r="F59" s="224" t="str">
        <f t="shared" si="35"/>
        <v/>
      </c>
      <c r="G59" s="171" t="str">
        <f>IF($Q23=FALSE,"",표준압력!L32)</f>
        <v/>
      </c>
      <c r="H59" s="224" t="str">
        <f>IF($Q23=FALSE,"",IF(D17="해수",표준압력!AD32,표준압력!AK32))</f>
        <v/>
      </c>
      <c r="I59" s="309" t="str">
        <f t="shared" si="36"/>
        <v/>
      </c>
      <c r="J59" s="171" t="str">
        <f t="shared" si="37"/>
        <v/>
      </c>
      <c r="K59" s="171" t="str">
        <f t="shared" si="38"/>
        <v/>
      </c>
      <c r="L59" s="171" t="str">
        <f t="shared" si="39"/>
        <v/>
      </c>
      <c r="M59" s="286" t="str">
        <f t="shared" si="40"/>
        <v/>
      </c>
      <c r="N59" s="224" t="str">
        <f t="shared" si="41"/>
        <v/>
      </c>
      <c r="O59" s="171" t="str">
        <f t="shared" si="55"/>
        <v/>
      </c>
      <c r="P59" s="171" t="str">
        <f t="shared" si="56"/>
        <v/>
      </c>
      <c r="Q59" s="286" t="str">
        <f t="shared" si="57"/>
        <v/>
      </c>
      <c r="R59" s="286" t="str">
        <f t="shared" si="58"/>
        <v/>
      </c>
      <c r="S59" s="286" t="str">
        <f t="shared" si="59"/>
        <v/>
      </c>
      <c r="T59" s="286" t="str">
        <f t="shared" si="60"/>
        <v/>
      </c>
      <c r="U59" s="286" t="str">
        <f t="shared" si="61"/>
        <v/>
      </c>
      <c r="V59" s="171" t="str">
        <f t="shared" si="62"/>
        <v/>
      </c>
      <c r="W59" s="286" t="str">
        <f t="shared" si="42"/>
        <v/>
      </c>
      <c r="X59" s="286" t="str">
        <f t="shared" si="43"/>
        <v/>
      </c>
      <c r="Y59" s="286" t="str">
        <f t="shared" si="63"/>
        <v/>
      </c>
      <c r="Z59" s="286" t="str">
        <f t="shared" si="44"/>
        <v/>
      </c>
      <c r="AA59" s="286" t="str">
        <f t="shared" si="45"/>
        <v/>
      </c>
      <c r="AB59" s="171" t="str">
        <f t="shared" si="46"/>
        <v/>
      </c>
      <c r="AC59" s="286" t="str">
        <f t="shared" si="47"/>
        <v/>
      </c>
      <c r="AD59" s="171" t="str">
        <f t="shared" si="48"/>
        <v/>
      </c>
      <c r="AE59" s="171" t="str">
        <f t="shared" ca="1" si="49"/>
        <v/>
      </c>
      <c r="AF59" s="286" t="str">
        <f t="shared" si="50"/>
        <v/>
      </c>
      <c r="AG59" s="310" t="str">
        <f>IF($Q23=FALSE,"",Pressure_3_R1!G18*D59)</f>
        <v/>
      </c>
      <c r="AH59" s="310" t="str">
        <f t="shared" si="51"/>
        <v/>
      </c>
      <c r="AI59" s="306" t="str">
        <f t="shared" si="52"/>
        <v/>
      </c>
      <c r="AJ59" s="306" t="str">
        <f t="shared" si="53"/>
        <v/>
      </c>
      <c r="AK59" s="311" t="str">
        <f t="shared" si="54"/>
        <v/>
      </c>
    </row>
    <row r="60" spans="2:37" ht="15" customHeight="1">
      <c r="E60" s="172"/>
      <c r="V60" s="170"/>
      <c r="W60" s="170"/>
      <c r="X60" s="170"/>
      <c r="Y60" s="170"/>
    </row>
    <row r="61" spans="2:37" ht="15" customHeight="1">
      <c r="B61" s="164" t="s">
        <v>468</v>
      </c>
      <c r="D61" s="164"/>
      <c r="I61" s="164" t="s">
        <v>348</v>
      </c>
      <c r="U61" s="170"/>
      <c r="V61" s="170"/>
    </row>
    <row r="62" spans="2:37" ht="15" customHeight="1">
      <c r="B62" s="771" t="s">
        <v>469</v>
      </c>
      <c r="C62" s="773" t="s">
        <v>280</v>
      </c>
      <c r="D62" s="773" t="s">
        <v>470</v>
      </c>
      <c r="E62" s="807" t="s">
        <v>471</v>
      </c>
      <c r="F62" s="808"/>
      <c r="G62" s="808"/>
      <c r="I62" s="776" t="s">
        <v>68</v>
      </c>
      <c r="J62" s="777"/>
      <c r="K62" s="778"/>
      <c r="L62" s="813" t="s">
        <v>200</v>
      </c>
      <c r="N62" s="225" t="s">
        <v>472</v>
      </c>
      <c r="O62" s="815" t="s">
        <v>473</v>
      </c>
      <c r="P62" s="816"/>
      <c r="Q62" s="816"/>
      <c r="S62" s="225" t="s">
        <v>474</v>
      </c>
      <c r="T62" s="225" t="s">
        <v>475</v>
      </c>
      <c r="U62" s="225" t="s">
        <v>476</v>
      </c>
      <c r="V62" s="225" t="s">
        <v>477</v>
      </c>
      <c r="W62" s="225" t="s">
        <v>475</v>
      </c>
      <c r="Y62" s="312" t="s">
        <v>356</v>
      </c>
      <c r="Z62" s="312" t="s">
        <v>478</v>
      </c>
    </row>
    <row r="63" spans="2:37" ht="15" customHeight="1">
      <c r="B63" s="809"/>
      <c r="C63" s="775"/>
      <c r="D63" s="775"/>
      <c r="E63" s="297" t="s">
        <v>479</v>
      </c>
      <c r="F63" s="297" t="s">
        <v>480</v>
      </c>
      <c r="G63" s="268" t="s">
        <v>481</v>
      </c>
      <c r="I63" s="300" t="s">
        <v>482</v>
      </c>
      <c r="J63" s="300" t="s">
        <v>483</v>
      </c>
      <c r="K63" s="300" t="s">
        <v>484</v>
      </c>
      <c r="L63" s="814"/>
      <c r="N63" s="226" t="s">
        <v>193</v>
      </c>
      <c r="O63" s="314" t="s">
        <v>280</v>
      </c>
      <c r="P63" s="314" t="s">
        <v>364</v>
      </c>
      <c r="Q63" s="268" t="s">
        <v>179</v>
      </c>
      <c r="S63" s="227"/>
      <c r="T63" s="227" t="s">
        <v>102</v>
      </c>
      <c r="U63" s="225" t="s">
        <v>193</v>
      </c>
      <c r="V63" s="227"/>
      <c r="W63" s="227" t="s">
        <v>102</v>
      </c>
      <c r="Y63" s="312"/>
      <c r="Z63" s="312">
        <v>95.45</v>
      </c>
    </row>
    <row r="64" spans="2:37" ht="15" customHeight="1">
      <c r="B64" s="772"/>
      <c r="C64" s="305">
        <f>E44</f>
        <v>0</v>
      </c>
      <c r="D64" s="301">
        <f>F44</f>
        <v>0</v>
      </c>
      <c r="E64" s="305">
        <f>K44</f>
        <v>0</v>
      </c>
      <c r="F64" s="305">
        <f>L44</f>
        <v>0</v>
      </c>
      <c r="G64" s="305" t="str">
        <f>AH44</f>
        <v>m</v>
      </c>
      <c r="I64" s="300">
        <f>M8</f>
        <v>0</v>
      </c>
      <c r="J64" s="300">
        <f>I64</f>
        <v>0</v>
      </c>
      <c r="K64" s="300">
        <f>J64</f>
        <v>0</v>
      </c>
      <c r="L64" s="315" t="str">
        <f>IF(TYPE(MATCH("FAIL",L65:L79,0))=16,"PASS","FAIL")</f>
        <v>PASS</v>
      </c>
      <c r="N64" s="173">
        <f ca="1">MIN(N65:N79)</f>
        <v>0</v>
      </c>
      <c r="O64" s="174">
        <f ca="1">OFFSET(T63,MATCH(N64,U64:U73,0),0)</f>
        <v>0</v>
      </c>
      <c r="P64" s="174">
        <f ca="1">O64</f>
        <v>0</v>
      </c>
      <c r="Q64" s="174">
        <f ca="1">P64</f>
        <v>0</v>
      </c>
      <c r="S64" s="316">
        <v>9.9999999999999995E-8</v>
      </c>
      <c r="T64" s="316" t="s">
        <v>180</v>
      </c>
      <c r="U64" s="316">
        <v>7</v>
      </c>
      <c r="V64" s="316">
        <v>0</v>
      </c>
      <c r="W64" s="316"/>
      <c r="Y64" s="317">
        <v>1</v>
      </c>
      <c r="Z64" s="317">
        <v>13.97</v>
      </c>
    </row>
    <row r="65" spans="2:26" ht="15" customHeight="1">
      <c r="B65" s="306">
        <f t="shared" ref="B65:B79" si="64">B45</f>
        <v>1</v>
      </c>
      <c r="C65" s="318" t="str">
        <f t="shared" ref="C65:C79" si="65">IF($Q9=FALSE,"",TEXT(ROUND(E45,$N$64),O65))</f>
        <v/>
      </c>
      <c r="D65" s="318" t="str">
        <f t="shared" ref="D65:D79" si="66">IF($Q9=FALSE,"",TEXT(ROUND(F45,$N$64),P65))</f>
        <v/>
      </c>
      <c r="E65" s="318" t="str">
        <f>IF($Q9=FALSE,"-",TEXT(K45,P65))</f>
        <v>-</v>
      </c>
      <c r="F65" s="318" t="str">
        <f>IF($Q9=FALSE,"-",TEXT(ROUND(L45,$N$64),Q65))</f>
        <v>-</v>
      </c>
      <c r="G65" s="318" t="str">
        <f t="shared" ref="G65:G79" si="67">IF($Q9=FALSE,"",TEXT(ROUND(AJ45,$N$64),Q65))</f>
        <v/>
      </c>
      <c r="I65" s="228" t="str">
        <f>IF($Q9=FALSE,"",ROUND(Pressure_3_R1!N4,$N$64))</f>
        <v/>
      </c>
      <c r="J65" s="228" t="str">
        <f>IF($Q9=FALSE,"",ROUND(Pressure_3_R1!O4,N$64))</f>
        <v/>
      </c>
      <c r="K65" s="228" t="str">
        <f t="shared" ref="K65:K79" si="68">IF($Q9=FALSE,"","± "&amp;TEXT((J65-I65)/2,P65))</f>
        <v/>
      </c>
      <c r="L65" s="229" t="str">
        <f>IF($Q9=FALSE,"-",IF(AND(I65&lt;=K45,K45&lt;=J65),"PASS","FAIL"))</f>
        <v>-</v>
      </c>
      <c r="N65" s="171" t="str">
        <f t="shared" ref="N65:N79" ca="1" si="69">IF($Q9=FALSE,"",OFFSET(U$63,COUNTIF(S$64:S$73,"&lt;="&amp;AH45),0)+M$3)</f>
        <v/>
      </c>
      <c r="O65" s="171" t="str">
        <f t="shared" ref="O65:O79" ca="1" si="70">IF($Q9=FALSE,"",SUBSTITUTE(OFFSET($W$63,COUNTIF($V$64:$V$73,"&lt;="&amp;ABS(E45)),0),0,"")&amp;O$64)</f>
        <v/>
      </c>
      <c r="P65" s="171" t="str">
        <f t="shared" ref="P65:P79" ca="1" si="71">IF($Q9=FALSE,"",SUBSTITUTE(OFFSET($W$63,COUNTIF($V$64:$V$73,"&lt;="&amp;ABS(F45)),0),0,"")&amp;P$64)</f>
        <v/>
      </c>
      <c r="Q65" s="171" t="str">
        <f t="shared" ref="Q65:Q79" si="72">IF($Q9=FALSE,"",Q$64)</f>
        <v/>
      </c>
      <c r="S65" s="316">
        <v>9.9999999999999995E-7</v>
      </c>
      <c r="T65" s="316" t="s">
        <v>367</v>
      </c>
      <c r="U65" s="316">
        <v>6</v>
      </c>
      <c r="V65" s="316">
        <v>1</v>
      </c>
      <c r="W65" s="316"/>
      <c r="Y65" s="317">
        <v>2</v>
      </c>
      <c r="Z65" s="317">
        <v>4.53</v>
      </c>
    </row>
    <row r="66" spans="2:26" ht="15" customHeight="1">
      <c r="B66" s="306">
        <f t="shared" si="64"/>
        <v>2</v>
      </c>
      <c r="C66" s="318" t="str">
        <f t="shared" si="65"/>
        <v/>
      </c>
      <c r="D66" s="318" t="str">
        <f t="shared" si="66"/>
        <v/>
      </c>
      <c r="E66" s="318" t="str">
        <f t="shared" ref="E66:E79" si="73">IF($Q10=FALSE,"-",TEXT(K46,P66))</f>
        <v>-</v>
      </c>
      <c r="F66" s="318" t="str">
        <f t="shared" ref="F66:F79" si="74">IF($Q10=FALSE,"-",TEXT(ROUND(L46,$N$64),Q66))</f>
        <v>-</v>
      </c>
      <c r="G66" s="318" t="str">
        <f t="shared" si="67"/>
        <v/>
      </c>
      <c r="I66" s="228" t="str">
        <f>IF($Q10=FALSE,"",ROUND(Pressure_3_R1!N5,$N$64))</f>
        <v/>
      </c>
      <c r="J66" s="228" t="str">
        <f>IF($Q10=FALSE,"",ROUND(Pressure_3_R1!O5,N$64))</f>
        <v/>
      </c>
      <c r="K66" s="228" t="str">
        <f t="shared" si="68"/>
        <v/>
      </c>
      <c r="L66" s="229" t="str">
        <f t="shared" ref="L66:L79" si="75">IF($Q10=FALSE,"-",IF(AND(I66&lt;=K46,K46&lt;=J66),"PASS","FAIL"))</f>
        <v>-</v>
      </c>
      <c r="N66" s="171" t="str">
        <f t="shared" ca="1" si="69"/>
        <v/>
      </c>
      <c r="O66" s="171" t="str">
        <f t="shared" ca="1" si="70"/>
        <v/>
      </c>
      <c r="P66" s="171" t="str">
        <f t="shared" ca="1" si="71"/>
        <v/>
      </c>
      <c r="Q66" s="171" t="str">
        <f t="shared" si="72"/>
        <v/>
      </c>
      <c r="S66" s="316">
        <v>1.0000000000000001E-5</v>
      </c>
      <c r="T66" s="316" t="s">
        <v>485</v>
      </c>
      <c r="U66" s="316">
        <v>5</v>
      </c>
      <c r="V66" s="316">
        <v>10</v>
      </c>
      <c r="W66" s="316" t="s">
        <v>103</v>
      </c>
      <c r="Y66" s="317">
        <v>3</v>
      </c>
      <c r="Z66" s="317">
        <v>3.31</v>
      </c>
    </row>
    <row r="67" spans="2:26" ht="15" customHeight="1">
      <c r="B67" s="306">
        <f t="shared" si="64"/>
        <v>3</v>
      </c>
      <c r="C67" s="318" t="str">
        <f t="shared" si="65"/>
        <v/>
      </c>
      <c r="D67" s="318" t="str">
        <f t="shared" si="66"/>
        <v/>
      </c>
      <c r="E67" s="318" t="str">
        <f t="shared" si="73"/>
        <v>-</v>
      </c>
      <c r="F67" s="318" t="str">
        <f t="shared" si="74"/>
        <v>-</v>
      </c>
      <c r="G67" s="318" t="str">
        <f t="shared" si="67"/>
        <v/>
      </c>
      <c r="I67" s="228" t="str">
        <f>IF($Q11=FALSE,"",ROUND(Pressure_3_R1!N6,$N$64))</f>
        <v/>
      </c>
      <c r="J67" s="228" t="str">
        <f>IF($Q11=FALSE,"",ROUND(Pressure_3_R1!O6,N$64))</f>
        <v/>
      </c>
      <c r="K67" s="228" t="str">
        <f t="shared" si="68"/>
        <v/>
      </c>
      <c r="L67" s="229" t="str">
        <f t="shared" si="75"/>
        <v>-</v>
      </c>
      <c r="N67" s="171" t="str">
        <f t="shared" ca="1" si="69"/>
        <v/>
      </c>
      <c r="O67" s="171" t="str">
        <f t="shared" ca="1" si="70"/>
        <v/>
      </c>
      <c r="P67" s="171" t="str">
        <f t="shared" ca="1" si="71"/>
        <v/>
      </c>
      <c r="Q67" s="171" t="str">
        <f t="shared" si="72"/>
        <v/>
      </c>
      <c r="S67" s="316">
        <v>1E-4</v>
      </c>
      <c r="T67" s="316" t="s">
        <v>486</v>
      </c>
      <c r="U67" s="316">
        <v>4</v>
      </c>
      <c r="V67" s="316">
        <v>100</v>
      </c>
      <c r="W67" s="316" t="s">
        <v>104</v>
      </c>
      <c r="Y67" s="317">
        <v>4</v>
      </c>
      <c r="Z67" s="317">
        <v>2.87</v>
      </c>
    </row>
    <row r="68" spans="2:26" ht="15" customHeight="1">
      <c r="B68" s="306">
        <f t="shared" si="64"/>
        <v>4</v>
      </c>
      <c r="C68" s="318" t="str">
        <f t="shared" si="65"/>
        <v/>
      </c>
      <c r="D68" s="318" t="str">
        <f t="shared" si="66"/>
        <v/>
      </c>
      <c r="E68" s="318" t="str">
        <f t="shared" si="73"/>
        <v>-</v>
      </c>
      <c r="F68" s="318" t="str">
        <f t="shared" si="74"/>
        <v>-</v>
      </c>
      <c r="G68" s="318" t="str">
        <f t="shared" si="67"/>
        <v/>
      </c>
      <c r="I68" s="228" t="str">
        <f>IF($Q12=FALSE,"",ROUND(Pressure_3_R1!N7,$N$64))</f>
        <v/>
      </c>
      <c r="J68" s="228" t="str">
        <f>IF($Q12=FALSE,"",ROUND(Pressure_3_R1!O7,N$64))</f>
        <v/>
      </c>
      <c r="K68" s="228" t="str">
        <f t="shared" si="68"/>
        <v/>
      </c>
      <c r="L68" s="229" t="str">
        <f t="shared" si="75"/>
        <v>-</v>
      </c>
      <c r="N68" s="171" t="str">
        <f t="shared" ca="1" si="69"/>
        <v/>
      </c>
      <c r="O68" s="171" t="str">
        <f t="shared" ca="1" si="70"/>
        <v/>
      </c>
      <c r="P68" s="171" t="str">
        <f t="shared" ca="1" si="71"/>
        <v/>
      </c>
      <c r="Q68" s="171" t="str">
        <f t="shared" si="72"/>
        <v/>
      </c>
      <c r="S68" s="316">
        <v>1E-3</v>
      </c>
      <c r="T68" s="319" t="s">
        <v>487</v>
      </c>
      <c r="U68" s="316">
        <v>3</v>
      </c>
      <c r="V68" s="316">
        <v>1000</v>
      </c>
      <c r="W68" s="316" t="s">
        <v>105</v>
      </c>
      <c r="Y68" s="317">
        <v>5</v>
      </c>
      <c r="Z68" s="317">
        <v>2.65</v>
      </c>
    </row>
    <row r="69" spans="2:26" ht="15" customHeight="1">
      <c r="B69" s="306">
        <f t="shared" si="64"/>
        <v>5</v>
      </c>
      <c r="C69" s="318" t="str">
        <f t="shared" si="65"/>
        <v/>
      </c>
      <c r="D69" s="318" t="str">
        <f t="shared" si="66"/>
        <v/>
      </c>
      <c r="E69" s="318" t="str">
        <f t="shared" si="73"/>
        <v>-</v>
      </c>
      <c r="F69" s="318" t="str">
        <f t="shared" si="74"/>
        <v>-</v>
      </c>
      <c r="G69" s="318" t="str">
        <f t="shared" si="67"/>
        <v/>
      </c>
      <c r="I69" s="228" t="str">
        <f>IF($Q13=FALSE,"",ROUND(Pressure_3_R1!N8,$N$64))</f>
        <v/>
      </c>
      <c r="J69" s="228" t="str">
        <f>IF($Q13=FALSE,"",ROUND(Pressure_3_R1!O8,N$64))</f>
        <v/>
      </c>
      <c r="K69" s="228" t="str">
        <f t="shared" si="68"/>
        <v/>
      </c>
      <c r="L69" s="229" t="str">
        <f t="shared" si="75"/>
        <v>-</v>
      </c>
      <c r="N69" s="171" t="str">
        <f t="shared" ca="1" si="69"/>
        <v/>
      </c>
      <c r="O69" s="171" t="str">
        <f t="shared" ca="1" si="70"/>
        <v/>
      </c>
      <c r="P69" s="171" t="str">
        <f t="shared" ca="1" si="71"/>
        <v/>
      </c>
      <c r="Q69" s="171" t="str">
        <f t="shared" si="72"/>
        <v/>
      </c>
      <c r="S69" s="316">
        <v>0.01</v>
      </c>
      <c r="T69" s="319" t="s">
        <v>488</v>
      </c>
      <c r="U69" s="316">
        <v>2</v>
      </c>
      <c r="V69" s="316">
        <v>10000</v>
      </c>
      <c r="W69" s="316" t="s">
        <v>106</v>
      </c>
      <c r="Y69" s="317">
        <v>6</v>
      </c>
      <c r="Z69" s="317">
        <v>2.52</v>
      </c>
    </row>
    <row r="70" spans="2:26" ht="15" customHeight="1">
      <c r="B70" s="306">
        <f t="shared" si="64"/>
        <v>6</v>
      </c>
      <c r="C70" s="318" t="str">
        <f t="shared" si="65"/>
        <v/>
      </c>
      <c r="D70" s="318" t="str">
        <f t="shared" si="66"/>
        <v/>
      </c>
      <c r="E70" s="318" t="str">
        <f t="shared" si="73"/>
        <v>-</v>
      </c>
      <c r="F70" s="318" t="str">
        <f t="shared" si="74"/>
        <v>-</v>
      </c>
      <c r="G70" s="318" t="str">
        <f t="shared" si="67"/>
        <v/>
      </c>
      <c r="I70" s="228" t="str">
        <f>IF($Q14=FALSE,"",ROUND(Pressure_3_R1!N9,$N$64))</f>
        <v/>
      </c>
      <c r="J70" s="228" t="str">
        <f>IF($Q14=FALSE,"",ROUND(Pressure_3_R1!O9,N$64))</f>
        <v/>
      </c>
      <c r="K70" s="228" t="str">
        <f t="shared" si="68"/>
        <v/>
      </c>
      <c r="L70" s="229" t="str">
        <f t="shared" si="75"/>
        <v>-</v>
      </c>
      <c r="N70" s="171" t="str">
        <f t="shared" ca="1" si="69"/>
        <v/>
      </c>
      <c r="O70" s="171" t="str">
        <f t="shared" ca="1" si="70"/>
        <v/>
      </c>
      <c r="P70" s="171" t="str">
        <f t="shared" ca="1" si="71"/>
        <v/>
      </c>
      <c r="Q70" s="171" t="str">
        <f t="shared" si="72"/>
        <v/>
      </c>
      <c r="S70" s="316">
        <v>0.1</v>
      </c>
      <c r="T70" s="319" t="s">
        <v>489</v>
      </c>
      <c r="U70" s="316">
        <v>1</v>
      </c>
      <c r="V70" s="316">
        <v>100000</v>
      </c>
      <c r="W70" s="316" t="s">
        <v>107</v>
      </c>
      <c r="Y70" s="317">
        <v>7</v>
      </c>
      <c r="Z70" s="317">
        <v>2.4300000000000002</v>
      </c>
    </row>
    <row r="71" spans="2:26" ht="15" customHeight="1">
      <c r="B71" s="306">
        <f t="shared" si="64"/>
        <v>7</v>
      </c>
      <c r="C71" s="318" t="str">
        <f t="shared" si="65"/>
        <v/>
      </c>
      <c r="D71" s="318" t="str">
        <f t="shared" si="66"/>
        <v/>
      </c>
      <c r="E71" s="318" t="str">
        <f t="shared" si="73"/>
        <v>-</v>
      </c>
      <c r="F71" s="318" t="str">
        <f t="shared" si="74"/>
        <v>-</v>
      </c>
      <c r="G71" s="318" t="str">
        <f t="shared" si="67"/>
        <v/>
      </c>
      <c r="I71" s="228" t="str">
        <f>IF($Q15=FALSE,"",ROUND(Pressure_3_R1!N10,$N$64))</f>
        <v/>
      </c>
      <c r="J71" s="228" t="str">
        <f>IF($Q15=FALSE,"",ROUND(Pressure_3_R1!O10,N$64))</f>
        <v/>
      </c>
      <c r="K71" s="228" t="str">
        <f t="shared" si="68"/>
        <v/>
      </c>
      <c r="L71" s="229" t="str">
        <f t="shared" si="75"/>
        <v>-</v>
      </c>
      <c r="N71" s="171" t="str">
        <f t="shared" ca="1" si="69"/>
        <v/>
      </c>
      <c r="O71" s="171" t="str">
        <f t="shared" ca="1" si="70"/>
        <v/>
      </c>
      <c r="P71" s="171" t="str">
        <f t="shared" ca="1" si="71"/>
        <v/>
      </c>
      <c r="Q71" s="171" t="str">
        <f t="shared" si="72"/>
        <v/>
      </c>
      <c r="S71" s="316">
        <v>1</v>
      </c>
      <c r="T71" s="316">
        <v>0</v>
      </c>
      <c r="U71" s="316">
        <v>0</v>
      </c>
      <c r="V71" s="316">
        <v>1000000</v>
      </c>
      <c r="W71" s="316" t="s">
        <v>108</v>
      </c>
      <c r="Y71" s="317">
        <v>8</v>
      </c>
      <c r="Z71" s="317">
        <v>2.37</v>
      </c>
    </row>
    <row r="72" spans="2:26" ht="15" customHeight="1">
      <c r="B72" s="306">
        <f t="shared" si="64"/>
        <v>8</v>
      </c>
      <c r="C72" s="318" t="str">
        <f t="shared" si="65"/>
        <v/>
      </c>
      <c r="D72" s="318" t="str">
        <f t="shared" si="66"/>
        <v/>
      </c>
      <c r="E72" s="318" t="str">
        <f t="shared" si="73"/>
        <v>-</v>
      </c>
      <c r="F72" s="318" t="str">
        <f t="shared" si="74"/>
        <v>-</v>
      </c>
      <c r="G72" s="318" t="str">
        <f t="shared" si="67"/>
        <v/>
      </c>
      <c r="I72" s="228" t="str">
        <f>IF($Q16=FALSE,"",ROUND(Pressure_3_R1!N11,$N$64))</f>
        <v/>
      </c>
      <c r="J72" s="228" t="str">
        <f>IF($Q16=FALSE,"",ROUND(Pressure_3_R1!O11,N$64))</f>
        <v/>
      </c>
      <c r="K72" s="228" t="str">
        <f t="shared" si="68"/>
        <v/>
      </c>
      <c r="L72" s="229" t="str">
        <f t="shared" si="75"/>
        <v>-</v>
      </c>
      <c r="N72" s="171" t="str">
        <f t="shared" ca="1" si="69"/>
        <v/>
      </c>
      <c r="O72" s="171" t="str">
        <f t="shared" ca="1" si="70"/>
        <v/>
      </c>
      <c r="P72" s="171" t="str">
        <f t="shared" ca="1" si="71"/>
        <v/>
      </c>
      <c r="Q72" s="171" t="str">
        <f t="shared" si="72"/>
        <v/>
      </c>
      <c r="S72" s="316">
        <v>10</v>
      </c>
      <c r="T72" s="316">
        <v>0</v>
      </c>
      <c r="U72" s="316">
        <v>-1</v>
      </c>
      <c r="V72" s="316">
        <v>10000000</v>
      </c>
      <c r="W72" s="316" t="s">
        <v>109</v>
      </c>
      <c r="Y72" s="317">
        <v>9</v>
      </c>
      <c r="Z72" s="317">
        <v>2.3199999999999998</v>
      </c>
    </row>
    <row r="73" spans="2:26" ht="15" customHeight="1">
      <c r="B73" s="306">
        <f t="shared" si="64"/>
        <v>9</v>
      </c>
      <c r="C73" s="318" t="str">
        <f t="shared" si="65"/>
        <v/>
      </c>
      <c r="D73" s="318" t="str">
        <f t="shared" si="66"/>
        <v/>
      </c>
      <c r="E73" s="318" t="str">
        <f t="shared" si="73"/>
        <v>-</v>
      </c>
      <c r="F73" s="318" t="str">
        <f t="shared" si="74"/>
        <v>-</v>
      </c>
      <c r="G73" s="318" t="str">
        <f t="shared" si="67"/>
        <v/>
      </c>
      <c r="I73" s="228" t="str">
        <f>IF($Q17=FALSE,"",ROUND(Pressure_3_R1!N12,$N$64))</f>
        <v/>
      </c>
      <c r="J73" s="228" t="str">
        <f>IF($Q17=FALSE,"",ROUND(Pressure_3_R1!O12,N$64))</f>
        <v/>
      </c>
      <c r="K73" s="228" t="str">
        <f t="shared" si="68"/>
        <v/>
      </c>
      <c r="L73" s="229" t="str">
        <f t="shared" si="75"/>
        <v>-</v>
      </c>
      <c r="N73" s="171" t="str">
        <f t="shared" ca="1" si="69"/>
        <v/>
      </c>
      <c r="O73" s="171" t="str">
        <f t="shared" ca="1" si="70"/>
        <v/>
      </c>
      <c r="P73" s="171" t="str">
        <f t="shared" ca="1" si="71"/>
        <v/>
      </c>
      <c r="Q73" s="171" t="str">
        <f t="shared" si="72"/>
        <v/>
      </c>
      <c r="S73" s="316">
        <v>100</v>
      </c>
      <c r="T73" s="316">
        <v>0</v>
      </c>
      <c r="U73" s="316">
        <v>-2</v>
      </c>
      <c r="V73" s="316"/>
      <c r="W73" s="316"/>
      <c r="Y73" s="317" t="s">
        <v>373</v>
      </c>
      <c r="Z73" s="317">
        <v>2</v>
      </c>
    </row>
    <row r="74" spans="2:26" ht="15" customHeight="1">
      <c r="B74" s="306">
        <f t="shared" si="64"/>
        <v>10</v>
      </c>
      <c r="C74" s="318" t="str">
        <f t="shared" si="65"/>
        <v/>
      </c>
      <c r="D74" s="318" t="str">
        <f t="shared" si="66"/>
        <v/>
      </c>
      <c r="E74" s="318" t="str">
        <f t="shared" si="73"/>
        <v>-</v>
      </c>
      <c r="F74" s="318" t="str">
        <f t="shared" si="74"/>
        <v>-</v>
      </c>
      <c r="G74" s="318" t="str">
        <f t="shared" si="67"/>
        <v/>
      </c>
      <c r="I74" s="228" t="str">
        <f>IF($Q18=FALSE,"",ROUND(Pressure_3_R1!N13,$N$64))</f>
        <v/>
      </c>
      <c r="J74" s="228" t="str">
        <f>IF($Q18=FALSE,"",ROUND(Pressure_3_R1!O13,N$64))</f>
        <v/>
      </c>
      <c r="K74" s="228" t="str">
        <f t="shared" si="68"/>
        <v/>
      </c>
      <c r="L74" s="229" t="str">
        <f t="shared" si="75"/>
        <v>-</v>
      </c>
      <c r="N74" s="171" t="str">
        <f t="shared" ca="1" si="69"/>
        <v/>
      </c>
      <c r="O74" s="171" t="str">
        <f t="shared" ca="1" si="70"/>
        <v/>
      </c>
      <c r="P74" s="171" t="str">
        <f t="shared" ca="1" si="71"/>
        <v/>
      </c>
      <c r="Q74" s="171" t="str">
        <f t="shared" si="72"/>
        <v/>
      </c>
      <c r="S74" s="161"/>
      <c r="T74" s="161"/>
    </row>
    <row r="75" spans="2:26" ht="15" customHeight="1">
      <c r="B75" s="306">
        <f t="shared" si="64"/>
        <v>11</v>
      </c>
      <c r="C75" s="318" t="str">
        <f t="shared" si="65"/>
        <v/>
      </c>
      <c r="D75" s="318" t="str">
        <f t="shared" si="66"/>
        <v/>
      </c>
      <c r="E75" s="318" t="str">
        <f t="shared" si="73"/>
        <v>-</v>
      </c>
      <c r="F75" s="318" t="str">
        <f t="shared" si="74"/>
        <v>-</v>
      </c>
      <c r="G75" s="318" t="str">
        <f t="shared" si="67"/>
        <v/>
      </c>
      <c r="I75" s="228" t="str">
        <f>IF($Q19=FALSE,"",ROUND(Pressure_3_R1!N14,$N$64))</f>
        <v/>
      </c>
      <c r="J75" s="228" t="str">
        <f>IF($Q19=FALSE,"",ROUND(Pressure_3_R1!O14,N$64))</f>
        <v/>
      </c>
      <c r="K75" s="228" t="str">
        <f t="shared" si="68"/>
        <v/>
      </c>
      <c r="L75" s="229" t="str">
        <f t="shared" si="75"/>
        <v>-</v>
      </c>
      <c r="N75" s="171" t="str">
        <f t="shared" ca="1" si="69"/>
        <v/>
      </c>
      <c r="O75" s="171" t="str">
        <f t="shared" ca="1" si="70"/>
        <v/>
      </c>
      <c r="P75" s="171" t="str">
        <f t="shared" ca="1" si="71"/>
        <v/>
      </c>
      <c r="Q75" s="171" t="str">
        <f t="shared" si="72"/>
        <v/>
      </c>
      <c r="S75" s="164" t="s">
        <v>490</v>
      </c>
    </row>
    <row r="76" spans="2:26" ht="15" customHeight="1">
      <c r="B76" s="306">
        <f t="shared" si="64"/>
        <v>12</v>
      </c>
      <c r="C76" s="318" t="str">
        <f t="shared" si="65"/>
        <v/>
      </c>
      <c r="D76" s="318" t="str">
        <f t="shared" si="66"/>
        <v/>
      </c>
      <c r="E76" s="318" t="str">
        <f t="shared" si="73"/>
        <v>-</v>
      </c>
      <c r="F76" s="318" t="str">
        <f t="shared" si="74"/>
        <v>-</v>
      </c>
      <c r="G76" s="318" t="str">
        <f t="shared" si="67"/>
        <v/>
      </c>
      <c r="I76" s="228" t="str">
        <f>IF($Q20=FALSE,"",ROUND(Pressure_3_R1!N15,$N$64))</f>
        <v/>
      </c>
      <c r="J76" s="228" t="str">
        <f>IF($Q20=FALSE,"",ROUND(Pressure_3_R1!O15,N$64))</f>
        <v/>
      </c>
      <c r="K76" s="228" t="str">
        <f t="shared" si="68"/>
        <v/>
      </c>
      <c r="L76" s="229" t="str">
        <f t="shared" si="75"/>
        <v>-</v>
      </c>
      <c r="N76" s="171" t="str">
        <f t="shared" ca="1" si="69"/>
        <v/>
      </c>
      <c r="O76" s="171" t="str">
        <f t="shared" ca="1" si="70"/>
        <v/>
      </c>
      <c r="P76" s="171" t="str">
        <f t="shared" ca="1" si="71"/>
        <v/>
      </c>
      <c r="Q76" s="171" t="str">
        <f t="shared" si="72"/>
        <v/>
      </c>
      <c r="S76" s="769" t="s">
        <v>491</v>
      </c>
      <c r="T76" s="770"/>
    </row>
    <row r="77" spans="2:26" ht="15" customHeight="1">
      <c r="B77" s="306">
        <f t="shared" si="64"/>
        <v>13</v>
      </c>
      <c r="C77" s="318" t="str">
        <f t="shared" si="65"/>
        <v/>
      </c>
      <c r="D77" s="318" t="str">
        <f t="shared" si="66"/>
        <v/>
      </c>
      <c r="E77" s="318" t="str">
        <f t="shared" si="73"/>
        <v>-</v>
      </c>
      <c r="F77" s="318" t="str">
        <f t="shared" si="74"/>
        <v>-</v>
      </c>
      <c r="G77" s="318" t="str">
        <f t="shared" si="67"/>
        <v/>
      </c>
      <c r="I77" s="228" t="str">
        <f>IF($Q21=FALSE,"",ROUND(Pressure_3_R1!N16,$N$64))</f>
        <v/>
      </c>
      <c r="J77" s="228" t="str">
        <f>IF($Q21=FALSE,"",ROUND(Pressure_3_R1!O16,N$64))</f>
        <v/>
      </c>
      <c r="K77" s="228" t="str">
        <f t="shared" si="68"/>
        <v/>
      </c>
      <c r="L77" s="229" t="str">
        <f t="shared" si="75"/>
        <v>-</v>
      </c>
      <c r="N77" s="171" t="str">
        <f t="shared" ca="1" si="69"/>
        <v/>
      </c>
      <c r="O77" s="171" t="str">
        <f t="shared" ca="1" si="70"/>
        <v/>
      </c>
      <c r="P77" s="171" t="str">
        <f t="shared" ca="1" si="71"/>
        <v/>
      </c>
      <c r="Q77" s="171" t="str">
        <f t="shared" si="72"/>
        <v/>
      </c>
      <c r="S77" s="310" t="s">
        <v>492</v>
      </c>
      <c r="T77" s="320" t="e">
        <f>SLOPE(E45:E59,K45:K59)</f>
        <v>#DIV/0!</v>
      </c>
    </row>
    <row r="78" spans="2:26" ht="15" customHeight="1">
      <c r="B78" s="306">
        <f t="shared" si="64"/>
        <v>14</v>
      </c>
      <c r="C78" s="318" t="str">
        <f t="shared" si="65"/>
        <v/>
      </c>
      <c r="D78" s="318" t="str">
        <f t="shared" si="66"/>
        <v/>
      </c>
      <c r="E78" s="318" t="str">
        <f t="shared" si="73"/>
        <v>-</v>
      </c>
      <c r="F78" s="318" t="str">
        <f t="shared" si="74"/>
        <v>-</v>
      </c>
      <c r="G78" s="318" t="str">
        <f t="shared" si="67"/>
        <v/>
      </c>
      <c r="I78" s="228" t="str">
        <f>IF($Q22=FALSE,"",ROUND(Pressure_3_R1!N17,$N$64))</f>
        <v/>
      </c>
      <c r="J78" s="228" t="str">
        <f>IF($Q22=FALSE,"",ROUND(Pressure_3_R1!O17,N$64))</f>
        <v/>
      </c>
      <c r="K78" s="228" t="str">
        <f t="shared" si="68"/>
        <v/>
      </c>
      <c r="L78" s="229" t="str">
        <f t="shared" si="75"/>
        <v>-</v>
      </c>
      <c r="N78" s="171" t="str">
        <f t="shared" ca="1" si="69"/>
        <v/>
      </c>
      <c r="O78" s="171" t="str">
        <f t="shared" ca="1" si="70"/>
        <v/>
      </c>
      <c r="P78" s="171" t="str">
        <f t="shared" ca="1" si="71"/>
        <v/>
      </c>
      <c r="Q78" s="171" t="str">
        <f t="shared" si="72"/>
        <v/>
      </c>
      <c r="S78" s="310" t="s">
        <v>493</v>
      </c>
      <c r="T78" s="320" t="e">
        <f>INTERCEPT(E45:E59,K45:K59)</f>
        <v>#DIV/0!</v>
      </c>
      <c r="U78" s="175"/>
    </row>
    <row r="79" spans="2:26" ht="15" customHeight="1">
      <c r="B79" s="306">
        <f t="shared" si="64"/>
        <v>15</v>
      </c>
      <c r="C79" s="318" t="str">
        <f t="shared" si="65"/>
        <v/>
      </c>
      <c r="D79" s="318" t="str">
        <f t="shared" si="66"/>
        <v/>
      </c>
      <c r="E79" s="318" t="str">
        <f t="shared" si="73"/>
        <v>-</v>
      </c>
      <c r="F79" s="318" t="str">
        <f t="shared" si="74"/>
        <v>-</v>
      </c>
      <c r="G79" s="318" t="str">
        <f t="shared" si="67"/>
        <v/>
      </c>
      <c r="I79" s="228" t="str">
        <f>IF($Q23=FALSE,"",ROUND(Pressure_3_R1!N18,$N$64))</f>
        <v/>
      </c>
      <c r="J79" s="228" t="str">
        <f>IF($Q23=FALSE,"",ROUND(Pressure_3_R1!O18,N$64))</f>
        <v/>
      </c>
      <c r="K79" s="228" t="str">
        <f t="shared" si="68"/>
        <v/>
      </c>
      <c r="L79" s="229" t="str">
        <f t="shared" si="75"/>
        <v>-</v>
      </c>
      <c r="N79" s="171" t="str">
        <f t="shared" ca="1" si="69"/>
        <v/>
      </c>
      <c r="O79" s="171" t="str">
        <f t="shared" ca="1" si="70"/>
        <v/>
      </c>
      <c r="P79" s="171" t="str">
        <f t="shared" ca="1" si="71"/>
        <v/>
      </c>
      <c r="Q79" s="171" t="str">
        <f t="shared" si="72"/>
        <v/>
      </c>
      <c r="R79" s="161"/>
      <c r="T79" s="161"/>
    </row>
    <row r="80" spans="2:26" ht="15" customHeight="1">
      <c r="B80" s="161"/>
      <c r="C80" s="161"/>
      <c r="D80" s="161"/>
      <c r="E80" s="161"/>
    </row>
    <row r="81" spans="1:24" ht="15" customHeight="1">
      <c r="B81" s="321" t="s">
        <v>494</v>
      </c>
      <c r="C81" s="321" t="s">
        <v>495</v>
      </c>
      <c r="D81" s="321" t="s">
        <v>496</v>
      </c>
      <c r="E81" s="321" t="s">
        <v>497</v>
      </c>
      <c r="F81" s="321" t="s">
        <v>382</v>
      </c>
      <c r="G81" s="321" t="s">
        <v>183</v>
      </c>
      <c r="I81" s="321" t="s">
        <v>494</v>
      </c>
      <c r="J81" s="321" t="s">
        <v>495</v>
      </c>
      <c r="K81" s="321" t="s">
        <v>182</v>
      </c>
      <c r="L81" s="321" t="s">
        <v>497</v>
      </c>
      <c r="M81" s="321" t="s">
        <v>498</v>
      </c>
      <c r="N81" s="321" t="s">
        <v>499</v>
      </c>
    </row>
    <row r="82" spans="1:24" ht="15" customHeight="1">
      <c r="B82" s="321" t="s">
        <v>184</v>
      </c>
      <c r="C82" s="287" t="s">
        <v>500</v>
      </c>
      <c r="D82" s="287" t="s">
        <v>501</v>
      </c>
      <c r="E82" s="287"/>
      <c r="F82" s="287" t="s">
        <v>502</v>
      </c>
      <c r="G82" s="287"/>
      <c r="I82" s="321">
        <f>기본정보!C9</f>
        <v>0</v>
      </c>
      <c r="J82" s="321" t="e">
        <f>VLOOKUP($I82,$B82:$G87,2,FALSE)</f>
        <v>#N/A</v>
      </c>
      <c r="K82" s="321" t="e">
        <f>VLOOKUP($I82,$B82:$G87,3,FALSE)</f>
        <v>#N/A</v>
      </c>
      <c r="L82" s="321" t="e">
        <f>VLOOKUP($I82,$B82:$G87,4,FALSE)</f>
        <v>#N/A</v>
      </c>
      <c r="M82" s="321" t="e">
        <f>VLOOKUP($I82,$B82:$G87,5,FALSE)</f>
        <v>#N/A</v>
      </c>
      <c r="N82" s="321" t="e">
        <f>VLOOKUP($I82,$B82:$G87,6,FALSE)</f>
        <v>#N/A</v>
      </c>
    </row>
    <row r="83" spans="1:24" ht="15" customHeight="1">
      <c r="B83" s="321"/>
      <c r="C83" s="287"/>
      <c r="D83" s="287"/>
      <c r="E83" s="287"/>
      <c r="F83" s="287"/>
      <c r="G83" s="287"/>
    </row>
    <row r="84" spans="1:24" ht="15" customHeight="1">
      <c r="B84" s="321"/>
      <c r="C84" s="287"/>
      <c r="D84" s="287"/>
      <c r="E84" s="287"/>
      <c r="F84" s="287"/>
      <c r="G84" s="287"/>
    </row>
    <row r="85" spans="1:24" ht="15" customHeight="1">
      <c r="B85" s="321"/>
      <c r="C85" s="287"/>
      <c r="D85" s="287"/>
      <c r="E85" s="287"/>
      <c r="F85" s="287"/>
      <c r="G85" s="287"/>
    </row>
    <row r="86" spans="1:24" ht="15" customHeight="1">
      <c r="B86" s="321"/>
      <c r="C86" s="287"/>
      <c r="D86" s="287"/>
      <c r="E86" s="287"/>
      <c r="F86" s="287"/>
      <c r="G86" s="287"/>
    </row>
    <row r="87" spans="1:24" ht="15" customHeight="1">
      <c r="B87" s="321"/>
      <c r="C87" s="287"/>
      <c r="D87" s="287"/>
      <c r="E87" s="287"/>
      <c r="F87" s="287"/>
      <c r="G87" s="287"/>
    </row>
    <row r="89" spans="1:24" ht="15" customHeight="1">
      <c r="A89" s="230" t="s">
        <v>194</v>
      </c>
    </row>
    <row r="90" spans="1:24" ht="15" customHeight="1">
      <c r="B90" s="321" t="s">
        <v>181</v>
      </c>
      <c r="C90" s="302" t="s">
        <v>185</v>
      </c>
      <c r="D90" s="303"/>
      <c r="E90" s="304"/>
      <c r="F90" s="302" t="s">
        <v>503</v>
      </c>
      <c r="G90" s="304"/>
      <c r="H90" s="321" t="s">
        <v>504</v>
      </c>
      <c r="I90" s="321" t="s">
        <v>505</v>
      </c>
      <c r="J90" s="321" t="s">
        <v>506</v>
      </c>
      <c r="L90" s="321" t="s">
        <v>186</v>
      </c>
      <c r="M90" s="321" t="s">
        <v>187</v>
      </c>
      <c r="N90" s="321" t="s">
        <v>507</v>
      </c>
      <c r="O90" s="321" t="s">
        <v>508</v>
      </c>
      <c r="P90" s="321" t="s">
        <v>509</v>
      </c>
      <c r="Q90" s="321" t="s">
        <v>510</v>
      </c>
      <c r="R90" s="321" t="s">
        <v>511</v>
      </c>
      <c r="S90" s="321" t="s">
        <v>512</v>
      </c>
      <c r="U90" s="170"/>
      <c r="V90" s="170"/>
      <c r="W90" s="170"/>
      <c r="X90" s="170"/>
    </row>
    <row r="91" spans="1:24" ht="15" customHeight="1">
      <c r="B91" s="322" t="s">
        <v>513</v>
      </c>
      <c r="C91" s="322"/>
      <c r="D91" s="322"/>
      <c r="E91" s="322"/>
      <c r="F91" s="322"/>
      <c r="G91" s="322"/>
      <c r="H91" s="322"/>
      <c r="I91" s="323">
        <v>350000</v>
      </c>
      <c r="J91" s="787" t="s">
        <v>514</v>
      </c>
      <c r="L91" s="321" t="s">
        <v>515</v>
      </c>
      <c r="M91" s="324">
        <f>COUNT(J9:L38)</f>
        <v>0</v>
      </c>
      <c r="N91" s="321" t="b">
        <f>NOT(M91=0)</f>
        <v>0</v>
      </c>
      <c r="O91" s="321">
        <f>IF((M91-16)&lt;0,0,M91-16)</f>
        <v>0</v>
      </c>
      <c r="P91" s="325">
        <f>I91</f>
        <v>350000</v>
      </c>
      <c r="Q91" s="325">
        <f>P91*6.25%*O91</f>
        <v>0</v>
      </c>
      <c r="R91" s="325">
        <f>IF(N91=TRUE,P91+Q91,0)</f>
        <v>0</v>
      </c>
      <c r="S91" s="790">
        <f>SUM(R91:R94)</f>
        <v>0</v>
      </c>
      <c r="U91" s="170"/>
      <c r="V91" s="170"/>
      <c r="W91" s="170"/>
      <c r="X91" s="170"/>
    </row>
    <row r="92" spans="1:24" ht="15" customHeight="1">
      <c r="B92" s="322"/>
      <c r="C92" s="322"/>
      <c r="D92" s="322"/>
      <c r="E92" s="322"/>
      <c r="F92" s="322"/>
      <c r="G92" s="322"/>
      <c r="H92" s="322"/>
      <c r="I92" s="323"/>
      <c r="J92" s="788"/>
      <c r="L92" s="321"/>
      <c r="M92" s="324"/>
      <c r="N92" s="321"/>
      <c r="O92" s="321"/>
      <c r="P92" s="325"/>
      <c r="Q92" s="325"/>
      <c r="R92" s="325"/>
      <c r="S92" s="791"/>
      <c r="U92" s="170"/>
      <c r="V92" s="170"/>
      <c r="W92" s="170"/>
      <c r="X92" s="170"/>
    </row>
    <row r="93" spans="1:24" ht="15" customHeight="1">
      <c r="B93" s="322"/>
      <c r="C93" s="322"/>
      <c r="D93" s="322"/>
      <c r="E93" s="322"/>
      <c r="F93" s="322"/>
      <c r="G93" s="322"/>
      <c r="H93" s="322"/>
      <c r="I93" s="323"/>
      <c r="J93" s="788"/>
      <c r="L93" s="321"/>
      <c r="M93" s="324"/>
      <c r="N93" s="321"/>
      <c r="O93" s="321"/>
      <c r="P93" s="325"/>
      <c r="Q93" s="325"/>
      <c r="R93" s="325"/>
      <c r="S93" s="791"/>
      <c r="U93" s="170"/>
      <c r="V93" s="170"/>
      <c r="W93" s="170"/>
      <c r="X93" s="170"/>
    </row>
    <row r="94" spans="1:24" ht="15" customHeight="1">
      <c r="B94" s="322"/>
      <c r="C94" s="322"/>
      <c r="D94" s="322"/>
      <c r="E94" s="322"/>
      <c r="F94" s="322"/>
      <c r="G94" s="322"/>
      <c r="H94" s="322"/>
      <c r="I94" s="323"/>
      <c r="J94" s="788"/>
      <c r="L94" s="321"/>
      <c r="M94" s="324"/>
      <c r="N94" s="321"/>
      <c r="O94" s="321"/>
      <c r="P94" s="325"/>
      <c r="Q94" s="325"/>
      <c r="R94" s="325"/>
      <c r="S94" s="792"/>
      <c r="U94" s="170"/>
      <c r="V94" s="170"/>
      <c r="W94" s="170"/>
      <c r="X94" s="170"/>
    </row>
    <row r="95" spans="1:24" ht="15" customHeight="1">
      <c r="B95" s="322"/>
      <c r="C95" s="322"/>
      <c r="D95" s="322"/>
      <c r="E95" s="322"/>
      <c r="F95" s="322"/>
      <c r="G95" s="322"/>
      <c r="H95" s="322"/>
      <c r="I95" s="323"/>
      <c r="J95" s="788"/>
      <c r="L95" s="161"/>
      <c r="U95" s="170"/>
      <c r="V95" s="170"/>
      <c r="W95" s="170"/>
      <c r="X95" s="170"/>
    </row>
    <row r="96" spans="1:24" ht="15" customHeight="1">
      <c r="B96" s="322"/>
      <c r="C96" s="322"/>
      <c r="D96" s="322"/>
      <c r="E96" s="322"/>
      <c r="F96" s="322"/>
      <c r="G96" s="322"/>
      <c r="H96" s="322"/>
      <c r="I96" s="323"/>
      <c r="J96" s="788"/>
      <c r="L96" s="231" t="s">
        <v>516</v>
      </c>
    </row>
    <row r="97" spans="2:24" ht="15" customHeight="1">
      <c r="B97" s="326"/>
      <c r="C97" s="326"/>
      <c r="D97" s="326"/>
      <c r="E97" s="326"/>
      <c r="F97" s="326"/>
      <c r="G97" s="326"/>
      <c r="H97" s="326"/>
      <c r="I97" s="327"/>
      <c r="J97" s="788"/>
      <c r="L97" s="244" t="s">
        <v>517</v>
      </c>
      <c r="M97" s="161"/>
      <c r="N97" s="161"/>
      <c r="O97" s="161"/>
      <c r="P97" s="161"/>
    </row>
    <row r="98" spans="2:24" ht="15" customHeight="1">
      <c r="B98" s="326"/>
      <c r="C98" s="326"/>
      <c r="D98" s="326"/>
      <c r="E98" s="326"/>
      <c r="F98" s="326"/>
      <c r="G98" s="326"/>
      <c r="H98" s="326"/>
      <c r="I98" s="327"/>
      <c r="J98" s="788"/>
      <c r="L98" s="232" t="s">
        <v>518</v>
      </c>
      <c r="M98" s="161"/>
      <c r="N98" s="161"/>
      <c r="O98" s="161"/>
      <c r="P98" s="161"/>
    </row>
    <row r="99" spans="2:24" ht="15" customHeight="1">
      <c r="B99" s="326"/>
      <c r="C99" s="326"/>
      <c r="D99" s="326"/>
      <c r="E99" s="326"/>
      <c r="F99" s="326"/>
      <c r="G99" s="326"/>
      <c r="H99" s="326"/>
      <c r="I99" s="327"/>
      <c r="J99" s="788"/>
      <c r="L99" s="232" t="s">
        <v>132</v>
      </c>
      <c r="M99" s="161"/>
      <c r="N99" s="161"/>
      <c r="O99" s="161"/>
      <c r="P99" s="161"/>
    </row>
    <row r="100" spans="2:24" ht="15" customHeight="1">
      <c r="B100" s="326"/>
      <c r="C100" s="326"/>
      <c r="D100" s="326"/>
      <c r="E100" s="326"/>
      <c r="F100" s="326"/>
      <c r="G100" s="326"/>
      <c r="H100" s="326"/>
      <c r="I100" s="327"/>
      <c r="J100" s="788"/>
      <c r="L100" s="232" t="s">
        <v>133</v>
      </c>
      <c r="M100" s="161"/>
      <c r="N100" s="161"/>
      <c r="O100" s="161"/>
      <c r="P100" s="161"/>
      <c r="Q100" s="161"/>
    </row>
    <row r="101" spans="2:24" ht="15" customHeight="1">
      <c r="B101" s="322"/>
      <c r="C101" s="322"/>
      <c r="D101" s="322"/>
      <c r="E101" s="322"/>
      <c r="F101" s="322"/>
      <c r="G101" s="322"/>
      <c r="H101" s="322"/>
      <c r="I101" s="323"/>
      <c r="J101" s="788"/>
      <c r="K101" s="161"/>
      <c r="L101" s="161"/>
      <c r="M101" s="161"/>
      <c r="N101" s="161"/>
      <c r="O101" s="161"/>
      <c r="U101" s="170"/>
      <c r="V101" s="170"/>
      <c r="W101" s="170"/>
      <c r="X101" s="170"/>
    </row>
    <row r="102" spans="2:24" ht="15" customHeight="1">
      <c r="B102" s="322"/>
      <c r="C102" s="322"/>
      <c r="D102" s="322"/>
      <c r="E102" s="322"/>
      <c r="F102" s="322"/>
      <c r="G102" s="322"/>
      <c r="H102" s="322"/>
      <c r="I102" s="323"/>
      <c r="J102" s="788"/>
      <c r="L102" s="161"/>
      <c r="M102" s="161"/>
      <c r="N102" s="161"/>
      <c r="O102" s="161"/>
      <c r="U102" s="170"/>
      <c r="V102" s="170"/>
      <c r="W102" s="170"/>
      <c r="X102" s="170"/>
    </row>
    <row r="103" spans="2:24" ht="15" customHeight="1">
      <c r="B103" s="326"/>
      <c r="C103" s="326"/>
      <c r="D103" s="326"/>
      <c r="E103" s="326"/>
      <c r="F103" s="326"/>
      <c r="G103" s="326"/>
      <c r="H103" s="326"/>
      <c r="I103" s="327"/>
      <c r="J103" s="788"/>
      <c r="L103" s="161"/>
      <c r="M103" s="161"/>
      <c r="N103" s="161"/>
      <c r="O103" s="161"/>
      <c r="U103" s="170"/>
      <c r="V103" s="170"/>
      <c r="W103" s="170"/>
    </row>
    <row r="104" spans="2:24" ht="15" customHeight="1">
      <c r="B104" s="326"/>
      <c r="C104" s="326"/>
      <c r="D104" s="326"/>
      <c r="E104" s="326"/>
      <c r="F104" s="326"/>
      <c r="G104" s="326"/>
      <c r="H104" s="326"/>
      <c r="I104" s="327"/>
      <c r="J104" s="788"/>
      <c r="L104" s="161"/>
      <c r="M104" s="161"/>
      <c r="N104" s="161"/>
      <c r="O104" s="161"/>
      <c r="U104" s="170"/>
      <c r="V104" s="170"/>
      <c r="W104" s="170"/>
      <c r="X104" s="170"/>
    </row>
    <row r="105" spans="2:24" ht="15" customHeight="1">
      <c r="B105" s="326"/>
      <c r="C105" s="326"/>
      <c r="D105" s="326"/>
      <c r="E105" s="326"/>
      <c r="F105" s="326"/>
      <c r="G105" s="326"/>
      <c r="H105" s="326"/>
      <c r="I105" s="327"/>
      <c r="J105" s="788"/>
      <c r="U105" s="170"/>
      <c r="V105" s="170"/>
      <c r="W105" s="170"/>
      <c r="X105" s="170"/>
    </row>
    <row r="106" spans="2:24" ht="15" customHeight="1">
      <c r="B106" s="326"/>
      <c r="C106" s="326"/>
      <c r="D106" s="326"/>
      <c r="E106" s="326"/>
      <c r="F106" s="326"/>
      <c r="G106" s="326"/>
      <c r="H106" s="326"/>
      <c r="I106" s="327"/>
      <c r="J106" s="788"/>
      <c r="U106" s="170"/>
      <c r="V106" s="170"/>
      <c r="W106" s="170"/>
      <c r="X106" s="170"/>
    </row>
    <row r="107" spans="2:24" ht="15" customHeight="1">
      <c r="B107" s="322"/>
      <c r="C107" s="322"/>
      <c r="D107" s="322"/>
      <c r="E107" s="322"/>
      <c r="F107" s="322"/>
      <c r="G107" s="322"/>
      <c r="H107" s="322"/>
      <c r="I107" s="323"/>
      <c r="J107" s="788"/>
      <c r="K107" s="161"/>
      <c r="X107" s="170"/>
    </row>
    <row r="108" spans="2:24" ht="15" customHeight="1">
      <c r="B108" s="322"/>
      <c r="C108" s="322"/>
      <c r="D108" s="322"/>
      <c r="E108" s="322"/>
      <c r="F108" s="322"/>
      <c r="G108" s="322"/>
      <c r="H108" s="322"/>
      <c r="I108" s="323"/>
      <c r="J108" s="788"/>
      <c r="K108" s="161"/>
      <c r="X108" s="170"/>
    </row>
    <row r="109" spans="2:24" ht="15" customHeight="1">
      <c r="B109" s="326"/>
      <c r="C109" s="326"/>
      <c r="D109" s="326"/>
      <c r="E109" s="326"/>
      <c r="F109" s="326"/>
      <c r="G109" s="326"/>
      <c r="H109" s="326"/>
      <c r="I109" s="327"/>
      <c r="J109" s="788"/>
      <c r="K109" s="161"/>
      <c r="X109" s="170"/>
    </row>
    <row r="110" spans="2:24" ht="15" customHeight="1">
      <c r="B110" s="326"/>
      <c r="C110" s="326"/>
      <c r="D110" s="326"/>
      <c r="E110" s="326"/>
      <c r="F110" s="326"/>
      <c r="G110" s="326"/>
      <c r="H110" s="326"/>
      <c r="I110" s="327"/>
      <c r="J110" s="789"/>
      <c r="K110" s="161"/>
      <c r="X110" s="170"/>
    </row>
  </sheetData>
  <mergeCells count="63">
    <mergeCell ref="AC41:AC43"/>
    <mergeCell ref="AD41:AD43"/>
    <mergeCell ref="J6:L6"/>
    <mergeCell ref="AI42:AI43"/>
    <mergeCell ref="AJ42:AJ43"/>
    <mergeCell ref="AE41:AE43"/>
    <mergeCell ref="AF41:AJ41"/>
    <mergeCell ref="T6:W6"/>
    <mergeCell ref="X6:AA6"/>
    <mergeCell ref="AA42:AA43"/>
    <mergeCell ref="J42:J43"/>
    <mergeCell ref="K42:K43"/>
    <mergeCell ref="L42:L43"/>
    <mergeCell ref="O41:V41"/>
    <mergeCell ref="O42:P42"/>
    <mergeCell ref="AK41:AK44"/>
    <mergeCell ref="AF42:AF43"/>
    <mergeCell ref="AG42:AG43"/>
    <mergeCell ref="AH42:AH43"/>
    <mergeCell ref="C42:C43"/>
    <mergeCell ref="D42:D43"/>
    <mergeCell ref="E42:E43"/>
    <mergeCell ref="F42:F43"/>
    <mergeCell ref="G42:G43"/>
    <mergeCell ref="M42:M43"/>
    <mergeCell ref="N42:N43"/>
    <mergeCell ref="W42:W43"/>
    <mergeCell ref="J41:N41"/>
    <mergeCell ref="W41:AB41"/>
    <mergeCell ref="Y42:Y43"/>
    <mergeCell ref="Z42:Z43"/>
    <mergeCell ref="J91:J110"/>
    <mergeCell ref="S91:S94"/>
    <mergeCell ref="AB42:AB43"/>
    <mergeCell ref="U42:U43"/>
    <mergeCell ref="V42:V43"/>
    <mergeCell ref="L62:L63"/>
    <mergeCell ref="X42:X43"/>
    <mergeCell ref="O62:Q62"/>
    <mergeCell ref="S76:T76"/>
    <mergeCell ref="Q42:R42"/>
    <mergeCell ref="S42:T42"/>
    <mergeCell ref="B62:B64"/>
    <mergeCell ref="C62:C63"/>
    <mergeCell ref="D62:D63"/>
    <mergeCell ref="E62:G62"/>
    <mergeCell ref="I62:K62"/>
    <mergeCell ref="B41:B44"/>
    <mergeCell ref="R6:R8"/>
    <mergeCell ref="S6:S8"/>
    <mergeCell ref="B6:B8"/>
    <mergeCell ref="C6:C8"/>
    <mergeCell ref="E6:E7"/>
    <mergeCell ref="F6:F7"/>
    <mergeCell ref="D6:D8"/>
    <mergeCell ref="G6:G7"/>
    <mergeCell ref="H6:H7"/>
    <mergeCell ref="I6:I7"/>
    <mergeCell ref="M6:O6"/>
    <mergeCell ref="Q6:Q8"/>
    <mergeCell ref="C41:I41"/>
    <mergeCell ref="H42:H43"/>
    <mergeCell ref="I42:I43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/>
  </sheetViews>
  <sheetFormatPr defaultColWidth="8.88671875" defaultRowHeight="12"/>
  <cols>
    <col min="1" max="1" width="4" style="134" bestFit="1" customWidth="1"/>
    <col min="2" max="2" width="6.6640625" style="134" bestFit="1" customWidth="1"/>
    <col min="3" max="3" width="15.88671875" style="134" bestFit="1" customWidth="1"/>
    <col min="4" max="13" width="1.77734375" style="134" customWidth="1"/>
    <col min="14" max="14" width="5.77734375" style="134" bestFit="1" customWidth="1"/>
    <col min="15" max="16" width="7.5546875" style="134" bestFit="1" customWidth="1"/>
    <col min="17" max="17" width="4" style="134" bestFit="1" customWidth="1"/>
    <col min="18" max="18" width="6.5546875" style="134" bestFit="1" customWidth="1"/>
    <col min="19" max="19" width="4" style="134" bestFit="1" customWidth="1"/>
    <col min="20" max="20" width="6.5546875" style="134" bestFit="1" customWidth="1"/>
    <col min="21" max="21" width="1.77734375" style="134" customWidth="1"/>
    <col min="22" max="22" width="9.33203125" style="134" bestFit="1" customWidth="1"/>
    <col min="23" max="23" width="6.6640625" style="134" bestFit="1" customWidth="1"/>
    <col min="24" max="24" width="1.77734375" style="134" customWidth="1"/>
    <col min="25" max="26" width="6.6640625" style="134" bestFit="1" customWidth="1"/>
    <col min="27" max="27" width="9.88671875" style="134" bestFit="1" customWidth="1"/>
    <col min="28" max="28" width="8.109375" style="134" bestFit="1" customWidth="1"/>
    <col min="29" max="34" width="1.77734375" style="134" customWidth="1"/>
    <col min="35" max="35" width="7.5546875" style="134" bestFit="1" customWidth="1"/>
    <col min="36" max="16384" width="8.88671875" style="134"/>
  </cols>
  <sheetData>
    <row r="1" spans="1:36">
      <c r="A1" s="245" t="s">
        <v>56</v>
      </c>
      <c r="B1" s="245" t="s">
        <v>57</v>
      </c>
      <c r="C1" s="245" t="s">
        <v>70</v>
      </c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 t="s">
        <v>71</v>
      </c>
      <c r="O1" s="245" t="s">
        <v>72</v>
      </c>
      <c r="P1" s="245" t="s">
        <v>73</v>
      </c>
      <c r="Q1" s="245" t="s">
        <v>58</v>
      </c>
      <c r="R1" s="245" t="s">
        <v>74</v>
      </c>
      <c r="S1" s="245" t="s">
        <v>58</v>
      </c>
      <c r="T1" s="245" t="s">
        <v>75</v>
      </c>
      <c r="U1" s="245"/>
      <c r="V1" s="245" t="s">
        <v>76</v>
      </c>
      <c r="W1" s="245" t="s">
        <v>77</v>
      </c>
      <c r="X1" s="245"/>
      <c r="Y1" s="245" t="s">
        <v>78</v>
      </c>
      <c r="Z1" s="245" t="s">
        <v>79</v>
      </c>
      <c r="AA1" s="245" t="s">
        <v>80</v>
      </c>
      <c r="AB1" s="245" t="s">
        <v>81</v>
      </c>
      <c r="AC1" s="245"/>
      <c r="AD1" s="245"/>
      <c r="AE1" s="245"/>
      <c r="AF1" s="245"/>
      <c r="AG1" s="245"/>
      <c r="AH1" s="245"/>
      <c r="AI1" s="245" t="s">
        <v>82</v>
      </c>
      <c r="AJ1" s="246" t="s">
        <v>201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66"/>
  <sheetViews>
    <sheetView zoomScaleNormal="100" workbookViewId="0"/>
  </sheetViews>
  <sheetFormatPr defaultColWidth="9" defaultRowHeight="17.100000000000001" customHeight="1"/>
  <cols>
    <col min="1" max="33" width="10.44140625" style="47" customWidth="1"/>
    <col min="34" max="16384" width="9" style="47"/>
  </cols>
  <sheetData>
    <row r="1" spans="1:26" s="22" customFormat="1" ht="33" customHeight="1">
      <c r="A1" s="26" t="s">
        <v>53</v>
      </c>
    </row>
    <row r="2" spans="1:26" s="22" customFormat="1" ht="17.100000000000001" customHeight="1">
      <c r="A2" s="28" t="s">
        <v>44</v>
      </c>
      <c r="G2" s="135" t="s">
        <v>50</v>
      </c>
      <c r="J2" s="135" t="s">
        <v>83</v>
      </c>
      <c r="N2" s="28" t="s">
        <v>85</v>
      </c>
      <c r="Q2" s="28" t="s">
        <v>45</v>
      </c>
      <c r="U2" s="28" t="s">
        <v>224</v>
      </c>
      <c r="Y2" s="28" t="s">
        <v>247</v>
      </c>
    </row>
    <row r="3" spans="1:26" s="22" customFormat="1" ht="27">
      <c r="A3" s="23" t="s">
        <v>46</v>
      </c>
      <c r="B3" s="25" t="s">
        <v>47</v>
      </c>
      <c r="C3" s="25" t="s">
        <v>48</v>
      </c>
      <c r="D3" s="23" t="s">
        <v>49</v>
      </c>
      <c r="E3" s="25" t="s">
        <v>135</v>
      </c>
      <c r="F3" s="25" t="s">
        <v>136</v>
      </c>
      <c r="G3" s="25" t="s">
        <v>50</v>
      </c>
      <c r="H3" s="25"/>
      <c r="I3" s="25"/>
      <c r="J3" s="23" t="s">
        <v>84</v>
      </c>
      <c r="K3" s="25" t="s">
        <v>137</v>
      </c>
      <c r="L3" s="25" t="s">
        <v>138</v>
      </c>
      <c r="M3" s="25" t="s">
        <v>127</v>
      </c>
      <c r="N3" s="25" t="s">
        <v>86</v>
      </c>
      <c r="O3" s="136" t="s">
        <v>87</v>
      </c>
      <c r="P3" s="136" t="s">
        <v>88</v>
      </c>
      <c r="Q3" s="25" t="s">
        <v>63</v>
      </c>
      <c r="R3" s="25" t="s">
        <v>64</v>
      </c>
      <c r="S3" s="25" t="s">
        <v>89</v>
      </c>
      <c r="U3" s="25" t="s">
        <v>63</v>
      </c>
      <c r="V3" s="25" t="s">
        <v>64</v>
      </c>
      <c r="W3" s="25" t="s">
        <v>89</v>
      </c>
      <c r="Y3" s="23" t="s">
        <v>248</v>
      </c>
      <c r="Z3" s="23" t="s">
        <v>249</v>
      </c>
    </row>
    <row r="4" spans="1:26" s="22" customFormat="1" ht="17.100000000000001" customHeight="1">
      <c r="A4" s="48"/>
      <c r="B4" s="36"/>
      <c r="C4" s="36"/>
      <c r="D4" s="36"/>
      <c r="E4" s="36"/>
      <c r="F4" s="120"/>
      <c r="G4" s="36"/>
      <c r="H4" s="120"/>
      <c r="I4" s="120"/>
      <c r="J4" s="36"/>
      <c r="K4" s="36"/>
      <c r="L4" s="120"/>
      <c r="M4" s="120"/>
      <c r="N4" s="36"/>
      <c r="O4" s="36"/>
      <c r="P4" s="36"/>
      <c r="Q4" s="37"/>
      <c r="R4" s="37"/>
      <c r="S4" s="37"/>
      <c r="U4" s="37"/>
      <c r="V4" s="37"/>
      <c r="W4" s="37"/>
      <c r="Y4" s="280"/>
      <c r="Z4" s="281"/>
    </row>
    <row r="5" spans="1:26" s="22" customFormat="1" ht="17.100000000000001" customHeight="1">
      <c r="A5" s="48"/>
      <c r="B5" s="36"/>
      <c r="C5" s="36"/>
      <c r="D5" s="36"/>
      <c r="E5" s="36"/>
      <c r="F5" s="120"/>
      <c r="G5" s="36"/>
      <c r="H5" s="120"/>
      <c r="I5" s="120"/>
      <c r="J5" s="36"/>
      <c r="K5" s="36"/>
      <c r="L5" s="120"/>
      <c r="M5" s="120"/>
      <c r="N5" s="36"/>
      <c r="O5" s="36"/>
      <c r="P5" s="37"/>
      <c r="Q5" s="37"/>
      <c r="R5" s="37"/>
      <c r="S5" s="37"/>
      <c r="U5" s="37"/>
      <c r="V5" s="37"/>
      <c r="W5" s="37"/>
    </row>
    <row r="6" spans="1:26" s="22" customFormat="1" ht="17.100000000000001" customHeight="1">
      <c r="A6" s="48"/>
      <c r="B6" s="36"/>
      <c r="C6" s="36"/>
      <c r="D6" s="36"/>
      <c r="E6" s="36"/>
      <c r="F6" s="120"/>
      <c r="G6" s="36"/>
      <c r="H6" s="120"/>
      <c r="I6" s="120"/>
      <c r="J6" s="36"/>
      <c r="K6" s="36"/>
      <c r="L6" s="120"/>
      <c r="M6" s="120"/>
      <c r="N6" s="36"/>
      <c r="O6" s="36"/>
      <c r="P6" s="37"/>
      <c r="Q6" s="37"/>
      <c r="R6" s="37"/>
      <c r="S6" s="37"/>
      <c r="U6" s="37"/>
      <c r="V6" s="37"/>
      <c r="W6" s="37"/>
    </row>
    <row r="7" spans="1:26" s="22" customFormat="1" ht="17.100000000000001" customHeight="1">
      <c r="A7" s="48"/>
      <c r="B7" s="36"/>
      <c r="C7" s="36"/>
      <c r="D7" s="36"/>
      <c r="E7" s="36"/>
      <c r="F7" s="120"/>
      <c r="G7" s="36"/>
      <c r="H7" s="120"/>
      <c r="I7" s="120"/>
      <c r="J7" s="36"/>
      <c r="K7" s="36"/>
      <c r="L7" s="120"/>
      <c r="M7" s="120"/>
      <c r="N7" s="36"/>
      <c r="O7" s="36"/>
      <c r="P7" s="37"/>
      <c r="Q7" s="37"/>
      <c r="R7" s="37"/>
      <c r="S7" s="37"/>
      <c r="U7" s="37"/>
      <c r="V7" s="37"/>
      <c r="W7" s="37"/>
    </row>
    <row r="8" spans="1:26" s="22" customFormat="1" ht="17.100000000000001" customHeight="1">
      <c r="A8" s="48"/>
      <c r="B8" s="36"/>
      <c r="C8" s="36"/>
      <c r="D8" s="36"/>
      <c r="E8" s="36"/>
      <c r="F8" s="120"/>
      <c r="G8" s="36"/>
      <c r="H8" s="120"/>
      <c r="I8" s="120"/>
      <c r="J8" s="36"/>
      <c r="K8" s="36"/>
      <c r="L8" s="120"/>
      <c r="M8" s="120"/>
      <c r="N8" s="36"/>
      <c r="O8" s="36"/>
      <c r="P8" s="37"/>
      <c r="Q8" s="37"/>
      <c r="R8" s="37"/>
      <c r="S8" s="37"/>
      <c r="U8" s="37"/>
      <c r="V8" s="37"/>
      <c r="W8" s="37"/>
    </row>
    <row r="9" spans="1:26" s="22" customFormat="1" ht="17.100000000000001" customHeight="1">
      <c r="A9" s="48"/>
      <c r="B9" s="36"/>
      <c r="C9" s="36"/>
      <c r="D9" s="36"/>
      <c r="E9" s="36"/>
      <c r="F9" s="120"/>
      <c r="G9" s="36"/>
      <c r="H9" s="120"/>
      <c r="I9" s="120"/>
      <c r="J9" s="36"/>
      <c r="K9" s="36"/>
      <c r="L9" s="120"/>
      <c r="M9" s="120"/>
      <c r="N9" s="36"/>
      <c r="O9" s="36"/>
      <c r="P9" s="37"/>
      <c r="Q9" s="37"/>
      <c r="R9" s="37"/>
      <c r="S9" s="37"/>
      <c r="U9" s="37"/>
      <c r="V9" s="37"/>
      <c r="W9" s="37"/>
    </row>
    <row r="10" spans="1:26" s="22" customFormat="1" ht="17.100000000000001" customHeight="1">
      <c r="A10" s="48"/>
      <c r="B10" s="36"/>
      <c r="C10" s="36"/>
      <c r="D10" s="36"/>
      <c r="E10" s="36"/>
      <c r="F10" s="120"/>
      <c r="G10" s="36"/>
      <c r="H10" s="120"/>
      <c r="I10" s="120"/>
      <c r="J10" s="36"/>
      <c r="K10" s="36"/>
      <c r="L10" s="120"/>
      <c r="M10" s="120"/>
      <c r="N10" s="36"/>
      <c r="O10" s="36"/>
      <c r="P10" s="37"/>
      <c r="Q10" s="37"/>
      <c r="R10" s="37"/>
      <c r="S10" s="37"/>
      <c r="U10" s="37"/>
      <c r="V10" s="37"/>
      <c r="W10" s="37"/>
    </row>
    <row r="11" spans="1:26" s="22" customFormat="1" ht="17.100000000000001" customHeight="1">
      <c r="A11" s="48"/>
      <c r="B11" s="36"/>
      <c r="C11" s="36"/>
      <c r="D11" s="36"/>
      <c r="E11" s="36"/>
      <c r="F11" s="120"/>
      <c r="G11" s="36"/>
      <c r="H11" s="120"/>
      <c r="I11" s="120"/>
      <c r="J11" s="36"/>
      <c r="K11" s="36"/>
      <c r="L11" s="120"/>
      <c r="M11" s="120"/>
      <c r="N11" s="36"/>
      <c r="O11" s="36"/>
      <c r="P11" s="37"/>
      <c r="Q11" s="37"/>
      <c r="R11" s="37"/>
      <c r="S11" s="37"/>
      <c r="U11" s="37"/>
      <c r="V11" s="37"/>
      <c r="W11" s="37"/>
    </row>
    <row r="12" spans="1:26" s="22" customFormat="1" ht="17.100000000000001" customHeight="1">
      <c r="A12" s="48"/>
      <c r="B12" s="36"/>
      <c r="C12" s="36"/>
      <c r="D12" s="36"/>
      <c r="E12" s="36"/>
      <c r="F12" s="120"/>
      <c r="G12" s="36"/>
      <c r="H12" s="120"/>
      <c r="I12" s="120"/>
      <c r="J12" s="36"/>
      <c r="K12" s="36"/>
      <c r="L12" s="120"/>
      <c r="M12" s="120"/>
      <c r="N12" s="36"/>
      <c r="O12" s="36"/>
      <c r="P12" s="37"/>
      <c r="Q12" s="37"/>
      <c r="R12" s="37"/>
      <c r="S12" s="37"/>
      <c r="U12" s="37"/>
      <c r="V12" s="37"/>
      <c r="W12" s="37"/>
    </row>
    <row r="13" spans="1:26" s="22" customFormat="1" ht="17.100000000000001" customHeight="1">
      <c r="A13" s="48"/>
      <c r="B13" s="36"/>
      <c r="C13" s="36"/>
      <c r="D13" s="36"/>
      <c r="E13" s="36"/>
      <c r="F13" s="120"/>
      <c r="G13" s="36"/>
      <c r="H13" s="120"/>
      <c r="I13" s="120"/>
      <c r="J13" s="36"/>
      <c r="K13" s="36"/>
      <c r="L13" s="120"/>
      <c r="M13" s="120"/>
      <c r="N13" s="36"/>
      <c r="O13" s="36"/>
      <c r="P13" s="37"/>
      <c r="Q13" s="37"/>
      <c r="R13" s="37"/>
      <c r="S13" s="37"/>
      <c r="U13" s="37"/>
      <c r="V13" s="37"/>
      <c r="W13" s="37"/>
    </row>
    <row r="14" spans="1:26" s="22" customFormat="1" ht="17.100000000000001" customHeight="1">
      <c r="A14" s="48"/>
      <c r="B14" s="36"/>
      <c r="C14" s="36"/>
      <c r="D14" s="36"/>
      <c r="E14" s="36"/>
      <c r="F14" s="120"/>
      <c r="G14" s="36"/>
      <c r="H14" s="120"/>
      <c r="I14" s="120"/>
      <c r="J14" s="36"/>
      <c r="K14" s="36"/>
      <c r="L14" s="120"/>
      <c r="M14" s="120"/>
      <c r="N14" s="36"/>
      <c r="O14" s="36"/>
      <c r="P14" s="37"/>
      <c r="Q14" s="37"/>
      <c r="R14" s="37"/>
      <c r="S14" s="37"/>
      <c r="U14" s="37"/>
      <c r="V14" s="37"/>
      <c r="W14" s="37"/>
    </row>
    <row r="15" spans="1:26" s="22" customFormat="1" ht="17.100000000000001" customHeight="1">
      <c r="A15" s="48"/>
      <c r="B15" s="36"/>
      <c r="C15" s="36"/>
      <c r="D15" s="36"/>
      <c r="E15" s="36"/>
      <c r="F15" s="120"/>
      <c r="G15" s="36"/>
      <c r="H15" s="120"/>
      <c r="I15" s="120"/>
      <c r="J15" s="36"/>
      <c r="K15" s="36"/>
      <c r="L15" s="77"/>
      <c r="M15" s="77"/>
      <c r="N15" s="37"/>
      <c r="O15" s="37"/>
      <c r="P15" s="37"/>
      <c r="Q15" s="37"/>
      <c r="R15" s="37"/>
      <c r="S15" s="37"/>
      <c r="U15" s="37"/>
      <c r="V15" s="37"/>
      <c r="W15" s="37"/>
    </row>
    <row r="16" spans="1:26" s="22" customFormat="1" ht="17.100000000000001" customHeight="1">
      <c r="A16" s="48"/>
      <c r="B16" s="36"/>
      <c r="C16" s="36"/>
      <c r="D16" s="36"/>
      <c r="E16" s="36"/>
      <c r="F16" s="120"/>
      <c r="G16" s="36"/>
      <c r="H16" s="120"/>
      <c r="I16" s="120"/>
      <c r="J16" s="36"/>
      <c r="K16" s="36"/>
      <c r="L16" s="77"/>
      <c r="M16" s="77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36"/>
      <c r="E17" s="36"/>
      <c r="F17" s="120"/>
      <c r="G17" s="36"/>
      <c r="H17" s="120"/>
      <c r="I17" s="120"/>
      <c r="J17" s="36"/>
      <c r="K17" s="36"/>
      <c r="L17" s="77"/>
      <c r="M17" s="77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36"/>
      <c r="E18" s="36"/>
      <c r="F18" s="120"/>
      <c r="G18" s="36"/>
      <c r="H18" s="120"/>
      <c r="I18" s="120"/>
      <c r="J18" s="36"/>
      <c r="K18" s="36"/>
      <c r="L18" s="77"/>
      <c r="M18" s="77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36"/>
      <c r="E19" s="36"/>
      <c r="F19" s="120"/>
      <c r="G19" s="36"/>
      <c r="H19" s="120"/>
      <c r="I19" s="120"/>
      <c r="J19" s="36"/>
      <c r="K19" s="36"/>
      <c r="L19" s="77"/>
      <c r="M19" s="77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36"/>
      <c r="E20" s="36"/>
      <c r="F20" s="120"/>
      <c r="G20" s="36"/>
      <c r="H20" s="120"/>
      <c r="I20" s="120"/>
      <c r="J20" s="36"/>
      <c r="K20" s="36"/>
      <c r="L20" s="77"/>
      <c r="M20" s="77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36"/>
      <c r="E21" s="36"/>
      <c r="F21" s="120"/>
      <c r="G21" s="36"/>
      <c r="H21" s="120"/>
      <c r="I21" s="120"/>
      <c r="J21" s="36"/>
      <c r="K21" s="36"/>
      <c r="L21" s="77"/>
      <c r="M21" s="77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24"/>
      <c r="E22" s="24"/>
      <c r="F22" s="120"/>
      <c r="G22" s="24"/>
      <c r="H22" s="120"/>
      <c r="I22" s="120"/>
      <c r="J22" s="24"/>
      <c r="K22" s="24"/>
      <c r="L22" s="77"/>
      <c r="M22" s="77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59"/>
      <c r="B23" s="60"/>
      <c r="C23" s="60"/>
      <c r="D23" s="60"/>
      <c r="E23" s="60"/>
      <c r="F23" s="120"/>
      <c r="G23" s="60"/>
      <c r="H23" s="120"/>
      <c r="I23" s="120"/>
      <c r="J23" s="60"/>
      <c r="K23" s="60"/>
      <c r="L23" s="77"/>
      <c r="M23" s="77"/>
      <c r="N23" s="61"/>
      <c r="O23" s="61"/>
      <c r="P23" s="61"/>
      <c r="Q23" s="61"/>
      <c r="R23" s="61"/>
      <c r="S23" s="61"/>
      <c r="U23" s="61"/>
      <c r="V23" s="61"/>
      <c r="W23" s="61"/>
    </row>
    <row r="24" spans="1:23" s="22" customFormat="1" ht="17.100000000000001" customHeight="1">
      <c r="A24" s="59"/>
      <c r="B24" s="60"/>
      <c r="C24" s="60"/>
      <c r="D24" s="60"/>
      <c r="E24" s="60"/>
      <c r="F24" s="120"/>
      <c r="G24" s="60"/>
      <c r="H24" s="120"/>
      <c r="I24" s="120"/>
      <c r="J24" s="60"/>
      <c r="K24" s="60"/>
      <c r="L24" s="77"/>
      <c r="M24" s="77"/>
      <c r="N24" s="61"/>
      <c r="O24" s="61"/>
      <c r="P24" s="61"/>
      <c r="Q24" s="61"/>
      <c r="R24" s="61"/>
      <c r="S24" s="61"/>
      <c r="U24" s="61"/>
      <c r="V24" s="61"/>
      <c r="W24" s="61"/>
    </row>
    <row r="25" spans="1:23" s="22" customFormat="1" ht="17.100000000000001" customHeight="1">
      <c r="A25" s="137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77"/>
      <c r="M25" s="77"/>
      <c r="N25" s="77"/>
      <c r="O25" s="77"/>
      <c r="P25" s="77"/>
      <c r="Q25" s="77"/>
      <c r="R25" s="77"/>
      <c r="S25" s="77"/>
      <c r="U25" s="77"/>
      <c r="V25" s="77"/>
      <c r="W25" s="77"/>
    </row>
    <row r="26" spans="1:23" s="22" customFormat="1" ht="17.100000000000001" customHeight="1">
      <c r="A26" s="137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77"/>
      <c r="M26" s="77"/>
      <c r="N26" s="77"/>
      <c r="O26" s="77"/>
      <c r="P26" s="77"/>
      <c r="Q26" s="77"/>
      <c r="R26" s="77"/>
      <c r="S26" s="77"/>
      <c r="U26" s="77"/>
      <c r="V26" s="77"/>
      <c r="W26" s="77"/>
    </row>
    <row r="27" spans="1:23" s="22" customFormat="1" ht="17.100000000000001" customHeight="1">
      <c r="A27" s="137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77"/>
      <c r="M27" s="77"/>
      <c r="N27" s="77"/>
      <c r="O27" s="77"/>
      <c r="P27" s="77"/>
      <c r="Q27" s="77"/>
      <c r="R27" s="77"/>
      <c r="S27" s="77"/>
      <c r="U27" s="77"/>
      <c r="V27" s="77"/>
      <c r="W27" s="77"/>
    </row>
    <row r="28" spans="1:23" s="22" customFormat="1" ht="17.100000000000001" customHeight="1">
      <c r="A28" s="137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77"/>
      <c r="M28" s="77"/>
      <c r="N28" s="77"/>
      <c r="O28" s="77"/>
      <c r="P28" s="77"/>
      <c r="Q28" s="77"/>
      <c r="R28" s="77"/>
      <c r="S28" s="77"/>
      <c r="U28" s="77"/>
      <c r="V28" s="77"/>
      <c r="W28" s="77"/>
    </row>
    <row r="29" spans="1:23" s="22" customFormat="1" ht="17.100000000000001" customHeight="1">
      <c r="A29" s="137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77"/>
      <c r="M29" s="77"/>
      <c r="N29" s="77"/>
      <c r="O29" s="77"/>
      <c r="P29" s="77"/>
      <c r="Q29" s="77"/>
      <c r="R29" s="77"/>
      <c r="S29" s="77"/>
      <c r="U29" s="77"/>
      <c r="V29" s="77"/>
      <c r="W29" s="77"/>
    </row>
    <row r="30" spans="1:23" s="22" customFormat="1" ht="17.100000000000001" customHeight="1">
      <c r="A30" s="137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77"/>
      <c r="M30" s="77"/>
      <c r="N30" s="77"/>
      <c r="O30" s="77"/>
      <c r="P30" s="77"/>
      <c r="Q30" s="77"/>
      <c r="R30" s="77"/>
      <c r="S30" s="77"/>
      <c r="U30" s="77"/>
      <c r="V30" s="77"/>
      <c r="W30" s="77"/>
    </row>
    <row r="31" spans="1:23" s="22" customFormat="1" ht="17.100000000000001" customHeight="1">
      <c r="A31" s="137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77"/>
      <c r="M31" s="77"/>
      <c r="N31" s="77"/>
      <c r="O31" s="77"/>
      <c r="P31" s="77"/>
      <c r="Q31" s="77"/>
      <c r="R31" s="77"/>
      <c r="S31" s="77"/>
      <c r="U31" s="77"/>
      <c r="V31" s="77"/>
      <c r="W31" s="77"/>
    </row>
    <row r="32" spans="1:23" s="22" customFormat="1" ht="17.100000000000001" customHeight="1">
      <c r="A32" s="137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77"/>
      <c r="M32" s="77"/>
      <c r="N32" s="77"/>
      <c r="O32" s="77"/>
      <c r="P32" s="77"/>
      <c r="Q32" s="77"/>
      <c r="R32" s="77"/>
      <c r="S32" s="77"/>
      <c r="U32" s="77"/>
      <c r="V32" s="77"/>
      <c r="W32" s="77"/>
    </row>
    <row r="33" spans="1:36" s="22" customFormat="1" ht="17.100000000000001" customHeight="1">
      <c r="A33" s="49"/>
      <c r="B33" s="24"/>
      <c r="C33" s="24"/>
      <c r="D33" s="24"/>
      <c r="E33" s="24"/>
      <c r="F33" s="120"/>
      <c r="G33" s="24"/>
      <c r="H33" s="120"/>
      <c r="I33" s="120"/>
      <c r="J33" s="24"/>
      <c r="K33" s="24"/>
      <c r="L33" s="77"/>
      <c r="M33" s="77"/>
      <c r="N33" s="37"/>
      <c r="O33" s="37"/>
      <c r="P33" s="37"/>
      <c r="Q33" s="37"/>
      <c r="R33" s="37"/>
      <c r="S33" s="37"/>
      <c r="U33" s="37"/>
      <c r="V33" s="37"/>
      <c r="W33" s="37"/>
    </row>
    <row r="34" spans="1:36" s="22" customFormat="1" ht="17.100000000000001" customHeight="1"/>
    <row r="35" spans="1:36" s="22" customFormat="1" ht="17.100000000000001" customHeight="1">
      <c r="A35" s="28" t="s">
        <v>119</v>
      </c>
    </row>
    <row r="36" spans="1:36" s="30" customFormat="1" ht="18" customHeight="1">
      <c r="A36" s="73" t="s">
        <v>56</v>
      </c>
      <c r="B36" s="73" t="s">
        <v>57</v>
      </c>
      <c r="C36" s="74" t="s">
        <v>90</v>
      </c>
      <c r="D36" s="74"/>
      <c r="E36" s="75"/>
      <c r="F36" s="74"/>
      <c r="G36" s="74"/>
      <c r="H36" s="74"/>
      <c r="I36" s="74"/>
      <c r="J36" s="74"/>
      <c r="K36" s="74"/>
      <c r="L36" s="74" t="s">
        <v>91</v>
      </c>
      <c r="M36" s="74" t="s">
        <v>92</v>
      </c>
      <c r="N36" s="74" t="s">
        <v>93</v>
      </c>
      <c r="O36" s="74" t="s">
        <v>94</v>
      </c>
      <c r="P36" s="74" t="s">
        <v>95</v>
      </c>
      <c r="Q36" s="74" t="s">
        <v>96</v>
      </c>
      <c r="R36" s="74" t="s">
        <v>97</v>
      </c>
      <c r="S36" s="74" t="s">
        <v>96</v>
      </c>
      <c r="T36" s="74" t="s">
        <v>59</v>
      </c>
      <c r="U36" s="74"/>
      <c r="V36" s="74" t="s">
        <v>96</v>
      </c>
      <c r="W36" s="74" t="s">
        <v>60</v>
      </c>
      <c r="X36" s="74"/>
      <c r="Y36" s="74" t="s">
        <v>123</v>
      </c>
      <c r="Z36" s="74" t="s">
        <v>124</v>
      </c>
      <c r="AA36" s="74" t="s">
        <v>125</v>
      </c>
      <c r="AB36" s="74" t="s">
        <v>126</v>
      </c>
      <c r="AC36" s="74"/>
      <c r="AD36" s="74"/>
      <c r="AE36" s="74"/>
      <c r="AF36" s="74"/>
      <c r="AG36" s="74"/>
      <c r="AH36" s="74"/>
      <c r="AI36" s="74" t="s">
        <v>61</v>
      </c>
      <c r="AJ36" s="22"/>
    </row>
    <row r="37" spans="1:36" ht="17.100000000000001" customHeight="1">
      <c r="H37" s="220"/>
      <c r="I37" s="220"/>
      <c r="J37" s="220"/>
    </row>
    <row r="38" spans="1:36" ht="17.100000000000001" customHeight="1">
      <c r="H38" s="220"/>
      <c r="I38" s="220"/>
      <c r="J38" s="220"/>
    </row>
    <row r="39" spans="1:36" ht="17.100000000000001" customHeight="1">
      <c r="H39" s="220"/>
      <c r="I39" s="220"/>
      <c r="J39" s="220"/>
    </row>
    <row r="40" spans="1:36" ht="17.100000000000001" customHeight="1">
      <c r="H40" s="220"/>
      <c r="I40" s="220"/>
      <c r="J40" s="220"/>
    </row>
    <row r="41" spans="1:36" ht="17.100000000000001" customHeight="1">
      <c r="H41" s="220"/>
      <c r="I41" s="220"/>
      <c r="J41" s="220"/>
    </row>
    <row r="42" spans="1:36" ht="17.100000000000001" customHeight="1">
      <c r="H42" s="220"/>
      <c r="I42" s="220"/>
      <c r="J42" s="220"/>
    </row>
    <row r="43" spans="1:36" ht="17.100000000000001" customHeight="1">
      <c r="H43" s="220"/>
      <c r="I43" s="220"/>
      <c r="J43" s="220"/>
    </row>
    <row r="44" spans="1:36" ht="17.100000000000001" customHeight="1">
      <c r="H44" s="220"/>
      <c r="I44" s="220"/>
      <c r="J44" s="220"/>
    </row>
    <row r="45" spans="1:36" ht="17.100000000000001" customHeight="1">
      <c r="H45" s="220"/>
      <c r="I45" s="220"/>
      <c r="J45" s="220"/>
    </row>
    <row r="46" spans="1:36" ht="17.100000000000001" customHeight="1">
      <c r="H46" s="220"/>
      <c r="I46" s="220"/>
      <c r="J46" s="220"/>
    </row>
    <row r="47" spans="1:36" ht="17.100000000000001" customHeight="1">
      <c r="H47" s="220"/>
      <c r="I47" s="220"/>
      <c r="J47" s="220"/>
    </row>
    <row r="48" spans="1:36" ht="17.100000000000001" customHeight="1">
      <c r="H48" s="220"/>
      <c r="I48" s="220"/>
      <c r="J48" s="220"/>
    </row>
    <row r="49" spans="8:10" ht="17.100000000000001" customHeight="1">
      <c r="H49" s="220"/>
      <c r="I49" s="220"/>
      <c r="J49" s="220"/>
    </row>
    <row r="50" spans="8:10" ht="17.100000000000001" customHeight="1">
      <c r="H50" s="220"/>
      <c r="I50" s="220"/>
      <c r="J50" s="220"/>
    </row>
    <row r="51" spans="8:10" ht="17.100000000000001" customHeight="1">
      <c r="H51" s="220"/>
      <c r="I51" s="220"/>
      <c r="J51" s="220"/>
    </row>
    <row r="52" spans="8:10" ht="17.100000000000001" customHeight="1">
      <c r="H52" s="220"/>
      <c r="I52" s="220"/>
      <c r="J52" s="220"/>
    </row>
    <row r="53" spans="8:10" ht="17.100000000000001" customHeight="1">
      <c r="H53" s="220"/>
      <c r="I53" s="220"/>
      <c r="J53" s="220"/>
    </row>
    <row r="54" spans="8:10" ht="17.100000000000001" customHeight="1">
      <c r="H54" s="220"/>
      <c r="I54" s="220"/>
      <c r="J54" s="220"/>
    </row>
    <row r="55" spans="8:10" ht="17.100000000000001" customHeight="1">
      <c r="H55" s="220"/>
      <c r="I55" s="220"/>
      <c r="J55" s="220"/>
    </row>
    <row r="56" spans="8:10" ht="17.100000000000001" customHeight="1">
      <c r="H56" s="220"/>
      <c r="I56" s="220"/>
      <c r="J56" s="220"/>
    </row>
    <row r="57" spans="8:10" ht="17.100000000000001" customHeight="1">
      <c r="H57" s="220"/>
      <c r="I57" s="220"/>
      <c r="J57" s="220"/>
    </row>
    <row r="58" spans="8:10" ht="17.100000000000001" customHeight="1">
      <c r="H58" s="220"/>
      <c r="I58" s="220"/>
      <c r="J58" s="220"/>
    </row>
    <row r="59" spans="8:10" ht="17.100000000000001" customHeight="1">
      <c r="H59" s="220"/>
      <c r="I59" s="220"/>
      <c r="J59" s="220"/>
    </row>
    <row r="60" spans="8:10" ht="17.100000000000001" customHeight="1">
      <c r="H60" s="220"/>
      <c r="I60" s="220"/>
      <c r="J60" s="220"/>
    </row>
    <row r="61" spans="8:10" ht="17.100000000000001" customHeight="1">
      <c r="H61" s="220"/>
      <c r="I61" s="220"/>
      <c r="J61" s="220"/>
    </row>
    <row r="62" spans="8:10" ht="17.100000000000001" customHeight="1">
      <c r="H62" s="220"/>
      <c r="I62" s="220"/>
      <c r="J62" s="220"/>
    </row>
    <row r="63" spans="8:10" ht="17.100000000000001" customHeight="1">
      <c r="H63" s="220"/>
      <c r="I63" s="220"/>
      <c r="J63" s="220"/>
    </row>
    <row r="64" spans="8:10" ht="17.100000000000001" customHeight="1">
      <c r="H64" s="220"/>
      <c r="I64" s="220"/>
      <c r="J64" s="220"/>
    </row>
    <row r="65" spans="8:10" ht="17.100000000000001" customHeight="1">
      <c r="H65" s="220"/>
      <c r="I65" s="220"/>
      <c r="J65" s="220"/>
    </row>
    <row r="66" spans="8:10" ht="17.100000000000001" customHeight="1">
      <c r="H66" s="220"/>
      <c r="I66" s="220"/>
      <c r="J66" s="220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6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2" width="4.77734375" style="54" customWidth="1"/>
    <col min="3" max="3" width="4.77734375" style="202" customWidth="1"/>
    <col min="4" max="4" width="5.77734375" style="54" customWidth="1"/>
    <col min="5" max="6" width="8.77734375" style="54" customWidth="1"/>
    <col min="7" max="7" width="8.77734375" style="55" customWidth="1"/>
    <col min="8" max="9" width="8.77734375" style="54" customWidth="1"/>
    <col min="10" max="12" width="4.77734375" style="54" customWidth="1"/>
    <col min="13" max="16384" width="10.77734375" style="54"/>
  </cols>
  <sheetData>
    <row r="1" spans="1:12" s="2" customFormat="1" ht="33" customHeight="1">
      <c r="A1" s="448" t="s">
        <v>34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</row>
    <row r="2" spans="1:12" s="2" customFormat="1" ht="33" customHeight="1">
      <c r="A2" s="448"/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</row>
    <row r="3" spans="1:12" s="2" customFormat="1" ht="12.75" customHeight="1">
      <c r="A3" s="17" t="s">
        <v>36</v>
      </c>
      <c r="B3" s="17"/>
      <c r="C3" s="17"/>
      <c r="D3" s="17"/>
      <c r="E3" s="16"/>
      <c r="F3" s="16"/>
      <c r="G3" s="34"/>
      <c r="H3" s="16"/>
      <c r="I3" s="16"/>
      <c r="J3" s="16"/>
      <c r="K3" s="16"/>
      <c r="L3" s="16"/>
    </row>
    <row r="4" spans="1:12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33"/>
      <c r="E4" s="18"/>
      <c r="F4" s="18"/>
      <c r="G4" s="35"/>
      <c r="H4" s="19"/>
      <c r="I4" s="18"/>
      <c r="J4" s="18"/>
      <c r="K4" s="20"/>
      <c r="L4" s="19"/>
    </row>
    <row r="5" spans="1:12" s="52" customFormat="1" ht="15" customHeight="1">
      <c r="C5" s="200"/>
      <c r="G5" s="53"/>
    </row>
    <row r="6" spans="1:12" ht="15" customHeight="1">
      <c r="A6" s="180" t="str">
        <f>IF(Calcu!B9=TRUE,"","삭제")</f>
        <v>삭제</v>
      </c>
      <c r="D6" s="76" t="str">
        <f>"○ 품명 : "&amp;기본정보!C$5</f>
        <v xml:space="preserve">○ 품명 : </v>
      </c>
    </row>
    <row r="7" spans="1:12" ht="15" customHeight="1">
      <c r="A7" s="133" t="str">
        <f>A6</f>
        <v>삭제</v>
      </c>
      <c r="D7" s="76" t="str">
        <f>"○ 제작회사 : "&amp;기본정보!C$6</f>
        <v xml:space="preserve">○ 제작회사 : </v>
      </c>
    </row>
    <row r="8" spans="1:12" ht="15" customHeight="1">
      <c r="A8" s="216" t="str">
        <f t="shared" ref="A8:A15" si="0">A7</f>
        <v>삭제</v>
      </c>
      <c r="D8" s="76" t="str">
        <f>"○ 형식 : "&amp;기본정보!C$7</f>
        <v xml:space="preserve">○ 형식 : </v>
      </c>
    </row>
    <row r="9" spans="1:12" ht="15" customHeight="1">
      <c r="A9" s="216" t="str">
        <f t="shared" si="0"/>
        <v>삭제</v>
      </c>
      <c r="D9" s="76" t="str">
        <f>"○ 기기번호 : "&amp;기본정보!C$8</f>
        <v xml:space="preserve">○ 기기번호 : </v>
      </c>
    </row>
    <row r="10" spans="1:12" ht="15" customHeight="1">
      <c r="A10" s="216" t="str">
        <f t="shared" si="0"/>
        <v>삭제</v>
      </c>
      <c r="D10" s="76"/>
    </row>
    <row r="11" spans="1:12" ht="15" customHeight="1">
      <c r="A11" s="216" t="str">
        <f t="shared" si="0"/>
        <v>삭제</v>
      </c>
      <c r="D11" s="56" t="s">
        <v>110</v>
      </c>
    </row>
    <row r="12" spans="1:12" ht="15" customHeight="1">
      <c r="A12" s="216" t="str">
        <f t="shared" si="0"/>
        <v>삭제</v>
      </c>
      <c r="D12" s="449" t="s">
        <v>134</v>
      </c>
      <c r="E12" s="460" t="s">
        <v>531</v>
      </c>
      <c r="F12" s="461"/>
      <c r="G12" s="457" t="e">
        <f>Calcu!J82</f>
        <v>#N/A</v>
      </c>
      <c r="H12" s="458"/>
      <c r="I12" s="459"/>
    </row>
    <row r="13" spans="1:12" ht="15" customHeight="1">
      <c r="A13" s="216" t="str">
        <f t="shared" si="0"/>
        <v>삭제</v>
      </c>
      <c r="D13" s="450"/>
      <c r="E13" s="462" t="s">
        <v>530</v>
      </c>
      <c r="F13" s="452" t="s">
        <v>529</v>
      </c>
      <c r="G13" s="455" t="s">
        <v>189</v>
      </c>
      <c r="H13" s="453" t="s">
        <v>74</v>
      </c>
      <c r="I13" s="452" t="s">
        <v>520</v>
      </c>
    </row>
    <row r="14" spans="1:12" ht="15" customHeight="1">
      <c r="A14" s="216" t="str">
        <f t="shared" si="0"/>
        <v>삭제</v>
      </c>
      <c r="D14" s="450"/>
      <c r="E14" s="462"/>
      <c r="F14" s="452"/>
      <c r="G14" s="456"/>
      <c r="H14" s="454"/>
      <c r="I14" s="452"/>
    </row>
    <row r="15" spans="1:12" ht="15" customHeight="1">
      <c r="A15" s="216" t="str">
        <f t="shared" si="0"/>
        <v>삭제</v>
      </c>
      <c r="B15" s="55"/>
      <c r="C15" s="203"/>
      <c r="D15" s="451"/>
      <c r="E15" s="193">
        <f>Calcu!C64</f>
        <v>0</v>
      </c>
      <c r="F15" s="206">
        <f>Calcu!D64</f>
        <v>0</v>
      </c>
      <c r="G15" s="193">
        <f>Calcu!E64</f>
        <v>0</v>
      </c>
      <c r="H15" s="205">
        <f>Calcu!F64</f>
        <v>0</v>
      </c>
      <c r="I15" s="206" t="str">
        <f>Calcu!G64</f>
        <v>m</v>
      </c>
    </row>
    <row r="16" spans="1:12" ht="15" customHeight="1">
      <c r="A16" s="180" t="str">
        <f>IF(Calcu!Q9=TRUE,"","삭제")</f>
        <v>삭제</v>
      </c>
      <c r="B16" s="55"/>
      <c r="C16" s="203"/>
      <c r="D16" s="209">
        <v>1</v>
      </c>
      <c r="E16" s="194" t="str">
        <f>Calcu!C65</f>
        <v/>
      </c>
      <c r="F16" s="208" t="str">
        <f>Calcu!D65</f>
        <v/>
      </c>
      <c r="G16" s="194" t="str">
        <f>Calcu!E65</f>
        <v/>
      </c>
      <c r="H16" s="207" t="str">
        <f>Calcu!F65</f>
        <v/>
      </c>
      <c r="I16" s="208" t="str">
        <f>Calcu!G65</f>
        <v/>
      </c>
    </row>
    <row r="17" spans="1:9" ht="15" customHeight="1">
      <c r="A17" s="180" t="str">
        <f>IF(Calcu!Q10=TRUE,"","삭제")</f>
        <v>삭제</v>
      </c>
      <c r="B17" s="55"/>
      <c r="C17" s="203"/>
      <c r="D17" s="210">
        <v>2</v>
      </c>
      <c r="E17" s="195" t="str">
        <f>Calcu!C66</f>
        <v/>
      </c>
      <c r="F17" s="204" t="str">
        <f>Calcu!D66</f>
        <v/>
      </c>
      <c r="G17" s="195" t="str">
        <f>Calcu!E66</f>
        <v/>
      </c>
      <c r="H17" s="215" t="str">
        <f>Calcu!F66</f>
        <v/>
      </c>
      <c r="I17" s="204" t="str">
        <f>Calcu!G66</f>
        <v/>
      </c>
    </row>
    <row r="18" spans="1:9" ht="15" customHeight="1">
      <c r="A18" s="180" t="str">
        <f>IF(Calcu!Q11=TRUE,"","삭제")</f>
        <v>삭제</v>
      </c>
      <c r="B18" s="55"/>
      <c r="C18" s="203"/>
      <c r="D18" s="210">
        <v>3</v>
      </c>
      <c r="E18" s="195" t="str">
        <f>Calcu!C67</f>
        <v/>
      </c>
      <c r="F18" s="204" t="str">
        <f>Calcu!D67</f>
        <v/>
      </c>
      <c r="G18" s="195" t="str">
        <f>Calcu!E67</f>
        <v/>
      </c>
      <c r="H18" s="215" t="str">
        <f>Calcu!F67</f>
        <v/>
      </c>
      <c r="I18" s="204" t="str">
        <f>Calcu!G67</f>
        <v/>
      </c>
    </row>
    <row r="19" spans="1:9" ht="15" customHeight="1">
      <c r="A19" s="180" t="str">
        <f>IF(Calcu!Q12=TRUE,"","삭제")</f>
        <v>삭제</v>
      </c>
      <c r="B19" s="55"/>
      <c r="C19" s="203"/>
      <c r="D19" s="210">
        <v>4</v>
      </c>
      <c r="E19" s="195" t="str">
        <f>Calcu!C68</f>
        <v/>
      </c>
      <c r="F19" s="204" t="str">
        <f>Calcu!D68</f>
        <v/>
      </c>
      <c r="G19" s="195" t="str">
        <f>Calcu!E68</f>
        <v/>
      </c>
      <c r="H19" s="215" t="str">
        <f>Calcu!F68</f>
        <v/>
      </c>
      <c r="I19" s="204" t="str">
        <f>Calcu!G68</f>
        <v/>
      </c>
    </row>
    <row r="20" spans="1:9" ht="15" customHeight="1">
      <c r="A20" s="180" t="str">
        <f>IF(Calcu!Q13=TRUE,"","삭제")</f>
        <v>삭제</v>
      </c>
      <c r="D20" s="210">
        <v>5</v>
      </c>
      <c r="E20" s="195" t="str">
        <f>Calcu!C69</f>
        <v/>
      </c>
      <c r="F20" s="204" t="str">
        <f>Calcu!D69</f>
        <v/>
      </c>
      <c r="G20" s="195" t="str">
        <f>Calcu!E69</f>
        <v/>
      </c>
      <c r="H20" s="215" t="str">
        <f>Calcu!F69</f>
        <v/>
      </c>
      <c r="I20" s="204" t="str">
        <f>Calcu!G69</f>
        <v/>
      </c>
    </row>
    <row r="21" spans="1:9" ht="15" customHeight="1">
      <c r="A21" s="180" t="str">
        <f>IF(Calcu!Q14=TRUE,"","삭제")</f>
        <v>삭제</v>
      </c>
      <c r="D21" s="210">
        <v>6</v>
      </c>
      <c r="E21" s="195" t="str">
        <f>Calcu!C70</f>
        <v/>
      </c>
      <c r="F21" s="204" t="str">
        <f>Calcu!D70</f>
        <v/>
      </c>
      <c r="G21" s="195" t="str">
        <f>Calcu!E70</f>
        <v/>
      </c>
      <c r="H21" s="215" t="str">
        <f>Calcu!F70</f>
        <v/>
      </c>
      <c r="I21" s="204" t="str">
        <f>Calcu!G70</f>
        <v/>
      </c>
    </row>
    <row r="22" spans="1:9" ht="15" customHeight="1">
      <c r="A22" s="180" t="str">
        <f>IF(Calcu!Q15=TRUE,"","삭제")</f>
        <v>삭제</v>
      </c>
      <c r="D22" s="210">
        <v>7</v>
      </c>
      <c r="E22" s="195" t="str">
        <f>Calcu!C71</f>
        <v/>
      </c>
      <c r="F22" s="204" t="str">
        <f>Calcu!D71</f>
        <v/>
      </c>
      <c r="G22" s="195" t="str">
        <f>Calcu!E71</f>
        <v/>
      </c>
      <c r="H22" s="215" t="str">
        <f>Calcu!F71</f>
        <v/>
      </c>
      <c r="I22" s="204" t="str">
        <f>Calcu!G71</f>
        <v/>
      </c>
    </row>
    <row r="23" spans="1:9" ht="15" customHeight="1">
      <c r="A23" s="180" t="str">
        <f>IF(Calcu!Q16=TRUE,"","삭제")</f>
        <v>삭제</v>
      </c>
      <c r="D23" s="210">
        <v>8</v>
      </c>
      <c r="E23" s="195" t="str">
        <f>Calcu!C72</f>
        <v/>
      </c>
      <c r="F23" s="204" t="str">
        <f>Calcu!D72</f>
        <v/>
      </c>
      <c r="G23" s="195" t="str">
        <f>Calcu!E72</f>
        <v/>
      </c>
      <c r="H23" s="215" t="str">
        <f>Calcu!F72</f>
        <v/>
      </c>
      <c r="I23" s="204" t="str">
        <f>Calcu!G72</f>
        <v/>
      </c>
    </row>
    <row r="24" spans="1:9" ht="15" customHeight="1">
      <c r="A24" s="180" t="str">
        <f>IF(Calcu!Q17=TRUE,"","삭제")</f>
        <v>삭제</v>
      </c>
      <c r="D24" s="210">
        <v>9</v>
      </c>
      <c r="E24" s="195" t="str">
        <f>Calcu!C73</f>
        <v/>
      </c>
      <c r="F24" s="204" t="str">
        <f>Calcu!D73</f>
        <v/>
      </c>
      <c r="G24" s="195" t="str">
        <f>Calcu!E73</f>
        <v/>
      </c>
      <c r="H24" s="215" t="str">
        <f>Calcu!F73</f>
        <v/>
      </c>
      <c r="I24" s="204" t="str">
        <f>Calcu!G73</f>
        <v/>
      </c>
    </row>
    <row r="25" spans="1:9" ht="15" customHeight="1">
      <c r="A25" s="180" t="str">
        <f>IF(Calcu!Q18=TRUE,"","삭제")</f>
        <v>삭제</v>
      </c>
      <c r="D25" s="210">
        <v>10</v>
      </c>
      <c r="E25" s="195" t="str">
        <f>Calcu!C74</f>
        <v/>
      </c>
      <c r="F25" s="204" t="str">
        <f>Calcu!D74</f>
        <v/>
      </c>
      <c r="G25" s="195" t="str">
        <f>Calcu!E74</f>
        <v/>
      </c>
      <c r="H25" s="215" t="str">
        <f>Calcu!F74</f>
        <v/>
      </c>
      <c r="I25" s="204" t="str">
        <f>Calcu!G74</f>
        <v/>
      </c>
    </row>
    <row r="26" spans="1:9" s="202" customFormat="1" ht="15" customHeight="1">
      <c r="A26" s="180" t="str">
        <f>IF(Calcu!Q19=TRUE,"","삭제")</f>
        <v>삭제</v>
      </c>
      <c r="D26" s="210">
        <v>11</v>
      </c>
      <c r="E26" s="196" t="str">
        <f>Calcu!C75</f>
        <v/>
      </c>
      <c r="F26" s="197" t="str">
        <f>Calcu!D75</f>
        <v/>
      </c>
      <c r="G26" s="196" t="str">
        <f>Calcu!E75</f>
        <v/>
      </c>
      <c r="H26" s="198" t="str">
        <f>Calcu!F75</f>
        <v/>
      </c>
      <c r="I26" s="197" t="str">
        <f>Calcu!G75</f>
        <v/>
      </c>
    </row>
    <row r="27" spans="1:9" s="202" customFormat="1" ht="15" customHeight="1">
      <c r="A27" s="180" t="str">
        <f>IF(Calcu!Q20=TRUE,"","삭제")</f>
        <v>삭제</v>
      </c>
      <c r="D27" s="210">
        <v>12</v>
      </c>
      <c r="E27" s="196" t="str">
        <f>Calcu!C76</f>
        <v/>
      </c>
      <c r="F27" s="197" t="str">
        <f>Calcu!D76</f>
        <v/>
      </c>
      <c r="G27" s="196" t="str">
        <f>Calcu!E76</f>
        <v/>
      </c>
      <c r="H27" s="198" t="str">
        <f>Calcu!F76</f>
        <v/>
      </c>
      <c r="I27" s="197" t="str">
        <f>Calcu!G76</f>
        <v/>
      </c>
    </row>
    <row r="28" spans="1:9" s="202" customFormat="1" ht="15" customHeight="1">
      <c r="A28" s="180" t="str">
        <f>IF(Calcu!Q21=TRUE,"","삭제")</f>
        <v>삭제</v>
      </c>
      <c r="D28" s="210">
        <v>13</v>
      </c>
      <c r="E28" s="196" t="str">
        <f>Calcu!C77</f>
        <v/>
      </c>
      <c r="F28" s="197" t="str">
        <f>Calcu!D77</f>
        <v/>
      </c>
      <c r="G28" s="196" t="str">
        <f>Calcu!E77</f>
        <v/>
      </c>
      <c r="H28" s="198" t="str">
        <f>Calcu!F77</f>
        <v/>
      </c>
      <c r="I28" s="197" t="str">
        <f>Calcu!G77</f>
        <v/>
      </c>
    </row>
    <row r="29" spans="1:9" s="202" customFormat="1" ht="15" customHeight="1">
      <c r="A29" s="180" t="str">
        <f>IF(Calcu!Q22=TRUE,"","삭제")</f>
        <v>삭제</v>
      </c>
      <c r="D29" s="210">
        <v>14</v>
      </c>
      <c r="E29" s="196" t="str">
        <f>Calcu!C78</f>
        <v/>
      </c>
      <c r="F29" s="197" t="str">
        <f>Calcu!D78</f>
        <v/>
      </c>
      <c r="G29" s="196" t="str">
        <f>Calcu!E78</f>
        <v/>
      </c>
      <c r="H29" s="198" t="str">
        <f>Calcu!F78</f>
        <v/>
      </c>
      <c r="I29" s="197" t="str">
        <f>Calcu!G78</f>
        <v/>
      </c>
    </row>
    <row r="30" spans="1:9" ht="15" customHeight="1">
      <c r="A30" s="180" t="str">
        <f>IF(Calcu!Q23=TRUE,"","삭제")</f>
        <v>삭제</v>
      </c>
      <c r="B30" s="132"/>
      <c r="C30" s="132"/>
      <c r="D30" s="211">
        <v>15</v>
      </c>
      <c r="E30" s="193" t="str">
        <f>Calcu!C79</f>
        <v/>
      </c>
      <c r="F30" s="206" t="str">
        <f>Calcu!D79</f>
        <v/>
      </c>
      <c r="G30" s="193" t="str">
        <f>Calcu!E79</f>
        <v/>
      </c>
      <c r="H30" s="205" t="str">
        <f>Calcu!F79</f>
        <v/>
      </c>
      <c r="I30" s="206" t="str">
        <f>Calcu!G79</f>
        <v/>
      </c>
    </row>
    <row r="31" spans="1:9" ht="15" customHeight="1">
      <c r="A31" s="133"/>
      <c r="B31" s="132"/>
      <c r="C31" s="132"/>
      <c r="D31" s="191"/>
      <c r="E31" s="192"/>
      <c r="F31" s="191"/>
      <c r="G31" s="191"/>
      <c r="H31" s="191"/>
      <c r="I31" s="191"/>
    </row>
    <row r="32" spans="1:9" s="202" customFormat="1" ht="15" customHeight="1">
      <c r="A32" s="216"/>
      <c r="B32" s="132"/>
      <c r="C32" s="132"/>
      <c r="D32" s="200" t="s">
        <v>522</v>
      </c>
      <c r="E32" s="201"/>
      <c r="F32" s="331">
        <f ca="1">MAX(Calcu!AE45:AE59)</f>
        <v>0</v>
      </c>
      <c r="G32" s="132"/>
      <c r="H32" s="132"/>
      <c r="I32" s="132"/>
    </row>
    <row r="33" spans="1:10" s="202" customFormat="1" ht="15" customHeight="1">
      <c r="A33" s="216"/>
      <c r="B33" s="132"/>
      <c r="C33" s="132"/>
      <c r="D33" s="201" t="str">
        <f>CONCATENATE("◇ 최소눈금 : ",Calcu!G3," ",Calcu!C3)</f>
        <v>◇ 최소눈금 : 0 0</v>
      </c>
      <c r="E33" s="201"/>
      <c r="F33" s="132"/>
      <c r="G33" s="132"/>
      <c r="H33" s="132"/>
      <c r="I33" s="132"/>
    </row>
    <row r="34" spans="1:10" s="202" customFormat="1" ht="15" customHeight="1">
      <c r="A34" s="216"/>
      <c r="B34" s="132"/>
      <c r="C34" s="132"/>
      <c r="D34" s="201" t="str">
        <f>IF(Calcu!D3="해수","◇ 해수밀도 : 1 026 kg/㎥","◇ 담수밀도 기준온도 : "&amp;표준압력!AF18&amp;" ℃")</f>
        <v>◇ 담수밀도 기준온도 : 0 ℃</v>
      </c>
      <c r="E34" s="201"/>
      <c r="F34" s="132"/>
      <c r="G34" s="132"/>
      <c r="H34" s="132"/>
      <c r="I34" s="132"/>
    </row>
    <row r="35" spans="1:10" s="202" customFormat="1" ht="15" customHeight="1">
      <c r="A35" s="216"/>
      <c r="B35" s="132"/>
      <c r="C35" s="132"/>
      <c r="D35" s="201" t="s">
        <v>1011</v>
      </c>
      <c r="E35" s="201"/>
      <c r="F35" s="132"/>
      <c r="G35" s="132"/>
      <c r="H35" s="132"/>
      <c r="I35" s="132"/>
    </row>
    <row r="36" spans="1:10" ht="15" customHeight="1">
      <c r="A36" s="180"/>
      <c r="D36" s="121"/>
      <c r="E36" s="122"/>
      <c r="F36" s="122"/>
      <c r="G36" s="121"/>
      <c r="H36" s="121"/>
      <c r="I36" s="217"/>
      <c r="J36" s="121"/>
    </row>
  </sheetData>
  <mergeCells count="9">
    <mergeCell ref="A1:L2"/>
    <mergeCell ref="D12:D15"/>
    <mergeCell ref="I13:I14"/>
    <mergeCell ref="H13:H14"/>
    <mergeCell ref="G13:G14"/>
    <mergeCell ref="G12:I12"/>
    <mergeCell ref="E12:F12"/>
    <mergeCell ref="E13:E14"/>
    <mergeCell ref="F13:F14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2" width="4.77734375" style="54" customWidth="1"/>
    <col min="3" max="3" width="4.77734375" style="202" customWidth="1"/>
    <col min="4" max="4" width="5.77734375" style="54" customWidth="1"/>
    <col min="5" max="6" width="8.77734375" style="54" customWidth="1"/>
    <col min="7" max="7" width="8.77734375" style="55" customWidth="1"/>
    <col min="8" max="9" width="8.77734375" style="54" customWidth="1"/>
    <col min="10" max="12" width="4.77734375" style="54" customWidth="1"/>
    <col min="13" max="16384" width="10.77734375" style="54"/>
  </cols>
  <sheetData>
    <row r="1" spans="1:12" s="2" customFormat="1" ht="33" customHeight="1">
      <c r="A1" s="463" t="s">
        <v>122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</row>
    <row r="2" spans="1:12" s="2" customFormat="1" ht="33" customHeight="1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</row>
    <row r="3" spans="1:12" s="2" customFormat="1" ht="12.75" customHeight="1">
      <c r="A3" s="17" t="s">
        <v>36</v>
      </c>
      <c r="B3" s="17"/>
      <c r="C3" s="17"/>
      <c r="D3" s="17"/>
      <c r="E3" s="16"/>
      <c r="F3" s="16"/>
      <c r="G3" s="34"/>
      <c r="H3" s="16"/>
      <c r="I3" s="16"/>
      <c r="J3" s="16"/>
      <c r="K3" s="16"/>
      <c r="L3" s="16"/>
    </row>
    <row r="4" spans="1:12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33"/>
      <c r="E4" s="18"/>
      <c r="F4" s="18"/>
      <c r="G4" s="35"/>
      <c r="H4" s="19"/>
      <c r="I4" s="18"/>
      <c r="J4" s="18"/>
      <c r="K4" s="20"/>
      <c r="L4" s="19"/>
    </row>
    <row r="5" spans="1:12" s="52" customFormat="1" ht="15" customHeight="1">
      <c r="C5" s="200"/>
      <c r="G5" s="53"/>
    </row>
    <row r="6" spans="1:12" s="202" customFormat="1" ht="15" customHeight="1">
      <c r="A6" s="180" t="str">
        <f>IF(Calcu!B9=TRUE,"","삭제")</f>
        <v>삭제</v>
      </c>
      <c r="D6" s="76" t="str">
        <f>"○ Description : "&amp;기본정보!C$5</f>
        <v xml:space="preserve">○ Description : </v>
      </c>
      <c r="G6" s="203"/>
    </row>
    <row r="7" spans="1:12" s="202" customFormat="1" ht="15" customHeight="1">
      <c r="A7" s="216" t="str">
        <f>A6</f>
        <v>삭제</v>
      </c>
      <c r="D7" s="76" t="str">
        <f>"○ Manufacturer : "&amp;기본정보!C$6</f>
        <v xml:space="preserve">○ Manufacturer : </v>
      </c>
      <c r="G7" s="203"/>
    </row>
    <row r="8" spans="1:12" s="202" customFormat="1" ht="15" customHeight="1">
      <c r="A8" s="216" t="str">
        <f t="shared" ref="A8:A15" si="0">A7</f>
        <v>삭제</v>
      </c>
      <c r="D8" s="76" t="str">
        <f>"○ Model Name : "&amp;기본정보!C$7</f>
        <v xml:space="preserve">○ Model Name : </v>
      </c>
      <c r="G8" s="203"/>
    </row>
    <row r="9" spans="1:12" s="202" customFormat="1" ht="15" customHeight="1">
      <c r="A9" s="216" t="str">
        <f t="shared" si="0"/>
        <v>삭제</v>
      </c>
      <c r="D9" s="76" t="str">
        <f>"○ Serial Number : "&amp;기본정보!C$8</f>
        <v xml:space="preserve">○ Serial Number : </v>
      </c>
      <c r="G9" s="203"/>
    </row>
    <row r="10" spans="1:12" s="202" customFormat="1" ht="15" customHeight="1">
      <c r="A10" s="216" t="str">
        <f t="shared" si="0"/>
        <v>삭제</v>
      </c>
      <c r="D10" s="76"/>
      <c r="G10" s="203"/>
    </row>
    <row r="11" spans="1:12" s="202" customFormat="1" ht="15" customHeight="1">
      <c r="A11" s="216" t="str">
        <f t="shared" si="0"/>
        <v>삭제</v>
      </c>
      <c r="D11" s="56" t="s">
        <v>98</v>
      </c>
      <c r="G11" s="203"/>
    </row>
    <row r="12" spans="1:12" s="202" customFormat="1" ht="15" customHeight="1">
      <c r="A12" s="216" t="str">
        <f t="shared" si="0"/>
        <v>삭제</v>
      </c>
      <c r="D12" s="449" t="s">
        <v>190</v>
      </c>
      <c r="E12" s="470" t="s">
        <v>532</v>
      </c>
      <c r="F12" s="471"/>
      <c r="G12" s="457" t="e">
        <f>Calcu!J82</f>
        <v>#N/A</v>
      </c>
      <c r="H12" s="458"/>
      <c r="I12" s="459"/>
    </row>
    <row r="13" spans="1:12" s="202" customFormat="1" ht="15" customHeight="1">
      <c r="A13" s="216" t="str">
        <f t="shared" si="0"/>
        <v>삭제</v>
      </c>
      <c r="D13" s="450"/>
      <c r="E13" s="468" t="s">
        <v>533</v>
      </c>
      <c r="F13" s="468" t="s">
        <v>534</v>
      </c>
      <c r="G13" s="466" t="s">
        <v>191</v>
      </c>
      <c r="H13" s="464" t="s">
        <v>192</v>
      </c>
      <c r="I13" s="452" t="s">
        <v>524</v>
      </c>
    </row>
    <row r="14" spans="1:12" s="202" customFormat="1" ht="15" customHeight="1">
      <c r="A14" s="216" t="str">
        <f t="shared" si="0"/>
        <v>삭제</v>
      </c>
      <c r="D14" s="450"/>
      <c r="E14" s="469"/>
      <c r="F14" s="469"/>
      <c r="G14" s="467"/>
      <c r="H14" s="465"/>
      <c r="I14" s="452"/>
    </row>
    <row r="15" spans="1:12" s="202" customFormat="1" ht="15" customHeight="1">
      <c r="A15" s="216" t="str">
        <f t="shared" si="0"/>
        <v>삭제</v>
      </c>
      <c r="B15" s="203"/>
      <c r="C15" s="203"/>
      <c r="D15" s="451"/>
      <c r="E15" s="212">
        <f>Calcu!C64</f>
        <v>0</v>
      </c>
      <c r="F15" s="211">
        <f>Calcu!D64</f>
        <v>0</v>
      </c>
      <c r="G15" s="193">
        <f>Calcu!E64</f>
        <v>0</v>
      </c>
      <c r="H15" s="205">
        <f>Calcu!F64</f>
        <v>0</v>
      </c>
      <c r="I15" s="206" t="str">
        <f>Calcu!G64</f>
        <v>m</v>
      </c>
    </row>
    <row r="16" spans="1:12" s="202" customFormat="1" ht="15" customHeight="1">
      <c r="A16" s="180" t="str">
        <f>IF(Calcu!Q9=TRUE,"","삭제")</f>
        <v>삭제</v>
      </c>
      <c r="B16" s="203"/>
      <c r="C16" s="203"/>
      <c r="D16" s="209">
        <v>1</v>
      </c>
      <c r="E16" s="213" t="str">
        <f>Calcu!C65</f>
        <v/>
      </c>
      <c r="F16" s="209" t="str">
        <f>Calcu!D65</f>
        <v/>
      </c>
      <c r="G16" s="194" t="str">
        <f>Calcu!E65</f>
        <v/>
      </c>
      <c r="H16" s="207" t="str">
        <f>Calcu!F65</f>
        <v/>
      </c>
      <c r="I16" s="208" t="str">
        <f>Calcu!G65</f>
        <v/>
      </c>
    </row>
    <row r="17" spans="1:10" s="202" customFormat="1" ht="15" customHeight="1">
      <c r="A17" s="180" t="str">
        <f>IF(Calcu!Q10=TRUE,"","삭제")</f>
        <v>삭제</v>
      </c>
      <c r="B17" s="203"/>
      <c r="C17" s="203"/>
      <c r="D17" s="210">
        <v>2</v>
      </c>
      <c r="E17" s="214" t="str">
        <f>Calcu!C66</f>
        <v/>
      </c>
      <c r="F17" s="210" t="str">
        <f>Calcu!D66</f>
        <v/>
      </c>
      <c r="G17" s="195" t="str">
        <f>Calcu!E66</f>
        <v/>
      </c>
      <c r="H17" s="222" t="str">
        <f>Calcu!F66</f>
        <v/>
      </c>
      <c r="I17" s="204" t="str">
        <f>Calcu!G66</f>
        <v/>
      </c>
    </row>
    <row r="18" spans="1:10" s="202" customFormat="1" ht="15" customHeight="1">
      <c r="A18" s="180" t="str">
        <f>IF(Calcu!Q11=TRUE,"","삭제")</f>
        <v>삭제</v>
      </c>
      <c r="B18" s="203"/>
      <c r="C18" s="203"/>
      <c r="D18" s="210">
        <v>3</v>
      </c>
      <c r="E18" s="214" t="str">
        <f>Calcu!C67</f>
        <v/>
      </c>
      <c r="F18" s="210" t="str">
        <f>Calcu!D67</f>
        <v/>
      </c>
      <c r="G18" s="195" t="str">
        <f>Calcu!E67</f>
        <v/>
      </c>
      <c r="H18" s="222" t="str">
        <f>Calcu!F67</f>
        <v/>
      </c>
      <c r="I18" s="204" t="str">
        <f>Calcu!G67</f>
        <v/>
      </c>
    </row>
    <row r="19" spans="1:10" s="202" customFormat="1" ht="15" customHeight="1">
      <c r="A19" s="180" t="str">
        <f>IF(Calcu!Q12=TRUE,"","삭제")</f>
        <v>삭제</v>
      </c>
      <c r="B19" s="203"/>
      <c r="C19" s="203"/>
      <c r="D19" s="210">
        <v>4</v>
      </c>
      <c r="E19" s="214" t="str">
        <f>Calcu!C68</f>
        <v/>
      </c>
      <c r="F19" s="210" t="str">
        <f>Calcu!D68</f>
        <v/>
      </c>
      <c r="G19" s="195" t="str">
        <f>Calcu!E68</f>
        <v/>
      </c>
      <c r="H19" s="222" t="str">
        <f>Calcu!F68</f>
        <v/>
      </c>
      <c r="I19" s="204" t="str">
        <f>Calcu!G68</f>
        <v/>
      </c>
    </row>
    <row r="20" spans="1:10" s="202" customFormat="1" ht="15" customHeight="1">
      <c r="A20" s="180" t="str">
        <f>IF(Calcu!Q13=TRUE,"","삭제")</f>
        <v>삭제</v>
      </c>
      <c r="D20" s="210">
        <v>5</v>
      </c>
      <c r="E20" s="214" t="str">
        <f>Calcu!C69</f>
        <v/>
      </c>
      <c r="F20" s="210" t="str">
        <f>Calcu!D69</f>
        <v/>
      </c>
      <c r="G20" s="195" t="str">
        <f>Calcu!E69</f>
        <v/>
      </c>
      <c r="H20" s="222" t="str">
        <f>Calcu!F69</f>
        <v/>
      </c>
      <c r="I20" s="204" t="str">
        <f>Calcu!G69</f>
        <v/>
      </c>
    </row>
    <row r="21" spans="1:10" s="202" customFormat="1" ht="15" customHeight="1">
      <c r="A21" s="180" t="str">
        <f>IF(Calcu!Q14=TRUE,"","삭제")</f>
        <v>삭제</v>
      </c>
      <c r="D21" s="210">
        <v>6</v>
      </c>
      <c r="E21" s="214" t="str">
        <f>Calcu!C70</f>
        <v/>
      </c>
      <c r="F21" s="210" t="str">
        <f>Calcu!D70</f>
        <v/>
      </c>
      <c r="G21" s="195" t="str">
        <f>Calcu!E70</f>
        <v/>
      </c>
      <c r="H21" s="222" t="str">
        <f>Calcu!F70</f>
        <v/>
      </c>
      <c r="I21" s="204" t="str">
        <f>Calcu!G70</f>
        <v/>
      </c>
    </row>
    <row r="22" spans="1:10" s="202" customFormat="1" ht="15" customHeight="1">
      <c r="A22" s="180" t="str">
        <f>IF(Calcu!Q15=TRUE,"","삭제")</f>
        <v>삭제</v>
      </c>
      <c r="D22" s="210">
        <v>7</v>
      </c>
      <c r="E22" s="214" t="str">
        <f>Calcu!C71</f>
        <v/>
      </c>
      <c r="F22" s="210" t="str">
        <f>Calcu!D71</f>
        <v/>
      </c>
      <c r="G22" s="195" t="str">
        <f>Calcu!E71</f>
        <v/>
      </c>
      <c r="H22" s="222" t="str">
        <f>Calcu!F71</f>
        <v/>
      </c>
      <c r="I22" s="204" t="str">
        <f>Calcu!G71</f>
        <v/>
      </c>
    </row>
    <row r="23" spans="1:10" s="202" customFormat="1" ht="15" customHeight="1">
      <c r="A23" s="180" t="str">
        <f>IF(Calcu!Q16=TRUE,"","삭제")</f>
        <v>삭제</v>
      </c>
      <c r="D23" s="210">
        <v>8</v>
      </c>
      <c r="E23" s="214" t="str">
        <f>Calcu!C72</f>
        <v/>
      </c>
      <c r="F23" s="210" t="str">
        <f>Calcu!D72</f>
        <v/>
      </c>
      <c r="G23" s="195" t="str">
        <f>Calcu!E72</f>
        <v/>
      </c>
      <c r="H23" s="222" t="str">
        <f>Calcu!F72</f>
        <v/>
      </c>
      <c r="I23" s="204" t="str">
        <f>Calcu!G72</f>
        <v/>
      </c>
    </row>
    <row r="24" spans="1:10" s="202" customFormat="1" ht="15" customHeight="1">
      <c r="A24" s="180" t="str">
        <f>IF(Calcu!Q17=TRUE,"","삭제")</f>
        <v>삭제</v>
      </c>
      <c r="D24" s="210">
        <v>9</v>
      </c>
      <c r="E24" s="214" t="str">
        <f>Calcu!C73</f>
        <v/>
      </c>
      <c r="F24" s="210" t="str">
        <f>Calcu!D73</f>
        <v/>
      </c>
      <c r="G24" s="195" t="str">
        <f>Calcu!E73</f>
        <v/>
      </c>
      <c r="H24" s="222" t="str">
        <f>Calcu!F73</f>
        <v/>
      </c>
      <c r="I24" s="204" t="str">
        <f>Calcu!G73</f>
        <v/>
      </c>
    </row>
    <row r="25" spans="1:10" s="202" customFormat="1" ht="15" customHeight="1">
      <c r="A25" s="180" t="str">
        <f>IF(Calcu!Q18=TRUE,"","삭제")</f>
        <v>삭제</v>
      </c>
      <c r="D25" s="210">
        <v>10</v>
      </c>
      <c r="E25" s="214" t="str">
        <f>Calcu!C74</f>
        <v/>
      </c>
      <c r="F25" s="210" t="str">
        <f>Calcu!D74</f>
        <v/>
      </c>
      <c r="G25" s="195" t="str">
        <f>Calcu!E74</f>
        <v/>
      </c>
      <c r="H25" s="222" t="str">
        <f>Calcu!F74</f>
        <v/>
      </c>
      <c r="I25" s="204" t="str">
        <f>Calcu!G74</f>
        <v/>
      </c>
    </row>
    <row r="26" spans="1:10" s="202" customFormat="1" ht="15" customHeight="1">
      <c r="A26" s="180" t="str">
        <f>IF(Calcu!Q19=TRUE,"","삭제")</f>
        <v>삭제</v>
      </c>
      <c r="D26" s="210">
        <v>11</v>
      </c>
      <c r="E26" s="199" t="str">
        <f>Calcu!C75</f>
        <v/>
      </c>
      <c r="F26" s="223" t="str">
        <f>Calcu!D75</f>
        <v/>
      </c>
      <c r="G26" s="196" t="str">
        <f>Calcu!E75</f>
        <v/>
      </c>
      <c r="H26" s="198" t="str">
        <f>Calcu!F75</f>
        <v/>
      </c>
      <c r="I26" s="197" t="str">
        <f>Calcu!G75</f>
        <v/>
      </c>
    </row>
    <row r="27" spans="1:10" s="202" customFormat="1" ht="15" customHeight="1">
      <c r="A27" s="180" t="str">
        <f>IF(Calcu!Q20=TRUE,"","삭제")</f>
        <v>삭제</v>
      </c>
      <c r="D27" s="210">
        <v>12</v>
      </c>
      <c r="E27" s="199" t="str">
        <f>Calcu!C76</f>
        <v/>
      </c>
      <c r="F27" s="223" t="str">
        <f>Calcu!D76</f>
        <v/>
      </c>
      <c r="G27" s="196" t="str">
        <f>Calcu!E76</f>
        <v/>
      </c>
      <c r="H27" s="198" t="str">
        <f>Calcu!F76</f>
        <v/>
      </c>
      <c r="I27" s="197" t="str">
        <f>Calcu!G76</f>
        <v/>
      </c>
    </row>
    <row r="28" spans="1:10" s="202" customFormat="1" ht="15" customHeight="1">
      <c r="A28" s="180" t="str">
        <f>IF(Calcu!Q21=TRUE,"","삭제")</f>
        <v>삭제</v>
      </c>
      <c r="D28" s="210">
        <v>13</v>
      </c>
      <c r="E28" s="199" t="str">
        <f>Calcu!C77</f>
        <v/>
      </c>
      <c r="F28" s="223" t="str">
        <f>Calcu!D77</f>
        <v/>
      </c>
      <c r="G28" s="196" t="str">
        <f>Calcu!E77</f>
        <v/>
      </c>
      <c r="H28" s="198" t="str">
        <f>Calcu!F77</f>
        <v/>
      </c>
      <c r="I28" s="197" t="str">
        <f>Calcu!G77</f>
        <v/>
      </c>
    </row>
    <row r="29" spans="1:10" s="202" customFormat="1" ht="15" customHeight="1">
      <c r="A29" s="180" t="str">
        <f>IF(Calcu!Q22=TRUE,"","삭제")</f>
        <v>삭제</v>
      </c>
      <c r="D29" s="210">
        <v>14</v>
      </c>
      <c r="E29" s="199" t="str">
        <f>Calcu!C78</f>
        <v/>
      </c>
      <c r="F29" s="223" t="str">
        <f>Calcu!D78</f>
        <v/>
      </c>
      <c r="G29" s="196" t="str">
        <f>Calcu!E78</f>
        <v/>
      </c>
      <c r="H29" s="198" t="str">
        <f>Calcu!F78</f>
        <v/>
      </c>
      <c r="I29" s="197" t="str">
        <f>Calcu!G78</f>
        <v/>
      </c>
    </row>
    <row r="30" spans="1:10" s="202" customFormat="1" ht="15" customHeight="1">
      <c r="A30" s="180" t="str">
        <f>IF(Calcu!Q23=TRUE,"","삭제")</f>
        <v>삭제</v>
      </c>
      <c r="B30" s="132"/>
      <c r="C30" s="132"/>
      <c r="D30" s="211">
        <v>15</v>
      </c>
      <c r="E30" s="212" t="str">
        <f>Calcu!C79</f>
        <v/>
      </c>
      <c r="F30" s="211" t="str">
        <f>Calcu!D79</f>
        <v/>
      </c>
      <c r="G30" s="193" t="str">
        <f>Calcu!E79</f>
        <v/>
      </c>
      <c r="H30" s="205" t="str">
        <f>Calcu!F79</f>
        <v/>
      </c>
      <c r="I30" s="206" t="str">
        <f>Calcu!G79</f>
        <v/>
      </c>
    </row>
    <row r="31" spans="1:10" s="202" customFormat="1" ht="15" customHeight="1">
      <c r="A31" s="216"/>
      <c r="B31" s="132"/>
      <c r="C31" s="132"/>
      <c r="D31" s="191"/>
      <c r="E31" s="192"/>
      <c r="F31" s="191"/>
      <c r="G31" s="191"/>
      <c r="H31" s="191"/>
      <c r="I31" s="191"/>
    </row>
    <row r="32" spans="1:10" s="202" customFormat="1" ht="15" customHeight="1">
      <c r="A32" s="216"/>
      <c r="B32" s="132"/>
      <c r="C32" s="132"/>
      <c r="D32" s="201" t="s">
        <v>523</v>
      </c>
      <c r="F32" s="201"/>
      <c r="G32" s="331">
        <f ca="1">MAX(Calcu!AE45:AE59)</f>
        <v>0</v>
      </c>
      <c r="H32" s="132"/>
      <c r="I32" s="132"/>
      <c r="J32" s="132"/>
    </row>
    <row r="33" spans="1:13" s="202" customFormat="1" ht="15" customHeight="1">
      <c r="A33" s="216"/>
      <c r="B33" s="132"/>
      <c r="C33" s="132"/>
      <c r="D33" s="201" t="str">
        <f>CONCATENATE("◇ Resolution : ",Calcu!G3," ",Calcu!C3)</f>
        <v>◇ Resolution : 0 0</v>
      </c>
      <c r="F33" s="201"/>
      <c r="G33" s="132"/>
      <c r="H33" s="132"/>
      <c r="I33" s="132"/>
      <c r="J33" s="132"/>
    </row>
    <row r="34" spans="1:13" s="202" customFormat="1" ht="15" customHeight="1">
      <c r="A34" s="216"/>
      <c r="B34" s="132"/>
      <c r="C34" s="132"/>
      <c r="D34" s="201" t="str">
        <f>IF(Calcu!D3="해수","◇ Seawater density : 1 026 kg/㎥","◇ Freshwater density reference temperature : "&amp;표준압력!AF18&amp;" ℃")</f>
        <v>◇ Freshwater density reference temperature : 0 ℃</v>
      </c>
      <c r="E34" s="201"/>
      <c r="F34" s="132"/>
      <c r="G34" s="132"/>
      <c r="H34" s="132"/>
      <c r="I34" s="132"/>
    </row>
    <row r="35" spans="1:13" s="202" customFormat="1" ht="15" customHeight="1">
      <c r="A35" s="216"/>
      <c r="B35" s="132"/>
      <c r="C35" s="132"/>
      <c r="D35" s="201" t="s">
        <v>1012</v>
      </c>
      <c r="E35" s="201"/>
      <c r="F35" s="132"/>
      <c r="G35" s="132"/>
      <c r="H35" s="132"/>
      <c r="I35" s="132"/>
    </row>
    <row r="36" spans="1:13" s="202" customFormat="1" ht="15" customHeight="1">
      <c r="A36" s="180"/>
      <c r="D36" s="217"/>
      <c r="E36" s="218"/>
      <c r="F36" s="217"/>
      <c r="G36" s="217"/>
      <c r="H36" s="217"/>
      <c r="I36" s="217"/>
      <c r="J36" s="219"/>
      <c r="M36" s="54"/>
    </row>
    <row r="37" spans="1:13" s="202" customFormat="1" ht="15" customHeight="1">
      <c r="A37" s="216"/>
      <c r="G37" s="203"/>
      <c r="K37" s="54"/>
      <c r="L37" s="54"/>
    </row>
    <row r="38" spans="1:13" ht="15" customHeight="1">
      <c r="A38" s="133"/>
    </row>
    <row r="39" spans="1:13" ht="15" customHeight="1">
      <c r="A39" s="133"/>
    </row>
    <row r="40" spans="1:13" ht="15" customHeight="1">
      <c r="A40" s="133"/>
    </row>
    <row r="41" spans="1:13" ht="15" customHeight="1">
      <c r="A41" s="133"/>
    </row>
  </sheetData>
  <mergeCells count="9">
    <mergeCell ref="A1:L2"/>
    <mergeCell ref="D12:D15"/>
    <mergeCell ref="I13:I14"/>
    <mergeCell ref="G12:I12"/>
    <mergeCell ref="H13:H14"/>
    <mergeCell ref="G13:G14"/>
    <mergeCell ref="F13:F14"/>
    <mergeCell ref="E13:E14"/>
    <mergeCell ref="E12:F1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203" customWidth="1"/>
    <col min="2" max="5" width="1.77734375" style="203" hidden="1" customWidth="1"/>
    <col min="6" max="6" width="9.21875" style="203" customWidth="1"/>
    <col min="7" max="7" width="4.44140625" style="203" bestFit="1" customWidth="1"/>
    <col min="8" max="8" width="8.77734375" style="203"/>
    <col min="9" max="9" width="1.77734375" style="203" customWidth="1"/>
    <col min="10" max="10" width="7.5546875" style="203" bestFit="1" customWidth="1"/>
    <col min="11" max="11" width="9.109375" style="203" bestFit="1" customWidth="1"/>
    <col min="12" max="12" width="5.21875" style="203" bestFit="1" customWidth="1"/>
    <col min="13" max="13" width="7.5546875" style="203" bestFit="1" customWidth="1"/>
    <col min="14" max="14" width="9.109375" style="203" bestFit="1" customWidth="1"/>
    <col min="15" max="15" width="5.21875" style="203" bestFit="1" customWidth="1"/>
    <col min="16" max="16" width="1.77734375" style="203" customWidth="1"/>
    <col min="17" max="17" width="10.33203125" style="203" customWidth="1"/>
    <col min="18" max="16384" width="8.77734375" style="203"/>
  </cols>
  <sheetData>
    <row r="1" spans="1:17" s="249" customFormat="1" ht="33" customHeight="1">
      <c r="A1" s="477" t="s">
        <v>210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</row>
    <row r="2" spans="1:17" s="249" customFormat="1" ht="33" customHeight="1">
      <c r="A2" s="477"/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</row>
    <row r="3" spans="1:17" s="249" customFormat="1" ht="12.75" customHeight="1">
      <c r="A3" s="250" t="s">
        <v>211</v>
      </c>
      <c r="B3" s="250"/>
      <c r="C3" s="250"/>
      <c r="D3" s="250"/>
      <c r="E3" s="250"/>
      <c r="F3" s="34"/>
      <c r="G3" s="34"/>
      <c r="H3" s="34"/>
      <c r="I3" s="34"/>
      <c r="J3" s="34"/>
      <c r="K3" s="34"/>
      <c r="L3" s="34"/>
      <c r="M3" s="34"/>
    </row>
    <row r="4" spans="1:17" s="253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33"/>
      <c r="E4" s="33"/>
      <c r="F4" s="35"/>
      <c r="G4" s="35"/>
      <c r="H4" s="35"/>
      <c r="I4" s="35"/>
      <c r="J4" s="35"/>
      <c r="K4" s="251"/>
      <c r="L4" s="20"/>
      <c r="M4" s="252"/>
      <c r="N4" s="252"/>
      <c r="O4" s="252"/>
      <c r="P4" s="252"/>
      <c r="Q4" s="252"/>
    </row>
    <row r="5" spans="1:17" s="201" customFormat="1" ht="15" customHeight="1"/>
    <row r="6" spans="1:17" ht="15" customHeight="1">
      <c r="F6" s="76" t="str">
        <f>"○ 품명 : "&amp;기본정보!C$5</f>
        <v xml:space="preserve">○ 품명 : </v>
      </c>
      <c r="G6" s="254"/>
    </row>
    <row r="7" spans="1:17" ht="15" customHeight="1">
      <c r="F7" s="76" t="str">
        <f>"○ 제작회사 : "&amp;기본정보!C$6</f>
        <v xml:space="preserve">○ 제작회사 : </v>
      </c>
      <c r="G7" s="254"/>
    </row>
    <row r="8" spans="1:17" ht="15" customHeight="1">
      <c r="F8" s="76" t="str">
        <f>"○ 형식 : "&amp;기본정보!C$7</f>
        <v xml:space="preserve">○ 형식 : </v>
      </c>
      <c r="G8" s="254"/>
    </row>
    <row r="9" spans="1:17" ht="15" customHeight="1">
      <c r="F9" s="76" t="str">
        <f>"○ 기기번호 : "&amp;기본정보!C$8</f>
        <v xml:space="preserve">○ 기기번호 : </v>
      </c>
      <c r="G9" s="254"/>
    </row>
    <row r="11" spans="1:17" ht="15" customHeight="1">
      <c r="F11" s="56" t="s">
        <v>212</v>
      </c>
      <c r="G11" s="56"/>
    </row>
    <row r="12" spans="1:17" ht="15" customHeight="1">
      <c r="A12" s="255"/>
      <c r="B12" s="255"/>
      <c r="C12" s="255"/>
      <c r="D12" s="255"/>
      <c r="E12" s="255"/>
    </row>
    <row r="13" spans="1:17" s="256" customFormat="1" ht="15" customHeight="1">
      <c r="B13" s="478"/>
      <c r="C13" s="480"/>
      <c r="D13" s="480"/>
      <c r="E13" s="482"/>
      <c r="F13" s="484" t="s">
        <v>213</v>
      </c>
      <c r="G13" s="486" t="s">
        <v>214</v>
      </c>
      <c r="H13" s="488" t="s">
        <v>68</v>
      </c>
      <c r="I13" s="490"/>
      <c r="J13" s="491" t="s">
        <v>215</v>
      </c>
      <c r="K13" s="491"/>
      <c r="L13" s="491"/>
      <c r="M13" s="472" t="s">
        <v>216</v>
      </c>
      <c r="N13" s="472"/>
      <c r="O13" s="472"/>
      <c r="P13" s="473"/>
      <c r="Q13" s="475" t="s">
        <v>217</v>
      </c>
    </row>
    <row r="14" spans="1:17" s="257" customFormat="1" ht="22.5">
      <c r="B14" s="479"/>
      <c r="C14" s="481"/>
      <c r="D14" s="481"/>
      <c r="E14" s="483"/>
      <c r="F14" s="485"/>
      <c r="G14" s="487"/>
      <c r="H14" s="489"/>
      <c r="I14" s="481"/>
      <c r="J14" s="264" t="s">
        <v>218</v>
      </c>
      <c r="K14" s="267" t="s">
        <v>219</v>
      </c>
      <c r="L14" s="267" t="s">
        <v>221</v>
      </c>
      <c r="M14" s="264" t="s">
        <v>222</v>
      </c>
      <c r="N14" s="267" t="s">
        <v>223</v>
      </c>
      <c r="O14" s="267" t="s">
        <v>220</v>
      </c>
      <c r="P14" s="474"/>
      <c r="Q14" s="476"/>
    </row>
    <row r="15" spans="1:17" ht="15" customHeight="1">
      <c r="A15" s="255" t="str">
        <f>IF(Calcu!Q9=TRUE,"","삭제")</f>
        <v>삭제</v>
      </c>
      <c r="B15" s="258"/>
      <c r="C15" s="258"/>
      <c r="D15" s="258"/>
      <c r="F15" s="259" t="str">
        <f>IF(Calcu_ADJ!Q9=FALSE,Calcu!D65,Calcu_ADJ!D65)</f>
        <v/>
      </c>
      <c r="G15" s="259">
        <f>Calcu!D$64</f>
        <v>0</v>
      </c>
      <c r="H15" s="259" t="str">
        <f>IF(Calcu_ADJ!Q9=FALSE,Calcu!K65,Calcu_ADJ!K65)</f>
        <v/>
      </c>
      <c r="J15" s="203" t="str">
        <f>Calcu!E65</f>
        <v/>
      </c>
      <c r="K15" s="203" t="str">
        <f>Calcu!F65</f>
        <v/>
      </c>
      <c r="L15" s="203" t="str">
        <f>LEFT(Calcu!L65)</f>
        <v/>
      </c>
      <c r="M15" s="203" t="str">
        <f>Calcu_ADJ!E65</f>
        <v>-</v>
      </c>
      <c r="N15" s="203" t="str">
        <f>Calcu_ADJ!F65</f>
        <v>-</v>
      </c>
      <c r="O15" s="203" t="str">
        <f>LEFT(Calcu_ADJ!L65)</f>
        <v>-</v>
      </c>
      <c r="Q15" s="203" t="str">
        <f>IF(Calcu_ADJ!Q9=FALSE,Calcu!G65,Calcu_ADJ!G65)</f>
        <v/>
      </c>
    </row>
    <row r="16" spans="1:17" ht="15" customHeight="1">
      <c r="A16" s="255" t="str">
        <f>IF(Calcu!Q10=TRUE,"","삭제")</f>
        <v>삭제</v>
      </c>
      <c r="B16" s="258"/>
      <c r="C16" s="258"/>
      <c r="D16" s="258"/>
      <c r="F16" s="259" t="str">
        <f>IF(Calcu_ADJ!Q10=FALSE,Calcu!D66,Calcu_ADJ!D66)</f>
        <v/>
      </c>
      <c r="G16" s="259">
        <f>Calcu!D$64</f>
        <v>0</v>
      </c>
      <c r="H16" s="259" t="str">
        <f>IF(Calcu_ADJ!Q10=FALSE,Calcu!K66,Calcu_ADJ!K66)</f>
        <v/>
      </c>
      <c r="J16" s="203" t="str">
        <f>Calcu!E66</f>
        <v/>
      </c>
      <c r="K16" s="203" t="str">
        <f>Calcu!F66</f>
        <v/>
      </c>
      <c r="L16" s="203" t="str">
        <f>LEFT(Calcu!L66)</f>
        <v/>
      </c>
      <c r="M16" s="203" t="str">
        <f>Calcu_ADJ!E66</f>
        <v>-</v>
      </c>
      <c r="N16" s="203" t="str">
        <f>Calcu_ADJ!F66</f>
        <v>-</v>
      </c>
      <c r="O16" s="203" t="str">
        <f>LEFT(Calcu_ADJ!L66)</f>
        <v>-</v>
      </c>
      <c r="Q16" s="203" t="str">
        <f>IF(Calcu_ADJ!Q10=FALSE,Calcu!G66,Calcu_ADJ!G66)</f>
        <v/>
      </c>
    </row>
    <row r="17" spans="1:17" ht="15" customHeight="1">
      <c r="A17" s="255" t="str">
        <f>IF(Calcu!Q11=TRUE,"","삭제")</f>
        <v>삭제</v>
      </c>
      <c r="B17" s="258"/>
      <c r="C17" s="258"/>
      <c r="D17" s="258"/>
      <c r="F17" s="259" t="str">
        <f>IF(Calcu_ADJ!Q11=FALSE,Calcu!D67,Calcu_ADJ!D67)</f>
        <v/>
      </c>
      <c r="G17" s="259">
        <f>Calcu!D$64</f>
        <v>0</v>
      </c>
      <c r="H17" s="259" t="str">
        <f>IF(Calcu_ADJ!Q11=FALSE,Calcu!K67,Calcu_ADJ!K67)</f>
        <v/>
      </c>
      <c r="J17" s="203" t="str">
        <f>Calcu!E67</f>
        <v/>
      </c>
      <c r="K17" s="203" t="str">
        <f>Calcu!F67</f>
        <v/>
      </c>
      <c r="L17" s="203" t="str">
        <f>LEFT(Calcu!L67)</f>
        <v/>
      </c>
      <c r="M17" s="203" t="str">
        <f>Calcu_ADJ!E67</f>
        <v>-</v>
      </c>
      <c r="N17" s="203" t="str">
        <f>Calcu_ADJ!F67</f>
        <v>-</v>
      </c>
      <c r="O17" s="203" t="str">
        <f>LEFT(Calcu_ADJ!L67)</f>
        <v>-</v>
      </c>
      <c r="Q17" s="203" t="str">
        <f>IF(Calcu_ADJ!Q11=FALSE,Calcu!G67,Calcu_ADJ!G67)</f>
        <v/>
      </c>
    </row>
    <row r="18" spans="1:17" ht="15" customHeight="1">
      <c r="A18" s="255" t="str">
        <f>IF(Calcu!Q12=TRUE,"","삭제")</f>
        <v>삭제</v>
      </c>
      <c r="B18" s="258"/>
      <c r="C18" s="258"/>
      <c r="D18" s="258"/>
      <c r="F18" s="259" t="str">
        <f>IF(Calcu_ADJ!Q12=FALSE,Calcu!D68,Calcu_ADJ!D68)</f>
        <v/>
      </c>
      <c r="G18" s="259">
        <f>Calcu!D$64</f>
        <v>0</v>
      </c>
      <c r="H18" s="259" t="str">
        <f>IF(Calcu_ADJ!Q12=FALSE,Calcu!K68,Calcu_ADJ!K68)</f>
        <v/>
      </c>
      <c r="J18" s="203" t="str">
        <f>Calcu!E68</f>
        <v/>
      </c>
      <c r="K18" s="203" t="str">
        <f>Calcu!F68</f>
        <v/>
      </c>
      <c r="L18" s="203" t="str">
        <f>LEFT(Calcu!L68)</f>
        <v/>
      </c>
      <c r="M18" s="203" t="str">
        <f>Calcu_ADJ!E68</f>
        <v>-</v>
      </c>
      <c r="N18" s="203" t="str">
        <f>Calcu_ADJ!F68</f>
        <v>-</v>
      </c>
      <c r="O18" s="203" t="str">
        <f>LEFT(Calcu_ADJ!L68)</f>
        <v>-</v>
      </c>
      <c r="Q18" s="203" t="str">
        <f>IF(Calcu_ADJ!Q12=FALSE,Calcu!G68,Calcu_ADJ!G68)</f>
        <v/>
      </c>
    </row>
    <row r="19" spans="1:17" ht="15" customHeight="1">
      <c r="A19" s="255" t="str">
        <f>IF(Calcu!Q13=TRUE,"","삭제")</f>
        <v>삭제</v>
      </c>
      <c r="B19" s="258"/>
      <c r="C19" s="258"/>
      <c r="D19" s="258"/>
      <c r="F19" s="259" t="str">
        <f>IF(Calcu_ADJ!Q13=FALSE,Calcu!D69,Calcu_ADJ!D69)</f>
        <v/>
      </c>
      <c r="G19" s="259">
        <f>Calcu!D$64</f>
        <v>0</v>
      </c>
      <c r="H19" s="259" t="str">
        <f>IF(Calcu_ADJ!Q13=FALSE,Calcu!K69,Calcu_ADJ!K69)</f>
        <v/>
      </c>
      <c r="J19" s="203" t="str">
        <f>Calcu!E69</f>
        <v/>
      </c>
      <c r="K19" s="203" t="str">
        <f>Calcu!F69</f>
        <v/>
      </c>
      <c r="L19" s="203" t="str">
        <f>LEFT(Calcu!L69)</f>
        <v/>
      </c>
      <c r="M19" s="203" t="str">
        <f>Calcu_ADJ!E69</f>
        <v>-</v>
      </c>
      <c r="N19" s="203" t="str">
        <f>Calcu_ADJ!F69</f>
        <v>-</v>
      </c>
      <c r="O19" s="203" t="str">
        <f>LEFT(Calcu_ADJ!L69)</f>
        <v>-</v>
      </c>
      <c r="Q19" s="203" t="str">
        <f>IF(Calcu_ADJ!Q13=FALSE,Calcu!G69,Calcu_ADJ!G69)</f>
        <v/>
      </c>
    </row>
    <row r="20" spans="1:17" ht="15" customHeight="1">
      <c r="A20" s="255" t="str">
        <f>IF(Calcu!Q14=TRUE,"","삭제")</f>
        <v>삭제</v>
      </c>
      <c r="B20" s="258"/>
      <c r="C20" s="258"/>
      <c r="D20" s="258"/>
      <c r="F20" s="259" t="str">
        <f>IF(Calcu_ADJ!Q14=FALSE,Calcu!D70,Calcu_ADJ!D70)</f>
        <v/>
      </c>
      <c r="G20" s="259">
        <f>Calcu!D$64</f>
        <v>0</v>
      </c>
      <c r="H20" s="259" t="str">
        <f>IF(Calcu_ADJ!Q14=FALSE,Calcu!K70,Calcu_ADJ!K70)</f>
        <v/>
      </c>
      <c r="J20" s="203" t="str">
        <f>Calcu!E70</f>
        <v/>
      </c>
      <c r="K20" s="203" t="str">
        <f>Calcu!F70</f>
        <v/>
      </c>
      <c r="L20" s="203" t="str">
        <f>LEFT(Calcu!L70)</f>
        <v/>
      </c>
      <c r="M20" s="203" t="str">
        <f>Calcu_ADJ!E70</f>
        <v>-</v>
      </c>
      <c r="N20" s="203" t="str">
        <f>Calcu_ADJ!F70</f>
        <v>-</v>
      </c>
      <c r="O20" s="203" t="str">
        <f>LEFT(Calcu_ADJ!L70)</f>
        <v>-</v>
      </c>
      <c r="Q20" s="203" t="str">
        <f>IF(Calcu_ADJ!Q14=FALSE,Calcu!G70,Calcu_ADJ!G70)</f>
        <v/>
      </c>
    </row>
    <row r="21" spans="1:17" ht="15" customHeight="1">
      <c r="A21" s="255" t="str">
        <f>IF(Calcu!Q15=TRUE,"","삭제")</f>
        <v>삭제</v>
      </c>
      <c r="B21" s="258"/>
      <c r="C21" s="258"/>
      <c r="D21" s="258"/>
      <c r="F21" s="259" t="str">
        <f>IF(Calcu_ADJ!Q15=FALSE,Calcu!D71,Calcu_ADJ!D71)</f>
        <v/>
      </c>
      <c r="G21" s="259">
        <f>Calcu!D$64</f>
        <v>0</v>
      </c>
      <c r="H21" s="259" t="str">
        <f>IF(Calcu_ADJ!Q15=FALSE,Calcu!K71,Calcu_ADJ!K71)</f>
        <v/>
      </c>
      <c r="J21" s="203" t="str">
        <f>Calcu!E71</f>
        <v/>
      </c>
      <c r="K21" s="203" t="str">
        <f>Calcu!F71</f>
        <v/>
      </c>
      <c r="L21" s="203" t="str">
        <f>LEFT(Calcu!L71)</f>
        <v/>
      </c>
      <c r="M21" s="203" t="str">
        <f>Calcu_ADJ!E71</f>
        <v>-</v>
      </c>
      <c r="N21" s="203" t="str">
        <f>Calcu_ADJ!F71</f>
        <v>-</v>
      </c>
      <c r="O21" s="203" t="str">
        <f>LEFT(Calcu_ADJ!L71)</f>
        <v>-</v>
      </c>
      <c r="Q21" s="203" t="str">
        <f>IF(Calcu_ADJ!Q15=FALSE,Calcu!G71,Calcu_ADJ!G71)</f>
        <v/>
      </c>
    </row>
    <row r="22" spans="1:17" ht="15" customHeight="1">
      <c r="A22" s="255" t="str">
        <f>IF(Calcu!Q16=TRUE,"","삭제")</f>
        <v>삭제</v>
      </c>
      <c r="B22" s="258"/>
      <c r="C22" s="258"/>
      <c r="D22" s="258"/>
      <c r="F22" s="259" t="str">
        <f>IF(Calcu_ADJ!Q16=FALSE,Calcu!D72,Calcu_ADJ!D72)</f>
        <v/>
      </c>
      <c r="G22" s="259">
        <f>Calcu!D$64</f>
        <v>0</v>
      </c>
      <c r="H22" s="259" t="str">
        <f>IF(Calcu_ADJ!Q16=FALSE,Calcu!K72,Calcu_ADJ!K72)</f>
        <v/>
      </c>
      <c r="J22" s="203" t="str">
        <f>Calcu!E72</f>
        <v/>
      </c>
      <c r="K22" s="203" t="str">
        <f>Calcu!F72</f>
        <v/>
      </c>
      <c r="L22" s="203" t="str">
        <f>LEFT(Calcu!L72)</f>
        <v/>
      </c>
      <c r="M22" s="203" t="str">
        <f>Calcu_ADJ!E72</f>
        <v>-</v>
      </c>
      <c r="N22" s="203" t="str">
        <f>Calcu_ADJ!F72</f>
        <v>-</v>
      </c>
      <c r="O22" s="203" t="str">
        <f>LEFT(Calcu_ADJ!L72)</f>
        <v>-</v>
      </c>
      <c r="Q22" s="203" t="str">
        <f>IF(Calcu_ADJ!Q16=FALSE,Calcu!G72,Calcu_ADJ!G72)</f>
        <v/>
      </c>
    </row>
    <row r="23" spans="1:17" ht="15" customHeight="1">
      <c r="A23" s="255" t="str">
        <f>IF(Calcu!Q17=TRUE,"","삭제")</f>
        <v>삭제</v>
      </c>
      <c r="B23" s="258"/>
      <c r="C23" s="258"/>
      <c r="D23" s="258"/>
      <c r="F23" s="259" t="str">
        <f>IF(Calcu_ADJ!Q17=FALSE,Calcu!D73,Calcu_ADJ!D73)</f>
        <v/>
      </c>
      <c r="G23" s="259">
        <f>Calcu!D$64</f>
        <v>0</v>
      </c>
      <c r="H23" s="259" t="str">
        <f>IF(Calcu_ADJ!Q17=FALSE,Calcu!K73,Calcu_ADJ!K73)</f>
        <v/>
      </c>
      <c r="J23" s="203" t="str">
        <f>Calcu!E73</f>
        <v/>
      </c>
      <c r="K23" s="203" t="str">
        <f>Calcu!F73</f>
        <v/>
      </c>
      <c r="L23" s="203" t="str">
        <f>LEFT(Calcu!L73)</f>
        <v/>
      </c>
      <c r="M23" s="203" t="str">
        <f>Calcu_ADJ!E73</f>
        <v>-</v>
      </c>
      <c r="N23" s="203" t="str">
        <f>Calcu_ADJ!F73</f>
        <v>-</v>
      </c>
      <c r="O23" s="203" t="str">
        <f>LEFT(Calcu_ADJ!L73)</f>
        <v>-</v>
      </c>
      <c r="Q23" s="203" t="str">
        <f>IF(Calcu_ADJ!Q17=FALSE,Calcu!G73,Calcu_ADJ!G73)</f>
        <v/>
      </c>
    </row>
    <row r="24" spans="1:17" ht="15" customHeight="1">
      <c r="A24" s="255" t="str">
        <f>IF(Calcu!Q18=TRUE,"","삭제")</f>
        <v>삭제</v>
      </c>
      <c r="B24" s="258"/>
      <c r="C24" s="258"/>
      <c r="D24" s="258"/>
      <c r="F24" s="259" t="str">
        <f>IF(Calcu_ADJ!Q18=FALSE,Calcu!D74,Calcu_ADJ!D74)</f>
        <v/>
      </c>
      <c r="G24" s="259">
        <f>Calcu!D$64</f>
        <v>0</v>
      </c>
      <c r="H24" s="259" t="str">
        <f>IF(Calcu_ADJ!Q18=FALSE,Calcu!K74,Calcu_ADJ!K74)</f>
        <v/>
      </c>
      <c r="J24" s="203" t="str">
        <f>Calcu!E74</f>
        <v/>
      </c>
      <c r="K24" s="203" t="str">
        <f>Calcu!F74</f>
        <v/>
      </c>
      <c r="L24" s="203" t="str">
        <f>LEFT(Calcu!L74)</f>
        <v/>
      </c>
      <c r="M24" s="203" t="str">
        <f>Calcu_ADJ!E74</f>
        <v>-</v>
      </c>
      <c r="N24" s="203" t="str">
        <f>Calcu_ADJ!F74</f>
        <v>-</v>
      </c>
      <c r="O24" s="203" t="str">
        <f>LEFT(Calcu_ADJ!L74)</f>
        <v>-</v>
      </c>
      <c r="Q24" s="203" t="str">
        <f>IF(Calcu_ADJ!Q18=FALSE,Calcu!G74,Calcu_ADJ!G74)</f>
        <v/>
      </c>
    </row>
    <row r="25" spans="1:17" ht="15" customHeight="1">
      <c r="A25" s="255" t="str">
        <f>IF(Calcu!Q19=TRUE,"","삭제")</f>
        <v>삭제</v>
      </c>
      <c r="B25" s="258"/>
      <c r="C25" s="258"/>
      <c r="D25" s="258"/>
      <c r="F25" s="259" t="str">
        <f>IF(Calcu_ADJ!Q19=FALSE,Calcu!D75,Calcu_ADJ!D75)</f>
        <v/>
      </c>
      <c r="G25" s="259">
        <f>Calcu!D$64</f>
        <v>0</v>
      </c>
      <c r="H25" s="259" t="str">
        <f>IF(Calcu_ADJ!Q19=FALSE,Calcu!K75,Calcu_ADJ!K75)</f>
        <v/>
      </c>
      <c r="J25" s="203" t="str">
        <f>Calcu!E75</f>
        <v/>
      </c>
      <c r="K25" s="203" t="str">
        <f>Calcu!F75</f>
        <v/>
      </c>
      <c r="L25" s="203" t="str">
        <f>LEFT(Calcu!L75)</f>
        <v/>
      </c>
      <c r="M25" s="203" t="str">
        <f>Calcu_ADJ!E75</f>
        <v>-</v>
      </c>
      <c r="N25" s="203" t="str">
        <f>Calcu_ADJ!F75</f>
        <v>-</v>
      </c>
      <c r="O25" s="203" t="str">
        <f>LEFT(Calcu_ADJ!L75)</f>
        <v>-</v>
      </c>
      <c r="Q25" s="203" t="str">
        <f>IF(Calcu_ADJ!Q19=FALSE,Calcu!G75,Calcu_ADJ!G75)</f>
        <v/>
      </c>
    </row>
    <row r="26" spans="1:17" ht="15" customHeight="1">
      <c r="A26" s="255" t="str">
        <f>IF(Calcu!Q20=TRUE,"","삭제")</f>
        <v>삭제</v>
      </c>
      <c r="B26" s="258"/>
      <c r="C26" s="258"/>
      <c r="D26" s="258"/>
      <c r="F26" s="259" t="str">
        <f>IF(Calcu_ADJ!Q20=FALSE,Calcu!D76,Calcu_ADJ!D76)</f>
        <v/>
      </c>
      <c r="G26" s="259">
        <f>Calcu!D$64</f>
        <v>0</v>
      </c>
      <c r="H26" s="259" t="str">
        <f>IF(Calcu_ADJ!Q20=FALSE,Calcu!K76,Calcu_ADJ!K76)</f>
        <v/>
      </c>
      <c r="J26" s="203" t="str">
        <f>Calcu!E76</f>
        <v/>
      </c>
      <c r="K26" s="203" t="str">
        <f>Calcu!F76</f>
        <v/>
      </c>
      <c r="L26" s="203" t="str">
        <f>LEFT(Calcu!L76)</f>
        <v/>
      </c>
      <c r="M26" s="203" t="str">
        <f>Calcu_ADJ!E76</f>
        <v>-</v>
      </c>
      <c r="N26" s="203" t="str">
        <f>Calcu_ADJ!F76</f>
        <v>-</v>
      </c>
      <c r="O26" s="203" t="str">
        <f>LEFT(Calcu_ADJ!L76)</f>
        <v>-</v>
      </c>
      <c r="Q26" s="203" t="str">
        <f>IF(Calcu_ADJ!Q20=FALSE,Calcu!G76,Calcu_ADJ!G76)</f>
        <v/>
      </c>
    </row>
    <row r="27" spans="1:17" ht="15" customHeight="1">
      <c r="A27" s="255" t="str">
        <f>IF(Calcu!Q21=TRUE,"","삭제")</f>
        <v>삭제</v>
      </c>
      <c r="B27" s="258"/>
      <c r="C27" s="258"/>
      <c r="D27" s="258"/>
      <c r="F27" s="259" t="str">
        <f>IF(Calcu_ADJ!Q21=FALSE,Calcu!D77,Calcu_ADJ!D77)</f>
        <v/>
      </c>
      <c r="G27" s="259">
        <f>Calcu!D$64</f>
        <v>0</v>
      </c>
      <c r="H27" s="259" t="str">
        <f>IF(Calcu_ADJ!Q21=FALSE,Calcu!K77,Calcu_ADJ!K77)</f>
        <v/>
      </c>
      <c r="J27" s="203" t="str">
        <f>Calcu!E77</f>
        <v/>
      </c>
      <c r="K27" s="203" t="str">
        <f>Calcu!F77</f>
        <v/>
      </c>
      <c r="L27" s="203" t="str">
        <f>LEFT(Calcu!L77)</f>
        <v/>
      </c>
      <c r="M27" s="203" t="str">
        <f>Calcu_ADJ!E77</f>
        <v>-</v>
      </c>
      <c r="N27" s="203" t="str">
        <f>Calcu_ADJ!F77</f>
        <v>-</v>
      </c>
      <c r="O27" s="203" t="str">
        <f>LEFT(Calcu_ADJ!L77)</f>
        <v>-</v>
      </c>
      <c r="Q27" s="203" t="str">
        <f>IF(Calcu_ADJ!Q21=FALSE,Calcu!G77,Calcu_ADJ!G77)</f>
        <v/>
      </c>
    </row>
    <row r="28" spans="1:17" ht="15" customHeight="1">
      <c r="A28" s="255" t="str">
        <f>IF(Calcu!Q22=TRUE,"","삭제")</f>
        <v>삭제</v>
      </c>
      <c r="B28" s="258"/>
      <c r="C28" s="258"/>
      <c r="D28" s="258"/>
      <c r="F28" s="259" t="str">
        <f>IF(Calcu_ADJ!Q22=FALSE,Calcu!D78,Calcu_ADJ!D78)</f>
        <v/>
      </c>
      <c r="G28" s="259">
        <f>Calcu!D$64</f>
        <v>0</v>
      </c>
      <c r="H28" s="259" t="str">
        <f>IF(Calcu_ADJ!Q22=FALSE,Calcu!K78,Calcu_ADJ!K78)</f>
        <v/>
      </c>
      <c r="J28" s="203" t="str">
        <f>Calcu!E78</f>
        <v/>
      </c>
      <c r="K28" s="203" t="str">
        <f>Calcu!F78</f>
        <v/>
      </c>
      <c r="L28" s="203" t="str">
        <f>LEFT(Calcu!L78)</f>
        <v/>
      </c>
      <c r="M28" s="203" t="str">
        <f>Calcu_ADJ!E78</f>
        <v>-</v>
      </c>
      <c r="N28" s="203" t="str">
        <f>Calcu_ADJ!F78</f>
        <v>-</v>
      </c>
      <c r="O28" s="203" t="str">
        <f>LEFT(Calcu_ADJ!L78)</f>
        <v>-</v>
      </c>
      <c r="Q28" s="203" t="str">
        <f>IF(Calcu_ADJ!Q22=FALSE,Calcu!G78,Calcu_ADJ!G78)</f>
        <v/>
      </c>
    </row>
    <row r="29" spans="1:17" ht="15" customHeight="1">
      <c r="A29" s="255" t="str">
        <f>IF(Calcu!Q23=TRUE,"","삭제")</f>
        <v>삭제</v>
      </c>
      <c r="B29" s="258"/>
      <c r="C29" s="258"/>
      <c r="D29" s="258"/>
      <c r="F29" s="259" t="str">
        <f>IF(Calcu_ADJ!Q23=FALSE,Calcu!D79,Calcu_ADJ!D79)</f>
        <v/>
      </c>
      <c r="G29" s="259">
        <f>Calcu!D$64</f>
        <v>0</v>
      </c>
      <c r="H29" s="259" t="str">
        <f>IF(Calcu_ADJ!Q23=FALSE,Calcu!K79,Calcu_ADJ!K79)</f>
        <v/>
      </c>
      <c r="J29" s="203" t="str">
        <f>Calcu!E79</f>
        <v/>
      </c>
      <c r="K29" s="203" t="str">
        <f>Calcu!F79</f>
        <v/>
      </c>
      <c r="L29" s="203" t="str">
        <f>LEFT(Calcu!L79)</f>
        <v/>
      </c>
      <c r="M29" s="203" t="str">
        <f>Calcu_ADJ!E79</f>
        <v>-</v>
      </c>
      <c r="N29" s="203" t="str">
        <f>Calcu_ADJ!F79</f>
        <v>-</v>
      </c>
      <c r="O29" s="203" t="str">
        <f>LEFT(Calcu_ADJ!L79)</f>
        <v>-</v>
      </c>
      <c r="Q29" s="203" t="str">
        <f>IF(Calcu_ADJ!Q23=FALSE,Calcu!G79,Calcu_ADJ!G79)</f>
        <v/>
      </c>
    </row>
    <row r="30" spans="1:17" ht="15" customHeight="1">
      <c r="A30" s="255"/>
      <c r="F30" s="259"/>
      <c r="G30" s="259"/>
      <c r="H30" s="259"/>
    </row>
    <row r="31" spans="1:17" ht="15" customHeight="1">
      <c r="A31" s="255"/>
      <c r="G31" s="260" t="s">
        <v>225</v>
      </c>
      <c r="H31" s="261">
        <f ca="1">IF(Calcu_ADJ!Q9=FALSE,MAX(Calcu!AE45:AE59),MAX(Calcu_ADJ!AE45:AE59))</f>
        <v>0</v>
      </c>
      <c r="K31" s="262"/>
      <c r="Q31" s="260"/>
    </row>
    <row r="32" spans="1:17" ht="15" customHeight="1">
      <c r="A32" s="255"/>
      <c r="F32" s="56" t="str">
        <f>CONCATENATE("◇ 최소눈금 : ",Calcu!G3," ",Calcu!C3)</f>
        <v>◇ 최소눈금 : 0 0</v>
      </c>
      <c r="G32" s="260"/>
      <c r="H32" s="261"/>
      <c r="K32" s="262"/>
      <c r="Q32" s="260"/>
    </row>
    <row r="33" spans="2:17" ht="15" customHeight="1"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63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5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4" customWidth="1"/>
    <col min="4" max="4" width="6.77734375" style="54" customWidth="1"/>
    <col min="5" max="5" width="12.77734375" style="54" customWidth="1"/>
    <col min="6" max="6" width="12.77734375" style="55" customWidth="1"/>
    <col min="7" max="7" width="11.77734375" style="54" customWidth="1"/>
    <col min="8" max="8" width="14.77734375" style="54" customWidth="1"/>
    <col min="9" max="11" width="3.33203125" style="54" customWidth="1"/>
    <col min="12" max="16384" width="10.77734375" style="54"/>
  </cols>
  <sheetData>
    <row r="1" spans="1:11" s="2" customFormat="1" ht="33" customHeight="1">
      <c r="A1" s="448" t="s">
        <v>99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</row>
    <row r="2" spans="1:11" s="2" customFormat="1" ht="33" customHeight="1">
      <c r="A2" s="448"/>
      <c r="B2" s="448"/>
      <c r="C2" s="448"/>
      <c r="D2" s="448"/>
      <c r="E2" s="448"/>
      <c r="F2" s="448"/>
      <c r="G2" s="448"/>
      <c r="H2" s="448"/>
      <c r="I2" s="448"/>
      <c r="J2" s="448"/>
      <c r="K2" s="448"/>
    </row>
    <row r="3" spans="1:11" s="2" customFormat="1" ht="12.75" customHeight="1">
      <c r="A3" s="17"/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/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180" t="str">
        <f>IF(Calcu!B9=TRUE,"","삭제")</f>
        <v>삭제</v>
      </c>
      <c r="D6" s="76" t="str">
        <f>"○ 품명 : "&amp;기본정보!C$5</f>
        <v xml:space="preserve">○ 품명 : </v>
      </c>
      <c r="F6" s="54"/>
      <c r="G6" s="55"/>
    </row>
    <row r="7" spans="1:11" ht="15" customHeight="1">
      <c r="A7" s="133" t="str">
        <f>A6</f>
        <v>삭제</v>
      </c>
      <c r="D7" s="76" t="str">
        <f>"○ 제작회사 : "&amp;기본정보!C$6</f>
        <v xml:space="preserve">○ 제작회사 : </v>
      </c>
      <c r="F7" s="54"/>
      <c r="G7" s="55"/>
    </row>
    <row r="8" spans="1:11" ht="15" customHeight="1">
      <c r="A8" s="216" t="str">
        <f t="shared" ref="A8:A15" si="0">A7</f>
        <v>삭제</v>
      </c>
      <c r="D8" s="76" t="str">
        <f>"○ 형식 : "&amp;기본정보!C$7</f>
        <v xml:space="preserve">○ 형식 : </v>
      </c>
      <c r="F8" s="54"/>
      <c r="G8" s="55"/>
    </row>
    <row r="9" spans="1:11" ht="15" customHeight="1">
      <c r="A9" s="216" t="str">
        <f t="shared" si="0"/>
        <v>삭제</v>
      </c>
      <c r="D9" s="76" t="str">
        <f>"○ 기기번호 : "&amp;기본정보!C$8</f>
        <v xml:space="preserve">○ 기기번호 : </v>
      </c>
      <c r="F9" s="54"/>
      <c r="G9" s="55"/>
    </row>
    <row r="10" spans="1:11" ht="15" customHeight="1">
      <c r="A10" s="216" t="str">
        <f t="shared" si="0"/>
        <v>삭제</v>
      </c>
      <c r="D10" s="76"/>
      <c r="F10" s="54"/>
      <c r="G10" s="55"/>
    </row>
    <row r="11" spans="1:11" s="55" customFormat="1" ht="15" customHeight="1">
      <c r="A11" s="216" t="str">
        <f t="shared" si="0"/>
        <v>삭제</v>
      </c>
      <c r="B11" s="54"/>
      <c r="C11" s="54"/>
      <c r="D11" s="56" t="s">
        <v>69</v>
      </c>
      <c r="E11" s="54"/>
      <c r="F11" s="54"/>
      <c r="H11" s="54"/>
      <c r="I11" s="54"/>
      <c r="J11" s="54"/>
      <c r="K11" s="54"/>
    </row>
    <row r="12" spans="1:11" s="123" customFormat="1" ht="15" customHeight="1">
      <c r="A12" s="216" t="str">
        <f t="shared" si="0"/>
        <v>삭제</v>
      </c>
      <c r="B12" s="54"/>
      <c r="C12" s="54"/>
      <c r="D12" s="449" t="s">
        <v>55</v>
      </c>
      <c r="E12" s="138" t="s">
        <v>65</v>
      </c>
      <c r="F12" s="457" t="e">
        <f>Calcu!$J$82</f>
        <v>#N/A</v>
      </c>
      <c r="G12" s="458"/>
      <c r="H12" s="459"/>
      <c r="I12" s="54"/>
      <c r="J12" s="54"/>
      <c r="K12" s="54"/>
    </row>
    <row r="13" spans="1:11" s="123" customFormat="1" ht="15" customHeight="1">
      <c r="A13" s="216" t="str">
        <f t="shared" si="0"/>
        <v>삭제</v>
      </c>
      <c r="B13" s="54"/>
      <c r="C13" s="54"/>
      <c r="D13" s="450"/>
      <c r="E13" s="492" t="s">
        <v>188</v>
      </c>
      <c r="F13" s="493" t="s">
        <v>52</v>
      </c>
      <c r="G13" s="495" t="s">
        <v>68</v>
      </c>
      <c r="H13" s="496" t="s">
        <v>199</v>
      </c>
      <c r="I13" s="54"/>
      <c r="J13" s="54"/>
      <c r="K13" s="54"/>
    </row>
    <row r="14" spans="1:11" s="123" customFormat="1" ht="15" customHeight="1">
      <c r="A14" s="216" t="str">
        <f t="shared" si="0"/>
        <v>삭제</v>
      </c>
      <c r="B14" s="54"/>
      <c r="C14" s="54"/>
      <c r="D14" s="450"/>
      <c r="E14" s="469"/>
      <c r="F14" s="494"/>
      <c r="G14" s="495"/>
      <c r="H14" s="497"/>
      <c r="I14" s="54"/>
      <c r="J14" s="54"/>
      <c r="K14" s="54"/>
    </row>
    <row r="15" spans="1:11" s="123" customFormat="1" ht="15" customHeight="1">
      <c r="A15" s="216" t="str">
        <f t="shared" si="0"/>
        <v>삭제</v>
      </c>
      <c r="B15" s="55"/>
      <c r="C15" s="55"/>
      <c r="D15" s="451"/>
      <c r="E15" s="72">
        <f>Calcu!D64</f>
        <v>0</v>
      </c>
      <c r="F15" s="71">
        <f>Calcu!F64</f>
        <v>0</v>
      </c>
      <c r="G15" s="69">
        <f>Calcu!M64</f>
        <v>0</v>
      </c>
      <c r="H15" s="70"/>
      <c r="I15" s="54"/>
      <c r="J15" s="54"/>
      <c r="K15" s="54"/>
    </row>
    <row r="16" spans="1:11" s="123" customFormat="1" ht="15" customHeight="1">
      <c r="A16" s="180" t="str">
        <f>IF(Calcu!Q9=TRUE,"","삭제")</f>
        <v>삭제</v>
      </c>
      <c r="B16" s="55"/>
      <c r="C16" s="55"/>
      <c r="D16" s="140">
        <f>Calcu!B65</f>
        <v>1</v>
      </c>
      <c r="E16" s="142" t="str">
        <f>Calcu!D65</f>
        <v/>
      </c>
      <c r="F16" s="143" t="str">
        <f>Calcu!E65</f>
        <v/>
      </c>
      <c r="G16" s="144" t="str">
        <f>Calcu!K65</f>
        <v/>
      </c>
      <c r="H16" s="145" t="str">
        <f>Calcu!L65</f>
        <v/>
      </c>
      <c r="I16" s="54"/>
      <c r="J16" s="54"/>
      <c r="K16" s="54"/>
    </row>
    <row r="17" spans="1:11" s="123" customFormat="1" ht="15" customHeight="1">
      <c r="A17" s="180" t="str">
        <f>IF(Calcu!Q10=TRUE,"","삭제")</f>
        <v>삭제</v>
      </c>
      <c r="B17" s="55"/>
      <c r="C17" s="55"/>
      <c r="D17" s="139">
        <f>Calcu!B66</f>
        <v>2</v>
      </c>
      <c r="E17" s="146" t="str">
        <f>Calcu!D66</f>
        <v/>
      </c>
      <c r="F17" s="147" t="str">
        <f>Calcu!E66</f>
        <v/>
      </c>
      <c r="G17" s="148" t="str">
        <f>Calcu!K66</f>
        <v/>
      </c>
      <c r="H17" s="149" t="str">
        <f>Calcu!L66</f>
        <v/>
      </c>
      <c r="I17" s="54"/>
      <c r="J17" s="54"/>
      <c r="K17" s="54"/>
    </row>
    <row r="18" spans="1:11" s="123" customFormat="1" ht="15" customHeight="1">
      <c r="A18" s="180" t="str">
        <f>IF(Calcu!Q11=TRUE,"","삭제")</f>
        <v>삭제</v>
      </c>
      <c r="B18" s="55"/>
      <c r="C18" s="55"/>
      <c r="D18" s="139">
        <f>Calcu!B67</f>
        <v>3</v>
      </c>
      <c r="E18" s="146" t="str">
        <f>Calcu!D67</f>
        <v/>
      </c>
      <c r="F18" s="147" t="str">
        <f>Calcu!E67</f>
        <v/>
      </c>
      <c r="G18" s="148" t="str">
        <f>Calcu!K67</f>
        <v/>
      </c>
      <c r="H18" s="149" t="str">
        <f>Calcu!L67</f>
        <v/>
      </c>
      <c r="I18" s="54"/>
      <c r="J18" s="54"/>
      <c r="K18" s="54"/>
    </row>
    <row r="19" spans="1:11" s="123" customFormat="1" ht="15" customHeight="1">
      <c r="A19" s="180" t="str">
        <f>IF(Calcu!Q12=TRUE,"","삭제")</f>
        <v>삭제</v>
      </c>
      <c r="B19" s="55"/>
      <c r="C19" s="55"/>
      <c r="D19" s="139">
        <f>Calcu!B68</f>
        <v>4</v>
      </c>
      <c r="E19" s="146" t="str">
        <f>Calcu!D68</f>
        <v/>
      </c>
      <c r="F19" s="147" t="str">
        <f>Calcu!E68</f>
        <v/>
      </c>
      <c r="G19" s="148" t="str">
        <f>Calcu!K68</f>
        <v/>
      </c>
      <c r="H19" s="149" t="str">
        <f>Calcu!L68</f>
        <v/>
      </c>
      <c r="I19" s="54"/>
      <c r="J19" s="54"/>
      <c r="K19" s="54"/>
    </row>
    <row r="20" spans="1:11" s="123" customFormat="1" ht="15" customHeight="1">
      <c r="A20" s="180" t="str">
        <f>IF(Calcu!Q13=TRUE,"","삭제")</f>
        <v>삭제</v>
      </c>
      <c r="B20" s="55"/>
      <c r="C20" s="55"/>
      <c r="D20" s="139">
        <f>Calcu!B69</f>
        <v>5</v>
      </c>
      <c r="E20" s="146" t="str">
        <f>Calcu!D69</f>
        <v/>
      </c>
      <c r="F20" s="147" t="str">
        <f>Calcu!E69</f>
        <v/>
      </c>
      <c r="G20" s="148" t="str">
        <f>Calcu!K69</f>
        <v/>
      </c>
      <c r="H20" s="149" t="str">
        <f>Calcu!L69</f>
        <v/>
      </c>
      <c r="I20" s="54"/>
      <c r="J20" s="54"/>
      <c r="K20" s="54"/>
    </row>
    <row r="21" spans="1:11" s="123" customFormat="1" ht="15" customHeight="1">
      <c r="A21" s="180" t="str">
        <f>IF(Calcu!Q14=TRUE,"","삭제")</f>
        <v>삭제</v>
      </c>
      <c r="B21" s="55"/>
      <c r="C21" s="55"/>
      <c r="D21" s="139">
        <f>Calcu!B70</f>
        <v>6</v>
      </c>
      <c r="E21" s="146" t="str">
        <f>Calcu!D70</f>
        <v/>
      </c>
      <c r="F21" s="147" t="str">
        <f>Calcu!E70</f>
        <v/>
      </c>
      <c r="G21" s="148" t="str">
        <f>Calcu!K70</f>
        <v/>
      </c>
      <c r="H21" s="149" t="str">
        <f>Calcu!L70</f>
        <v/>
      </c>
      <c r="I21" s="54"/>
      <c r="J21" s="54"/>
      <c r="K21" s="54"/>
    </row>
    <row r="22" spans="1:11" s="123" customFormat="1" ht="15" customHeight="1">
      <c r="A22" s="180" t="str">
        <f>IF(Calcu!Q15=TRUE,"","삭제")</f>
        <v>삭제</v>
      </c>
      <c r="B22" s="55"/>
      <c r="C22" s="55"/>
      <c r="D22" s="139">
        <f>Calcu!B71</f>
        <v>7</v>
      </c>
      <c r="E22" s="146" t="str">
        <f>Calcu!D71</f>
        <v/>
      </c>
      <c r="F22" s="147" t="str">
        <f>Calcu!E71</f>
        <v/>
      </c>
      <c r="G22" s="148" t="str">
        <f>Calcu!K71</f>
        <v/>
      </c>
      <c r="H22" s="149" t="str">
        <f>Calcu!L71</f>
        <v/>
      </c>
      <c r="I22" s="54"/>
      <c r="J22" s="54"/>
      <c r="K22" s="54"/>
    </row>
    <row r="23" spans="1:11" s="123" customFormat="1" ht="15" customHeight="1">
      <c r="A23" s="180" t="str">
        <f>IF(Calcu!Q16=TRUE,"","삭제")</f>
        <v>삭제</v>
      </c>
      <c r="B23" s="55"/>
      <c r="C23" s="55"/>
      <c r="D23" s="139">
        <f>Calcu!B72</f>
        <v>8</v>
      </c>
      <c r="E23" s="146" t="str">
        <f>Calcu!D72</f>
        <v/>
      </c>
      <c r="F23" s="147" t="str">
        <f>Calcu!E72</f>
        <v/>
      </c>
      <c r="G23" s="148" t="str">
        <f>Calcu!K72</f>
        <v/>
      </c>
      <c r="H23" s="149" t="str">
        <f>Calcu!L72</f>
        <v/>
      </c>
      <c r="I23" s="54"/>
      <c r="J23" s="54"/>
      <c r="K23" s="54"/>
    </row>
    <row r="24" spans="1:11" s="123" customFormat="1" ht="15" customHeight="1">
      <c r="A24" s="180" t="str">
        <f>IF(Calcu!Q17=TRUE,"","삭제")</f>
        <v>삭제</v>
      </c>
      <c r="B24" s="55"/>
      <c r="C24" s="55"/>
      <c r="D24" s="139">
        <f>Calcu!B73</f>
        <v>9</v>
      </c>
      <c r="E24" s="146" t="str">
        <f>Calcu!D73</f>
        <v/>
      </c>
      <c r="F24" s="147" t="str">
        <f>Calcu!E73</f>
        <v/>
      </c>
      <c r="G24" s="148" t="str">
        <f>Calcu!K73</f>
        <v/>
      </c>
      <c r="H24" s="149" t="str">
        <f>Calcu!L73</f>
        <v/>
      </c>
      <c r="I24" s="54"/>
      <c r="J24" s="54"/>
      <c r="K24" s="54"/>
    </row>
    <row r="25" spans="1:11" s="123" customFormat="1" ht="15" customHeight="1">
      <c r="A25" s="180" t="str">
        <f>IF(Calcu!Q18=TRUE,"","삭제")</f>
        <v>삭제</v>
      </c>
      <c r="B25" s="54"/>
      <c r="C25" s="54"/>
      <c r="D25" s="139">
        <f>Calcu!B74</f>
        <v>10</v>
      </c>
      <c r="E25" s="146" t="str">
        <f>Calcu!D74</f>
        <v/>
      </c>
      <c r="F25" s="147" t="str">
        <f>Calcu!E74</f>
        <v/>
      </c>
      <c r="G25" s="148" t="str">
        <f>Calcu!K74</f>
        <v/>
      </c>
      <c r="H25" s="149" t="str">
        <f>Calcu!L74</f>
        <v/>
      </c>
      <c r="I25" s="54"/>
      <c r="J25" s="54"/>
      <c r="K25" s="54"/>
    </row>
    <row r="26" spans="1:11" s="123" customFormat="1" ht="15" customHeight="1">
      <c r="A26" s="180" t="str">
        <f>IF(Calcu!Q19=TRUE,"","삭제")</f>
        <v>삭제</v>
      </c>
      <c r="B26" s="54"/>
      <c r="C26" s="54"/>
      <c r="D26" s="139">
        <f>Calcu!B75</f>
        <v>11</v>
      </c>
      <c r="E26" s="146" t="str">
        <f>Calcu!D75</f>
        <v/>
      </c>
      <c r="F26" s="147" t="str">
        <f>Calcu!E75</f>
        <v/>
      </c>
      <c r="G26" s="148" t="str">
        <f>Calcu!K75</f>
        <v/>
      </c>
      <c r="H26" s="149" t="str">
        <f>Calcu!L75</f>
        <v/>
      </c>
      <c r="I26" s="54"/>
      <c r="J26" s="54"/>
      <c r="K26" s="54"/>
    </row>
    <row r="27" spans="1:11" s="123" customFormat="1" ht="15" customHeight="1">
      <c r="A27" s="180" t="str">
        <f>IF(Calcu!Q20=TRUE,"","삭제")</f>
        <v>삭제</v>
      </c>
      <c r="B27" s="54"/>
      <c r="C27" s="54"/>
      <c r="D27" s="139">
        <f>Calcu!B76</f>
        <v>12</v>
      </c>
      <c r="E27" s="146" t="str">
        <f>Calcu!D76</f>
        <v/>
      </c>
      <c r="F27" s="147" t="str">
        <f>Calcu!E76</f>
        <v/>
      </c>
      <c r="G27" s="148" t="str">
        <f>Calcu!K76</f>
        <v/>
      </c>
      <c r="H27" s="149" t="str">
        <f>Calcu!L76</f>
        <v/>
      </c>
      <c r="I27" s="54"/>
      <c r="J27" s="54"/>
      <c r="K27" s="54"/>
    </row>
    <row r="28" spans="1:11" s="123" customFormat="1" ht="15" customHeight="1">
      <c r="A28" s="180" t="str">
        <f>IF(Calcu!Q21=TRUE,"","삭제")</f>
        <v>삭제</v>
      </c>
      <c r="B28" s="54"/>
      <c r="C28" s="54"/>
      <c r="D28" s="139">
        <f>Calcu!B77</f>
        <v>13</v>
      </c>
      <c r="E28" s="146" t="str">
        <f>Calcu!D77</f>
        <v/>
      </c>
      <c r="F28" s="147" t="str">
        <f>Calcu!E77</f>
        <v/>
      </c>
      <c r="G28" s="148" t="str">
        <f>Calcu!K77</f>
        <v/>
      </c>
      <c r="H28" s="149" t="str">
        <f>Calcu!L77</f>
        <v/>
      </c>
      <c r="I28" s="54"/>
      <c r="J28" s="54"/>
      <c r="K28" s="54"/>
    </row>
    <row r="29" spans="1:11" s="123" customFormat="1" ht="15" customHeight="1">
      <c r="A29" s="180" t="str">
        <f>IF(Calcu!Q22=TRUE,"","삭제")</f>
        <v>삭제</v>
      </c>
      <c r="B29" s="54"/>
      <c r="C29" s="54"/>
      <c r="D29" s="139">
        <f>Calcu!B78</f>
        <v>14</v>
      </c>
      <c r="E29" s="146" t="str">
        <f>Calcu!D78</f>
        <v/>
      </c>
      <c r="F29" s="147" t="str">
        <f>Calcu!E78</f>
        <v/>
      </c>
      <c r="G29" s="148" t="str">
        <f>Calcu!K78</f>
        <v/>
      </c>
      <c r="H29" s="149" t="str">
        <f>Calcu!L78</f>
        <v/>
      </c>
      <c r="I29" s="54"/>
      <c r="J29" s="54"/>
      <c r="K29" s="54"/>
    </row>
    <row r="30" spans="1:11" s="123" customFormat="1" ht="15" customHeight="1">
      <c r="A30" s="180" t="str">
        <f>IF(Calcu!Q23=TRUE,"","삭제")</f>
        <v>삭제</v>
      </c>
      <c r="B30" s="54"/>
      <c r="C30" s="54"/>
      <c r="D30" s="141">
        <f>Calcu!B79</f>
        <v>15</v>
      </c>
      <c r="E30" s="150" t="str">
        <f>Calcu!D79</f>
        <v/>
      </c>
      <c r="F30" s="151" t="str">
        <f>Calcu!E79</f>
        <v/>
      </c>
      <c r="G30" s="152" t="str">
        <f>Calcu!K79</f>
        <v/>
      </c>
      <c r="H30" s="153" t="str">
        <f>Calcu!L79</f>
        <v/>
      </c>
      <c r="I30" s="54"/>
      <c r="J30" s="54"/>
      <c r="K30" s="54"/>
    </row>
    <row r="31" spans="1:11" ht="15" customHeight="1">
      <c r="A31" s="133"/>
      <c r="D31" s="178"/>
      <c r="E31" s="178"/>
      <c r="F31" s="178"/>
      <c r="G31" s="178"/>
      <c r="H31" s="179"/>
      <c r="I31" s="154"/>
      <c r="J31" s="55"/>
      <c r="K31" s="55"/>
    </row>
  </sheetData>
  <mergeCells count="7">
    <mergeCell ref="A1:K2"/>
    <mergeCell ref="D12:D15"/>
    <mergeCell ref="F12:H12"/>
    <mergeCell ref="E13:E14"/>
    <mergeCell ref="F13:F14"/>
    <mergeCell ref="G13:G14"/>
    <mergeCell ref="H13:H14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GridLines="0" showWhiteSpace="0" zoomScaleSheetLayoutView="100" workbookViewId="0">
      <selection sqref="A1:J2"/>
    </sheetView>
  </sheetViews>
  <sheetFormatPr defaultColWidth="10.77734375" defaultRowHeight="15" customHeight="1"/>
  <cols>
    <col min="1" max="2" width="3.77734375" style="123" customWidth="1"/>
    <col min="3" max="3" width="11.109375" style="123" customWidth="1"/>
    <col min="4" max="4" width="11.109375" style="124" customWidth="1"/>
    <col min="5" max="8" width="11.109375" style="123" customWidth="1"/>
    <col min="9" max="10" width="3.77734375" style="123" customWidth="1"/>
    <col min="11" max="16384" width="10.77734375" style="123"/>
  </cols>
  <sheetData>
    <row r="1" spans="1:11" s="2" customFormat="1" ht="33" customHeight="1">
      <c r="A1" s="448" t="s">
        <v>67</v>
      </c>
      <c r="B1" s="448"/>
      <c r="C1" s="448"/>
      <c r="D1" s="448"/>
      <c r="E1" s="448"/>
      <c r="F1" s="448"/>
      <c r="G1" s="448"/>
      <c r="H1" s="448"/>
      <c r="I1" s="448"/>
      <c r="J1" s="448"/>
    </row>
    <row r="2" spans="1:11" s="2" customFormat="1" ht="33" customHeight="1">
      <c r="A2" s="448"/>
      <c r="B2" s="448"/>
      <c r="C2" s="448"/>
      <c r="D2" s="448"/>
      <c r="E2" s="448"/>
      <c r="F2" s="448"/>
      <c r="G2" s="448"/>
      <c r="H2" s="448"/>
      <c r="I2" s="448"/>
      <c r="J2" s="448"/>
    </row>
    <row r="3" spans="1:11" s="2" customFormat="1" ht="12.75" customHeight="1">
      <c r="A3" s="17"/>
      <c r="B3" s="17"/>
      <c r="C3" s="16"/>
      <c r="D3" s="34"/>
      <c r="E3" s="16"/>
      <c r="F3" s="16"/>
      <c r="G3" s="16"/>
      <c r="H3" s="16"/>
      <c r="I3" s="16"/>
      <c r="J3" s="16"/>
    </row>
    <row r="4" spans="1:11" s="1" customFormat="1" ht="13.5" customHeight="1">
      <c r="A4" s="33"/>
      <c r="B4" s="33"/>
      <c r="C4" s="18"/>
      <c r="D4" s="35"/>
      <c r="E4" s="19"/>
      <c r="F4" s="18"/>
      <c r="G4" s="18"/>
      <c r="H4" s="131"/>
      <c r="I4" s="20"/>
      <c r="J4" s="19"/>
    </row>
    <row r="5" spans="1:11" s="130" customFormat="1" ht="15" customHeight="1">
      <c r="A5" s="52"/>
      <c r="B5" s="52"/>
      <c r="C5" s="52"/>
      <c r="D5" s="53"/>
      <c r="E5" s="52"/>
      <c r="F5" s="52"/>
      <c r="G5" s="52"/>
      <c r="H5" s="52"/>
      <c r="I5" s="52"/>
      <c r="J5" s="52"/>
    </row>
    <row r="6" spans="1:11" s="202" customFormat="1" ht="15" customHeight="1">
      <c r="A6" s="180" t="str">
        <f>IF(Calcu!B9=TRUE,"","삭제")</f>
        <v>삭제</v>
      </c>
      <c r="D6" s="76" t="str">
        <f>"○ 품명 : "&amp;기본정보!C$5</f>
        <v xml:space="preserve">○ 품명 : </v>
      </c>
      <c r="G6" s="203"/>
    </row>
    <row r="7" spans="1:11" s="202" customFormat="1" ht="15" customHeight="1">
      <c r="A7" s="216" t="str">
        <f>A6</f>
        <v>삭제</v>
      </c>
      <c r="D7" s="76" t="str">
        <f>"○ 제작회사 : "&amp;기본정보!C$6</f>
        <v xml:space="preserve">○ 제작회사 : </v>
      </c>
      <c r="G7" s="203"/>
    </row>
    <row r="8" spans="1:11" s="202" customFormat="1" ht="15" customHeight="1">
      <c r="A8" s="216" t="str">
        <f>A6</f>
        <v>삭제</v>
      </c>
      <c r="D8" s="76" t="str">
        <f>"○ 형식 : "&amp;기본정보!C$7</f>
        <v xml:space="preserve">○ 형식 : </v>
      </c>
      <c r="G8" s="203"/>
    </row>
    <row r="9" spans="1:11" s="202" customFormat="1" ht="15" customHeight="1">
      <c r="A9" s="216" t="str">
        <f>A6</f>
        <v>삭제</v>
      </c>
      <c r="D9" s="76" t="str">
        <f>"○ 기기번호 : "&amp;기본정보!C$8</f>
        <v xml:space="preserve">○ 기기번호 : </v>
      </c>
      <c r="G9" s="203"/>
    </row>
    <row r="10" spans="1:11" ht="15" customHeight="1">
      <c r="B10" s="128"/>
      <c r="C10" s="129"/>
      <c r="D10" s="128"/>
      <c r="E10" s="128"/>
      <c r="F10" s="128"/>
      <c r="G10" s="128"/>
      <c r="H10" s="128"/>
      <c r="I10" s="127"/>
      <c r="K10" s="126"/>
    </row>
    <row r="11" spans="1:11" ht="15" customHeight="1">
      <c r="A11" s="125"/>
    </row>
  </sheetData>
  <mergeCells count="1">
    <mergeCell ref="A1:J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1"/>
  <sheetViews>
    <sheetView showGridLines="0" zoomScaleNormal="100" workbookViewId="0"/>
  </sheetViews>
  <sheetFormatPr defaultColWidth="8.88671875" defaultRowHeight="13.5" customHeight="1"/>
  <cols>
    <col min="1" max="1" width="3.77734375" style="44" customWidth="1"/>
    <col min="2" max="2" width="9.109375" style="45" customWidth="1"/>
    <col min="3" max="3" width="9.77734375" style="45" customWidth="1"/>
    <col min="4" max="4" width="8.77734375" style="40" customWidth="1"/>
    <col min="5" max="7" width="8.77734375" style="41" customWidth="1"/>
    <col min="8" max="8" width="8.88671875" style="66"/>
    <col min="9" max="9" width="3.77734375" style="66" customWidth="1"/>
    <col min="10" max="13" width="8.88671875" style="66"/>
    <col min="14" max="16384" width="8.88671875" style="43"/>
  </cols>
  <sheetData>
    <row r="1" spans="1:22" s="119" customFormat="1" ht="25.5">
      <c r="A1" s="116" t="s">
        <v>111</v>
      </c>
      <c r="B1" s="45"/>
      <c r="C1" s="45"/>
      <c r="D1" s="45"/>
      <c r="E1" s="117"/>
      <c r="F1" s="41"/>
      <c r="G1" s="41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s="42" customFormat="1" ht="15" customHeight="1">
      <c r="A2" s="38"/>
      <c r="B2" s="38"/>
      <c r="C2" s="38"/>
      <c r="D2" s="38"/>
      <c r="E2" s="38"/>
      <c r="F2" s="38"/>
      <c r="G2" s="38"/>
    </row>
    <row r="3" spans="1:22" s="42" customFormat="1" ht="15" customHeight="1">
      <c r="A3" s="155"/>
      <c r="B3" s="156" t="s">
        <v>2</v>
      </c>
      <c r="C3" s="68">
        <f>기본정보!C3</f>
        <v>0</v>
      </c>
      <c r="D3" s="156" t="s">
        <v>100</v>
      </c>
      <c r="E3" s="503">
        <f>기본정보!H3</f>
        <v>0</v>
      </c>
      <c r="F3" s="504"/>
      <c r="G3" s="156" t="s">
        <v>112</v>
      </c>
      <c r="H3" s="177">
        <f>기본정보!H8</f>
        <v>0</v>
      </c>
    </row>
    <row r="4" spans="1:22" s="42" customFormat="1" ht="15" customHeight="1">
      <c r="A4" s="155"/>
      <c r="B4" s="156" t="s">
        <v>113</v>
      </c>
      <c r="C4" s="176">
        <f>기본정보!C8</f>
        <v>0</v>
      </c>
      <c r="D4" s="156" t="s">
        <v>114</v>
      </c>
      <c r="E4" s="501">
        <f>기본정보!H4</f>
        <v>0</v>
      </c>
      <c r="F4" s="502"/>
      <c r="G4" s="156" t="s">
        <v>115</v>
      </c>
      <c r="H4" s="177">
        <f>기본정보!H9</f>
        <v>0</v>
      </c>
    </row>
    <row r="5" spans="1:22" s="42" customFormat="1" ht="15" customHeight="1">
      <c r="A5" s="155"/>
      <c r="D5" s="38"/>
      <c r="E5" s="38"/>
      <c r="F5" s="38"/>
      <c r="G5" s="38"/>
    </row>
    <row r="6" spans="1:22" ht="13.5" customHeight="1">
      <c r="A6" s="39" t="s">
        <v>116</v>
      </c>
      <c r="B6" s="40"/>
      <c r="C6" s="40"/>
      <c r="D6" s="65"/>
      <c r="E6" s="40"/>
      <c r="I6" s="39" t="s">
        <v>525</v>
      </c>
      <c r="J6" s="40"/>
      <c r="K6" s="40"/>
      <c r="L6" s="65"/>
      <c r="M6" s="40"/>
      <c r="N6" s="41"/>
    </row>
    <row r="7" spans="1:22" ht="13.5" customHeight="1">
      <c r="A7" s="42"/>
      <c r="B7" s="498" t="s">
        <v>117</v>
      </c>
      <c r="C7" s="499" t="s">
        <v>280</v>
      </c>
      <c r="D7" s="499" t="s">
        <v>526</v>
      </c>
      <c r="E7" s="498" t="e">
        <f>Calcu!$J$82&amp;" 지시값"</f>
        <v>#N/A</v>
      </c>
      <c r="F7" s="498"/>
      <c r="G7" s="498"/>
      <c r="I7" s="42"/>
      <c r="J7" s="498" t="s">
        <v>117</v>
      </c>
      <c r="K7" s="499" t="s">
        <v>280</v>
      </c>
      <c r="L7" s="499" t="s">
        <v>526</v>
      </c>
      <c r="M7" s="498" t="e">
        <f>Calcu_ADJ!$J$82&amp;" 지시값"</f>
        <v>#N/A</v>
      </c>
      <c r="N7" s="498"/>
      <c r="O7" s="498"/>
    </row>
    <row r="8" spans="1:22" ht="13.5" customHeight="1">
      <c r="A8" s="42"/>
      <c r="B8" s="498"/>
      <c r="C8" s="500"/>
      <c r="D8" s="500"/>
      <c r="E8" s="182" t="s">
        <v>51</v>
      </c>
      <c r="F8" s="182" t="s">
        <v>118</v>
      </c>
      <c r="G8" s="182" t="s">
        <v>0</v>
      </c>
      <c r="I8" s="42"/>
      <c r="J8" s="498"/>
      <c r="K8" s="500"/>
      <c r="L8" s="500"/>
      <c r="M8" s="265" t="s">
        <v>51</v>
      </c>
      <c r="N8" s="265" t="s">
        <v>118</v>
      </c>
      <c r="O8" s="265" t="s">
        <v>0</v>
      </c>
    </row>
    <row r="9" spans="1:22" ht="13.5" customHeight="1">
      <c r="A9" s="42"/>
      <c r="B9" s="498"/>
      <c r="C9" s="183">
        <f>Calcu!F8</f>
        <v>0</v>
      </c>
      <c r="D9" s="328">
        <f>Calcu!G8</f>
        <v>0</v>
      </c>
      <c r="E9" s="183">
        <f>Calcu!J8</f>
        <v>0</v>
      </c>
      <c r="F9" s="328">
        <f>Calcu!K8</f>
        <v>0</v>
      </c>
      <c r="G9" s="328">
        <f>Calcu!L8</f>
        <v>0</v>
      </c>
      <c r="I9" s="42"/>
      <c r="J9" s="498"/>
      <c r="K9" s="266">
        <f>Calcu_ADJ!F8</f>
        <v>0</v>
      </c>
      <c r="L9" s="328">
        <f>Calcu_ADJ!G8</f>
        <v>0</v>
      </c>
      <c r="M9" s="266">
        <f>Calcu_ADJ!J8</f>
        <v>0</v>
      </c>
      <c r="N9" s="328">
        <f>Calcu_ADJ!K8</f>
        <v>0</v>
      </c>
      <c r="O9" s="328">
        <f>Calcu_ADJ!L8</f>
        <v>0</v>
      </c>
    </row>
    <row r="10" spans="1:22" ht="13.5" customHeight="1">
      <c r="A10" s="42"/>
      <c r="B10" s="68">
        <f>Calcu!D9</f>
        <v>1</v>
      </c>
      <c r="C10" s="67" t="str">
        <f>Calcu!F9</f>
        <v/>
      </c>
      <c r="D10" s="67" t="str">
        <f>Calcu!G9</f>
        <v/>
      </c>
      <c r="E10" s="67" t="str">
        <f ca="1">TEXT(Calcu!J9,Calcu!$I$3)</f>
        <v/>
      </c>
      <c r="F10" s="67" t="str">
        <f ca="1">TEXT(Calcu!K9,Calcu!$I$3)</f>
        <v/>
      </c>
      <c r="G10" s="67" t="str">
        <f ca="1">TEXT(Calcu!L9,Calcu!$I$3)</f>
        <v/>
      </c>
      <c r="I10" s="42"/>
      <c r="J10" s="68">
        <f>Calcu_ADJ!D9</f>
        <v>1</v>
      </c>
      <c r="K10" s="67" t="str">
        <f>Calcu_ADJ!F9</f>
        <v/>
      </c>
      <c r="L10" s="67" t="str">
        <f>Calcu_ADJ!G9</f>
        <v/>
      </c>
      <c r="M10" s="67" t="str">
        <f ca="1">TEXT(Calcu_ADJ!J9,Calcu_ADJ!$I$3)</f>
        <v/>
      </c>
      <c r="N10" s="67" t="str">
        <f ca="1">TEXT(Calcu_ADJ!K9,Calcu_ADJ!$I$3)</f>
        <v/>
      </c>
      <c r="O10" s="67" t="str">
        <f ca="1">TEXT(Calcu_ADJ!L9,Calcu_ADJ!$I$3)</f>
        <v/>
      </c>
    </row>
    <row r="11" spans="1:22" ht="13.5" customHeight="1">
      <c r="A11" s="42"/>
      <c r="B11" s="68">
        <f>Calcu!D10</f>
        <v>2</v>
      </c>
      <c r="C11" s="67" t="str">
        <f>Calcu!F10</f>
        <v/>
      </c>
      <c r="D11" s="67" t="str">
        <f>Calcu!G10</f>
        <v/>
      </c>
      <c r="E11" s="67" t="str">
        <f ca="1">TEXT(Calcu!J10,Calcu!$I$3)</f>
        <v/>
      </c>
      <c r="F11" s="67" t="str">
        <f ca="1">TEXT(Calcu!K10,Calcu!$I$3)</f>
        <v/>
      </c>
      <c r="G11" s="67" t="str">
        <f ca="1">TEXT(Calcu!L10,Calcu!$I$3)</f>
        <v/>
      </c>
      <c r="I11" s="42"/>
      <c r="J11" s="68">
        <f>Calcu_ADJ!D10</f>
        <v>2</v>
      </c>
      <c r="K11" s="67" t="str">
        <f>Calcu_ADJ!F10</f>
        <v/>
      </c>
      <c r="L11" s="67" t="str">
        <f>Calcu_ADJ!G10</f>
        <v/>
      </c>
      <c r="M11" s="67" t="str">
        <f ca="1">TEXT(Calcu_ADJ!J10,Calcu_ADJ!$I$3)</f>
        <v/>
      </c>
      <c r="N11" s="67" t="str">
        <f ca="1">TEXT(Calcu_ADJ!K10,Calcu_ADJ!$I$3)</f>
        <v/>
      </c>
      <c r="O11" s="67" t="str">
        <f ca="1">TEXT(Calcu_ADJ!L10,Calcu_ADJ!$I$3)</f>
        <v/>
      </c>
    </row>
    <row r="12" spans="1:22" ht="13.5" customHeight="1">
      <c r="A12" s="42"/>
      <c r="B12" s="68">
        <f>Calcu!D11</f>
        <v>3</v>
      </c>
      <c r="C12" s="67" t="str">
        <f>Calcu!F11</f>
        <v/>
      </c>
      <c r="D12" s="67" t="str">
        <f>Calcu!G11</f>
        <v/>
      </c>
      <c r="E12" s="67" t="str">
        <f ca="1">TEXT(Calcu!J11,Calcu!$I$3)</f>
        <v/>
      </c>
      <c r="F12" s="67" t="str">
        <f ca="1">TEXT(Calcu!K11,Calcu!$I$3)</f>
        <v/>
      </c>
      <c r="G12" s="67" t="str">
        <f ca="1">TEXT(Calcu!L11,Calcu!$I$3)</f>
        <v/>
      </c>
      <c r="I12" s="42"/>
      <c r="J12" s="68">
        <f>Calcu_ADJ!D11</f>
        <v>3</v>
      </c>
      <c r="K12" s="67" t="str">
        <f>Calcu_ADJ!F11</f>
        <v/>
      </c>
      <c r="L12" s="67" t="str">
        <f>Calcu_ADJ!G11</f>
        <v/>
      </c>
      <c r="M12" s="67" t="str">
        <f ca="1">TEXT(Calcu_ADJ!J11,Calcu_ADJ!$I$3)</f>
        <v/>
      </c>
      <c r="N12" s="67" t="str">
        <f ca="1">TEXT(Calcu_ADJ!K11,Calcu_ADJ!$I$3)</f>
        <v/>
      </c>
      <c r="O12" s="67" t="str">
        <f ca="1">TEXT(Calcu_ADJ!L11,Calcu_ADJ!$I$3)</f>
        <v/>
      </c>
    </row>
    <row r="13" spans="1:22" ht="13.5" customHeight="1">
      <c r="A13" s="42"/>
      <c r="B13" s="68">
        <f>Calcu!D12</f>
        <v>4</v>
      </c>
      <c r="C13" s="67" t="str">
        <f>Calcu!F12</f>
        <v/>
      </c>
      <c r="D13" s="67" t="str">
        <f>Calcu!G12</f>
        <v/>
      </c>
      <c r="E13" s="67" t="str">
        <f ca="1">TEXT(Calcu!J12,Calcu!$I$3)</f>
        <v/>
      </c>
      <c r="F13" s="67" t="str">
        <f ca="1">TEXT(Calcu!K12,Calcu!$I$3)</f>
        <v/>
      </c>
      <c r="G13" s="67" t="str">
        <f ca="1">TEXT(Calcu!L12,Calcu!$I$3)</f>
        <v/>
      </c>
      <c r="I13" s="42"/>
      <c r="J13" s="68">
        <f>Calcu_ADJ!D12</f>
        <v>4</v>
      </c>
      <c r="K13" s="67" t="str">
        <f>Calcu_ADJ!F12</f>
        <v/>
      </c>
      <c r="L13" s="67" t="str">
        <f>Calcu_ADJ!G12</f>
        <v/>
      </c>
      <c r="M13" s="67" t="str">
        <f ca="1">TEXT(Calcu_ADJ!J12,Calcu_ADJ!$I$3)</f>
        <v/>
      </c>
      <c r="N13" s="67" t="str">
        <f ca="1">TEXT(Calcu_ADJ!K12,Calcu_ADJ!$I$3)</f>
        <v/>
      </c>
      <c r="O13" s="67" t="str">
        <f ca="1">TEXT(Calcu_ADJ!L12,Calcu_ADJ!$I$3)</f>
        <v/>
      </c>
    </row>
    <row r="14" spans="1:22" ht="13.5" customHeight="1">
      <c r="A14" s="42"/>
      <c r="B14" s="68">
        <f>Calcu!D13</f>
        <v>5</v>
      </c>
      <c r="C14" s="67" t="str">
        <f>Calcu!F13</f>
        <v/>
      </c>
      <c r="D14" s="67" t="str">
        <f>Calcu!G13</f>
        <v/>
      </c>
      <c r="E14" s="67" t="str">
        <f ca="1">TEXT(Calcu!J13,Calcu!$I$3)</f>
        <v/>
      </c>
      <c r="F14" s="67" t="str">
        <f ca="1">TEXT(Calcu!K13,Calcu!$I$3)</f>
        <v/>
      </c>
      <c r="G14" s="67" t="str">
        <f ca="1">TEXT(Calcu!L13,Calcu!$I$3)</f>
        <v/>
      </c>
      <c r="I14" s="42"/>
      <c r="J14" s="68">
        <f>Calcu_ADJ!D13</f>
        <v>5</v>
      </c>
      <c r="K14" s="67" t="str">
        <f>Calcu_ADJ!F13</f>
        <v/>
      </c>
      <c r="L14" s="67" t="str">
        <f>Calcu_ADJ!G13</f>
        <v/>
      </c>
      <c r="M14" s="67" t="str">
        <f ca="1">TEXT(Calcu_ADJ!J13,Calcu_ADJ!$I$3)</f>
        <v/>
      </c>
      <c r="N14" s="67" t="str">
        <f ca="1">TEXT(Calcu_ADJ!K13,Calcu_ADJ!$I$3)</f>
        <v/>
      </c>
      <c r="O14" s="67" t="str">
        <f ca="1">TEXT(Calcu_ADJ!L13,Calcu_ADJ!$I$3)</f>
        <v/>
      </c>
    </row>
    <row r="15" spans="1:22" ht="13.5" customHeight="1">
      <c r="A15" s="42"/>
      <c r="B15" s="68">
        <f>Calcu!D14</f>
        <v>6</v>
      </c>
      <c r="C15" s="67" t="str">
        <f>Calcu!F14</f>
        <v/>
      </c>
      <c r="D15" s="67" t="str">
        <f>Calcu!G14</f>
        <v/>
      </c>
      <c r="E15" s="67" t="str">
        <f ca="1">TEXT(Calcu!J14,Calcu!$I$3)</f>
        <v/>
      </c>
      <c r="F15" s="67" t="str">
        <f ca="1">TEXT(Calcu!K14,Calcu!$I$3)</f>
        <v/>
      </c>
      <c r="G15" s="67" t="str">
        <f ca="1">TEXT(Calcu!L14,Calcu!$I$3)</f>
        <v/>
      </c>
      <c r="I15" s="42"/>
      <c r="J15" s="68">
        <f>Calcu_ADJ!D14</f>
        <v>6</v>
      </c>
      <c r="K15" s="67" t="str">
        <f>Calcu_ADJ!F14</f>
        <v/>
      </c>
      <c r="L15" s="67" t="str">
        <f>Calcu_ADJ!G14</f>
        <v/>
      </c>
      <c r="M15" s="67" t="str">
        <f ca="1">TEXT(Calcu_ADJ!J14,Calcu_ADJ!$I$3)</f>
        <v/>
      </c>
      <c r="N15" s="67" t="str">
        <f ca="1">TEXT(Calcu_ADJ!K14,Calcu_ADJ!$I$3)</f>
        <v/>
      </c>
      <c r="O15" s="67" t="str">
        <f ca="1">TEXT(Calcu_ADJ!L14,Calcu_ADJ!$I$3)</f>
        <v/>
      </c>
    </row>
    <row r="16" spans="1:22" ht="13.5" customHeight="1">
      <c r="A16" s="42"/>
      <c r="B16" s="68">
        <f>Calcu!D15</f>
        <v>7</v>
      </c>
      <c r="C16" s="67" t="str">
        <f>Calcu!F15</f>
        <v/>
      </c>
      <c r="D16" s="67" t="str">
        <f>Calcu!G15</f>
        <v/>
      </c>
      <c r="E16" s="67" t="str">
        <f ca="1">TEXT(Calcu!J15,Calcu!$I$3)</f>
        <v/>
      </c>
      <c r="F16" s="67" t="str">
        <f ca="1">TEXT(Calcu!K15,Calcu!$I$3)</f>
        <v/>
      </c>
      <c r="G16" s="67" t="str">
        <f ca="1">TEXT(Calcu!L15,Calcu!$I$3)</f>
        <v/>
      </c>
      <c r="I16" s="42"/>
      <c r="J16" s="68">
        <f>Calcu_ADJ!D15</f>
        <v>7</v>
      </c>
      <c r="K16" s="67" t="str">
        <f>Calcu_ADJ!F15</f>
        <v/>
      </c>
      <c r="L16" s="67" t="str">
        <f>Calcu_ADJ!G15</f>
        <v/>
      </c>
      <c r="M16" s="67" t="str">
        <f ca="1">TEXT(Calcu_ADJ!J15,Calcu_ADJ!$I$3)</f>
        <v/>
      </c>
      <c r="N16" s="67" t="str">
        <f ca="1">TEXT(Calcu_ADJ!K15,Calcu_ADJ!$I$3)</f>
        <v/>
      </c>
      <c r="O16" s="67" t="str">
        <f ca="1">TEXT(Calcu_ADJ!L15,Calcu_ADJ!$I$3)</f>
        <v/>
      </c>
    </row>
    <row r="17" spans="1:15" ht="13.5" customHeight="1">
      <c r="A17" s="42"/>
      <c r="B17" s="68">
        <f>Calcu!D16</f>
        <v>8</v>
      </c>
      <c r="C17" s="67" t="str">
        <f>Calcu!F16</f>
        <v/>
      </c>
      <c r="D17" s="67" t="str">
        <f>Calcu!G16</f>
        <v/>
      </c>
      <c r="E17" s="67" t="str">
        <f ca="1">TEXT(Calcu!J16,Calcu!$I$3)</f>
        <v/>
      </c>
      <c r="F17" s="67" t="str">
        <f ca="1">TEXT(Calcu!K16,Calcu!$I$3)</f>
        <v/>
      </c>
      <c r="G17" s="67" t="str">
        <f ca="1">TEXT(Calcu!L16,Calcu!$I$3)</f>
        <v/>
      </c>
      <c r="I17" s="42"/>
      <c r="J17" s="68">
        <f>Calcu_ADJ!D16</f>
        <v>8</v>
      </c>
      <c r="K17" s="67" t="str">
        <f>Calcu_ADJ!F16</f>
        <v/>
      </c>
      <c r="L17" s="67" t="str">
        <f>Calcu_ADJ!G16</f>
        <v/>
      </c>
      <c r="M17" s="67" t="str">
        <f ca="1">TEXT(Calcu_ADJ!J16,Calcu_ADJ!$I$3)</f>
        <v/>
      </c>
      <c r="N17" s="67" t="str">
        <f ca="1">TEXT(Calcu_ADJ!K16,Calcu_ADJ!$I$3)</f>
        <v/>
      </c>
      <c r="O17" s="67" t="str">
        <f ca="1">TEXT(Calcu_ADJ!L16,Calcu_ADJ!$I$3)</f>
        <v/>
      </c>
    </row>
    <row r="18" spans="1:15" ht="13.5" customHeight="1">
      <c r="A18" s="42"/>
      <c r="B18" s="68">
        <f>Calcu!D17</f>
        <v>9</v>
      </c>
      <c r="C18" s="67" t="str">
        <f>Calcu!F17</f>
        <v/>
      </c>
      <c r="D18" s="67" t="str">
        <f>Calcu!G17</f>
        <v/>
      </c>
      <c r="E18" s="67" t="str">
        <f ca="1">TEXT(Calcu!J17,Calcu!$I$3)</f>
        <v/>
      </c>
      <c r="F18" s="67" t="str">
        <f ca="1">TEXT(Calcu!K17,Calcu!$I$3)</f>
        <v/>
      </c>
      <c r="G18" s="67" t="str">
        <f ca="1">TEXT(Calcu!L17,Calcu!$I$3)</f>
        <v/>
      </c>
      <c r="I18" s="42"/>
      <c r="J18" s="68">
        <f>Calcu_ADJ!D17</f>
        <v>9</v>
      </c>
      <c r="K18" s="67" t="str">
        <f>Calcu_ADJ!F17</f>
        <v/>
      </c>
      <c r="L18" s="67" t="str">
        <f>Calcu_ADJ!G17</f>
        <v/>
      </c>
      <c r="M18" s="67" t="str">
        <f ca="1">TEXT(Calcu_ADJ!J17,Calcu_ADJ!$I$3)</f>
        <v/>
      </c>
      <c r="N18" s="67" t="str">
        <f ca="1">TEXT(Calcu_ADJ!K17,Calcu_ADJ!$I$3)</f>
        <v/>
      </c>
      <c r="O18" s="67" t="str">
        <f ca="1">TEXT(Calcu_ADJ!L17,Calcu_ADJ!$I$3)</f>
        <v/>
      </c>
    </row>
    <row r="19" spans="1:15" ht="13.5" customHeight="1">
      <c r="A19" s="42"/>
      <c r="B19" s="68">
        <f>Calcu!D18</f>
        <v>10</v>
      </c>
      <c r="C19" s="67" t="str">
        <f>Calcu!F18</f>
        <v/>
      </c>
      <c r="D19" s="67" t="str">
        <f>Calcu!G18</f>
        <v/>
      </c>
      <c r="E19" s="67" t="str">
        <f ca="1">TEXT(Calcu!J18,Calcu!$I$3)</f>
        <v/>
      </c>
      <c r="F19" s="67" t="str">
        <f ca="1">TEXT(Calcu!K18,Calcu!$I$3)</f>
        <v/>
      </c>
      <c r="G19" s="67" t="str">
        <f ca="1">TEXT(Calcu!L18,Calcu!$I$3)</f>
        <v/>
      </c>
      <c r="I19" s="42"/>
      <c r="J19" s="68">
        <f>Calcu_ADJ!D18</f>
        <v>10</v>
      </c>
      <c r="K19" s="67" t="str">
        <f>Calcu_ADJ!F18</f>
        <v/>
      </c>
      <c r="L19" s="67" t="str">
        <f>Calcu_ADJ!G18</f>
        <v/>
      </c>
      <c r="M19" s="67" t="str">
        <f ca="1">TEXT(Calcu_ADJ!J18,Calcu_ADJ!$I$3)</f>
        <v/>
      </c>
      <c r="N19" s="67" t="str">
        <f ca="1">TEXT(Calcu_ADJ!K18,Calcu_ADJ!$I$3)</f>
        <v/>
      </c>
      <c r="O19" s="67" t="str">
        <f ca="1">TEXT(Calcu_ADJ!L18,Calcu_ADJ!$I$3)</f>
        <v/>
      </c>
    </row>
    <row r="20" spans="1:15" ht="13.5" customHeight="1">
      <c r="A20" s="42"/>
      <c r="B20" s="68">
        <f>Calcu!D19</f>
        <v>11</v>
      </c>
      <c r="C20" s="67" t="str">
        <f>Calcu!F19</f>
        <v/>
      </c>
      <c r="D20" s="67" t="str">
        <f>Calcu!G19</f>
        <v/>
      </c>
      <c r="E20" s="67" t="str">
        <f ca="1">TEXT(Calcu!J19,Calcu!$I$3)</f>
        <v/>
      </c>
      <c r="F20" s="67" t="str">
        <f ca="1">TEXT(Calcu!K19,Calcu!$I$3)</f>
        <v/>
      </c>
      <c r="G20" s="67" t="str">
        <f ca="1">TEXT(Calcu!L19,Calcu!$I$3)</f>
        <v/>
      </c>
      <c r="I20" s="42"/>
      <c r="J20" s="68">
        <f>Calcu_ADJ!D19</f>
        <v>11</v>
      </c>
      <c r="K20" s="67" t="str">
        <f>Calcu_ADJ!F19</f>
        <v/>
      </c>
      <c r="L20" s="67" t="str">
        <f>Calcu_ADJ!G19</f>
        <v/>
      </c>
      <c r="M20" s="67" t="str">
        <f ca="1">TEXT(Calcu_ADJ!J19,Calcu_ADJ!$I$3)</f>
        <v/>
      </c>
      <c r="N20" s="67" t="str">
        <f ca="1">TEXT(Calcu_ADJ!K19,Calcu_ADJ!$I$3)</f>
        <v/>
      </c>
      <c r="O20" s="67" t="str">
        <f ca="1">TEXT(Calcu_ADJ!L19,Calcu_ADJ!$I$3)</f>
        <v/>
      </c>
    </row>
    <row r="21" spans="1:15" ht="13.5" customHeight="1">
      <c r="A21" s="42"/>
      <c r="B21" s="68">
        <f>Calcu!D20</f>
        <v>12</v>
      </c>
      <c r="C21" s="67" t="str">
        <f>Calcu!F20</f>
        <v/>
      </c>
      <c r="D21" s="67" t="str">
        <f>Calcu!G20</f>
        <v/>
      </c>
      <c r="E21" s="67" t="str">
        <f ca="1">TEXT(Calcu!J20,Calcu!$I$3)</f>
        <v/>
      </c>
      <c r="F21" s="67" t="str">
        <f ca="1">TEXT(Calcu!K20,Calcu!$I$3)</f>
        <v/>
      </c>
      <c r="G21" s="67" t="str">
        <f ca="1">TEXT(Calcu!L20,Calcu!$I$3)</f>
        <v/>
      </c>
      <c r="I21" s="42"/>
      <c r="J21" s="68">
        <f>Calcu_ADJ!D20</f>
        <v>12</v>
      </c>
      <c r="K21" s="67" t="str">
        <f>Calcu_ADJ!F20</f>
        <v/>
      </c>
      <c r="L21" s="67" t="str">
        <f>Calcu_ADJ!G20</f>
        <v/>
      </c>
      <c r="M21" s="67" t="str">
        <f ca="1">TEXT(Calcu_ADJ!J20,Calcu_ADJ!$I$3)</f>
        <v/>
      </c>
      <c r="N21" s="67" t="str">
        <f ca="1">TEXT(Calcu_ADJ!K20,Calcu_ADJ!$I$3)</f>
        <v/>
      </c>
      <c r="O21" s="67" t="str">
        <f ca="1">TEXT(Calcu_ADJ!L20,Calcu_ADJ!$I$3)</f>
        <v/>
      </c>
    </row>
    <row r="22" spans="1:15" ht="13.5" customHeight="1">
      <c r="A22" s="42"/>
      <c r="B22" s="68">
        <f>Calcu!D21</f>
        <v>13</v>
      </c>
      <c r="C22" s="67" t="str">
        <f>Calcu!F21</f>
        <v/>
      </c>
      <c r="D22" s="67" t="str">
        <f>Calcu!G21</f>
        <v/>
      </c>
      <c r="E22" s="67" t="str">
        <f ca="1">TEXT(Calcu!J21,Calcu!$I$3)</f>
        <v/>
      </c>
      <c r="F22" s="67" t="str">
        <f ca="1">TEXT(Calcu!K21,Calcu!$I$3)</f>
        <v/>
      </c>
      <c r="G22" s="67" t="str">
        <f ca="1">TEXT(Calcu!L21,Calcu!$I$3)</f>
        <v/>
      </c>
      <c r="I22" s="42"/>
      <c r="J22" s="68">
        <f>Calcu_ADJ!D21</f>
        <v>13</v>
      </c>
      <c r="K22" s="67" t="str">
        <f>Calcu_ADJ!F21</f>
        <v/>
      </c>
      <c r="L22" s="67" t="str">
        <f>Calcu_ADJ!G21</f>
        <v/>
      </c>
      <c r="M22" s="67" t="str">
        <f ca="1">TEXT(Calcu_ADJ!J21,Calcu_ADJ!$I$3)</f>
        <v/>
      </c>
      <c r="N22" s="67" t="str">
        <f ca="1">TEXT(Calcu_ADJ!K21,Calcu_ADJ!$I$3)</f>
        <v/>
      </c>
      <c r="O22" s="67" t="str">
        <f ca="1">TEXT(Calcu_ADJ!L21,Calcu_ADJ!$I$3)</f>
        <v/>
      </c>
    </row>
    <row r="23" spans="1:15" ht="13.5" customHeight="1">
      <c r="A23" s="42"/>
      <c r="B23" s="68">
        <f>Calcu!D22</f>
        <v>14</v>
      </c>
      <c r="C23" s="67" t="str">
        <f>Calcu!F22</f>
        <v/>
      </c>
      <c r="D23" s="67" t="str">
        <f>Calcu!G22</f>
        <v/>
      </c>
      <c r="E23" s="67" t="str">
        <f ca="1">TEXT(Calcu!J22,Calcu!$I$3)</f>
        <v/>
      </c>
      <c r="F23" s="67" t="str">
        <f ca="1">TEXT(Calcu!K22,Calcu!$I$3)</f>
        <v/>
      </c>
      <c r="G23" s="67" t="str">
        <f ca="1">TEXT(Calcu!L22,Calcu!$I$3)</f>
        <v/>
      </c>
      <c r="I23" s="42"/>
      <c r="J23" s="68">
        <f>Calcu_ADJ!D22</f>
        <v>14</v>
      </c>
      <c r="K23" s="67" t="str">
        <f>Calcu_ADJ!F22</f>
        <v/>
      </c>
      <c r="L23" s="67" t="str">
        <f>Calcu_ADJ!G22</f>
        <v/>
      </c>
      <c r="M23" s="67" t="str">
        <f ca="1">TEXT(Calcu_ADJ!J22,Calcu_ADJ!$I$3)</f>
        <v/>
      </c>
      <c r="N23" s="67" t="str">
        <f ca="1">TEXT(Calcu_ADJ!K22,Calcu_ADJ!$I$3)</f>
        <v/>
      </c>
      <c r="O23" s="67" t="str">
        <f ca="1">TEXT(Calcu_ADJ!L22,Calcu_ADJ!$I$3)</f>
        <v/>
      </c>
    </row>
    <row r="24" spans="1:15" ht="13.5" customHeight="1">
      <c r="A24" s="42"/>
      <c r="B24" s="68">
        <f>Calcu!D23</f>
        <v>15</v>
      </c>
      <c r="C24" s="67" t="str">
        <f>Calcu!F23</f>
        <v/>
      </c>
      <c r="D24" s="67" t="str">
        <f>Calcu!G23</f>
        <v/>
      </c>
      <c r="E24" s="67" t="str">
        <f ca="1">TEXT(Calcu!J23,Calcu!$I$3)</f>
        <v/>
      </c>
      <c r="F24" s="67" t="str">
        <f ca="1">TEXT(Calcu!K23,Calcu!$I$3)</f>
        <v/>
      </c>
      <c r="G24" s="67" t="str">
        <f ca="1">TEXT(Calcu!L23,Calcu!$I$3)</f>
        <v/>
      </c>
      <c r="I24" s="42"/>
      <c r="J24" s="68">
        <f>Calcu_ADJ!D23</f>
        <v>15</v>
      </c>
      <c r="K24" s="67" t="str">
        <f>Calcu_ADJ!F23</f>
        <v/>
      </c>
      <c r="L24" s="67" t="str">
        <f>Calcu_ADJ!G23</f>
        <v/>
      </c>
      <c r="M24" s="67" t="str">
        <f ca="1">TEXT(Calcu_ADJ!J23,Calcu_ADJ!$I$3)</f>
        <v/>
      </c>
      <c r="N24" s="67" t="str">
        <f ca="1">TEXT(Calcu_ADJ!K23,Calcu_ADJ!$I$3)</f>
        <v/>
      </c>
      <c r="O24" s="67" t="str">
        <f ca="1">TEXT(Calcu_ADJ!L23,Calcu_ADJ!$I$3)</f>
        <v/>
      </c>
    </row>
    <row r="25" spans="1:15" ht="13.5" customHeight="1">
      <c r="A25" s="42"/>
      <c r="B25" s="68">
        <f>Calcu!D24</f>
        <v>16</v>
      </c>
      <c r="C25" s="67" t="str">
        <f>Calcu!F24</f>
        <v/>
      </c>
      <c r="D25" s="67" t="str">
        <f>Calcu!G24</f>
        <v/>
      </c>
      <c r="E25" s="67" t="str">
        <f ca="1">TEXT(Calcu!J24,Calcu!$I$3)</f>
        <v/>
      </c>
      <c r="F25" s="67" t="str">
        <f ca="1">TEXT(Calcu!K24,Calcu!$I$3)</f>
        <v/>
      </c>
      <c r="G25" s="67" t="str">
        <f ca="1">TEXT(Calcu!L24,Calcu!$I$3)</f>
        <v/>
      </c>
      <c r="I25" s="42"/>
      <c r="J25" s="68">
        <f>Calcu_ADJ!D24</f>
        <v>16</v>
      </c>
      <c r="K25" s="67" t="str">
        <f>Calcu_ADJ!F24</f>
        <v/>
      </c>
      <c r="L25" s="67" t="str">
        <f>Calcu_ADJ!G24</f>
        <v/>
      </c>
      <c r="M25" s="67" t="str">
        <f ca="1">TEXT(Calcu_ADJ!J24,Calcu_ADJ!$I$3)</f>
        <v/>
      </c>
      <c r="N25" s="67" t="str">
        <f ca="1">TEXT(Calcu_ADJ!K24,Calcu_ADJ!$I$3)</f>
        <v/>
      </c>
      <c r="O25" s="67" t="str">
        <f ca="1">TEXT(Calcu_ADJ!L24,Calcu_ADJ!$I$3)</f>
        <v/>
      </c>
    </row>
    <row r="26" spans="1:15" ht="13.5" customHeight="1">
      <c r="A26" s="42"/>
      <c r="B26" s="68">
        <f>Calcu!D25</f>
        <v>17</v>
      </c>
      <c r="C26" s="67" t="str">
        <f>Calcu!F25</f>
        <v/>
      </c>
      <c r="D26" s="67" t="str">
        <f>Calcu!G25</f>
        <v/>
      </c>
      <c r="E26" s="67" t="str">
        <f ca="1">TEXT(Calcu!J25,Calcu!$I$3)</f>
        <v/>
      </c>
      <c r="F26" s="67" t="str">
        <f ca="1">TEXT(Calcu!K25,Calcu!$I$3)</f>
        <v/>
      </c>
      <c r="G26" s="67" t="str">
        <f ca="1">TEXT(Calcu!L25,Calcu!$I$3)</f>
        <v/>
      </c>
      <c r="I26" s="42"/>
      <c r="J26" s="68">
        <f>Calcu_ADJ!D25</f>
        <v>17</v>
      </c>
      <c r="K26" s="67" t="str">
        <f>Calcu_ADJ!F25</f>
        <v/>
      </c>
      <c r="L26" s="67" t="str">
        <f>Calcu_ADJ!G25</f>
        <v/>
      </c>
      <c r="M26" s="67" t="str">
        <f ca="1">TEXT(Calcu_ADJ!J25,Calcu_ADJ!$I$3)</f>
        <v/>
      </c>
      <c r="N26" s="67" t="str">
        <f ca="1">TEXT(Calcu_ADJ!K25,Calcu_ADJ!$I$3)</f>
        <v/>
      </c>
      <c r="O26" s="67" t="str">
        <f ca="1">TEXT(Calcu_ADJ!L25,Calcu_ADJ!$I$3)</f>
        <v/>
      </c>
    </row>
    <row r="27" spans="1:15" ht="13.5" customHeight="1">
      <c r="A27" s="42"/>
      <c r="B27" s="68">
        <f>Calcu!D26</f>
        <v>18</v>
      </c>
      <c r="C27" s="67" t="str">
        <f>Calcu!F26</f>
        <v/>
      </c>
      <c r="D27" s="67" t="str">
        <f>Calcu!G26</f>
        <v/>
      </c>
      <c r="E27" s="67" t="str">
        <f ca="1">TEXT(Calcu!J26,Calcu!$I$3)</f>
        <v/>
      </c>
      <c r="F27" s="67" t="str">
        <f ca="1">TEXT(Calcu!K26,Calcu!$I$3)</f>
        <v/>
      </c>
      <c r="G27" s="67" t="str">
        <f ca="1">TEXT(Calcu!L26,Calcu!$I$3)</f>
        <v/>
      </c>
      <c r="I27" s="42"/>
      <c r="J27" s="68">
        <f>Calcu_ADJ!D26</f>
        <v>18</v>
      </c>
      <c r="K27" s="67" t="str">
        <f>Calcu_ADJ!F26</f>
        <v/>
      </c>
      <c r="L27" s="67" t="str">
        <f>Calcu_ADJ!G26</f>
        <v/>
      </c>
      <c r="M27" s="67" t="str">
        <f ca="1">TEXT(Calcu_ADJ!J26,Calcu_ADJ!$I$3)</f>
        <v/>
      </c>
      <c r="N27" s="67" t="str">
        <f ca="1">TEXT(Calcu_ADJ!K26,Calcu_ADJ!$I$3)</f>
        <v/>
      </c>
      <c r="O27" s="67" t="str">
        <f ca="1">TEXT(Calcu_ADJ!L26,Calcu_ADJ!$I$3)</f>
        <v/>
      </c>
    </row>
    <row r="28" spans="1:15" ht="13.5" customHeight="1">
      <c r="A28" s="42"/>
      <c r="B28" s="68">
        <f>Calcu!D27</f>
        <v>19</v>
      </c>
      <c r="C28" s="67" t="str">
        <f>Calcu!F27</f>
        <v/>
      </c>
      <c r="D28" s="67" t="str">
        <f>Calcu!G27</f>
        <v/>
      </c>
      <c r="E28" s="67" t="str">
        <f ca="1">TEXT(Calcu!J27,Calcu!$I$3)</f>
        <v/>
      </c>
      <c r="F28" s="67" t="str">
        <f ca="1">TEXT(Calcu!K27,Calcu!$I$3)</f>
        <v/>
      </c>
      <c r="G28" s="67" t="str">
        <f ca="1">TEXT(Calcu!L27,Calcu!$I$3)</f>
        <v/>
      </c>
      <c r="I28" s="42"/>
      <c r="J28" s="68">
        <f>Calcu_ADJ!D27</f>
        <v>19</v>
      </c>
      <c r="K28" s="67" t="str">
        <f>Calcu_ADJ!F27</f>
        <v/>
      </c>
      <c r="L28" s="67" t="str">
        <f>Calcu_ADJ!G27</f>
        <v/>
      </c>
      <c r="M28" s="67" t="str">
        <f ca="1">TEXT(Calcu_ADJ!J27,Calcu_ADJ!$I$3)</f>
        <v/>
      </c>
      <c r="N28" s="67" t="str">
        <f ca="1">TEXT(Calcu_ADJ!K27,Calcu_ADJ!$I$3)</f>
        <v/>
      </c>
      <c r="O28" s="67" t="str">
        <f ca="1">TEXT(Calcu_ADJ!L27,Calcu_ADJ!$I$3)</f>
        <v/>
      </c>
    </row>
    <row r="29" spans="1:15" ht="13.5" customHeight="1">
      <c r="A29" s="42"/>
      <c r="B29" s="68">
        <f>Calcu!D28</f>
        <v>20</v>
      </c>
      <c r="C29" s="67" t="str">
        <f>Calcu!F28</f>
        <v/>
      </c>
      <c r="D29" s="67" t="str">
        <f>Calcu!G28</f>
        <v/>
      </c>
      <c r="E29" s="67" t="str">
        <f ca="1">TEXT(Calcu!J28,Calcu!$I$3)</f>
        <v/>
      </c>
      <c r="F29" s="67" t="str">
        <f ca="1">TEXT(Calcu!K28,Calcu!$I$3)</f>
        <v/>
      </c>
      <c r="G29" s="67" t="str">
        <f ca="1">TEXT(Calcu!L28,Calcu!$I$3)</f>
        <v/>
      </c>
      <c r="I29" s="42"/>
      <c r="J29" s="68">
        <f>Calcu_ADJ!D28</f>
        <v>20</v>
      </c>
      <c r="K29" s="67" t="str">
        <f>Calcu_ADJ!F28</f>
        <v/>
      </c>
      <c r="L29" s="67" t="str">
        <f>Calcu_ADJ!G28</f>
        <v/>
      </c>
      <c r="M29" s="67" t="str">
        <f ca="1">TEXT(Calcu_ADJ!J28,Calcu_ADJ!$I$3)</f>
        <v/>
      </c>
      <c r="N29" s="67" t="str">
        <f ca="1">TEXT(Calcu_ADJ!K28,Calcu_ADJ!$I$3)</f>
        <v/>
      </c>
      <c r="O29" s="67" t="str">
        <f ca="1">TEXT(Calcu_ADJ!L28,Calcu_ADJ!$I$3)</f>
        <v/>
      </c>
    </row>
    <row r="30" spans="1:15" ht="13.5" customHeight="1">
      <c r="A30" s="42"/>
      <c r="B30" s="68">
        <f>Calcu!D29</f>
        <v>21</v>
      </c>
      <c r="C30" s="67" t="str">
        <f>Calcu!F29</f>
        <v/>
      </c>
      <c r="D30" s="67" t="str">
        <f>Calcu!G29</f>
        <v/>
      </c>
      <c r="E30" s="67" t="str">
        <f ca="1">TEXT(Calcu!J29,Calcu!$I$3)</f>
        <v/>
      </c>
      <c r="F30" s="67" t="str">
        <f ca="1">TEXT(Calcu!K29,Calcu!$I$3)</f>
        <v/>
      </c>
      <c r="G30" s="67" t="str">
        <f ca="1">TEXT(Calcu!L29,Calcu!$I$3)</f>
        <v/>
      </c>
      <c r="I30" s="42"/>
      <c r="J30" s="68">
        <f>Calcu_ADJ!D29</f>
        <v>21</v>
      </c>
      <c r="K30" s="67" t="str">
        <f>Calcu_ADJ!F29</f>
        <v/>
      </c>
      <c r="L30" s="67" t="str">
        <f>Calcu_ADJ!G29</f>
        <v/>
      </c>
      <c r="M30" s="67" t="str">
        <f ca="1">TEXT(Calcu_ADJ!J29,Calcu_ADJ!$I$3)</f>
        <v/>
      </c>
      <c r="N30" s="67" t="str">
        <f ca="1">TEXT(Calcu_ADJ!K29,Calcu_ADJ!$I$3)</f>
        <v/>
      </c>
      <c r="O30" s="67" t="str">
        <f ca="1">TEXT(Calcu_ADJ!L29,Calcu_ADJ!$I$3)</f>
        <v/>
      </c>
    </row>
    <row r="31" spans="1:15" ht="13.5" customHeight="1">
      <c r="A31" s="42"/>
      <c r="B31" s="68">
        <f>Calcu!D30</f>
        <v>22</v>
      </c>
      <c r="C31" s="67" t="str">
        <f>Calcu!F30</f>
        <v/>
      </c>
      <c r="D31" s="67" t="str">
        <f>Calcu!G30</f>
        <v/>
      </c>
      <c r="E31" s="67" t="str">
        <f ca="1">TEXT(Calcu!J30,Calcu!$I$3)</f>
        <v/>
      </c>
      <c r="F31" s="67" t="str">
        <f ca="1">TEXT(Calcu!K30,Calcu!$I$3)</f>
        <v/>
      </c>
      <c r="G31" s="67" t="str">
        <f ca="1">TEXT(Calcu!L30,Calcu!$I$3)</f>
        <v/>
      </c>
      <c r="I31" s="42"/>
      <c r="J31" s="68">
        <f>Calcu_ADJ!D30</f>
        <v>22</v>
      </c>
      <c r="K31" s="67" t="str">
        <f>Calcu_ADJ!F30</f>
        <v/>
      </c>
      <c r="L31" s="67" t="str">
        <f>Calcu_ADJ!G30</f>
        <v/>
      </c>
      <c r="M31" s="67" t="str">
        <f ca="1">TEXT(Calcu_ADJ!J30,Calcu_ADJ!$I$3)</f>
        <v/>
      </c>
      <c r="N31" s="67" t="str">
        <f ca="1">TEXT(Calcu_ADJ!K30,Calcu_ADJ!$I$3)</f>
        <v/>
      </c>
      <c r="O31" s="67" t="str">
        <f ca="1">TEXT(Calcu_ADJ!L30,Calcu_ADJ!$I$3)</f>
        <v/>
      </c>
    </row>
    <row r="32" spans="1:15" ht="13.5" customHeight="1">
      <c r="A32" s="42"/>
      <c r="B32" s="68">
        <f>Calcu!D31</f>
        <v>23</v>
      </c>
      <c r="C32" s="67" t="str">
        <f>Calcu!F31</f>
        <v/>
      </c>
      <c r="D32" s="67" t="str">
        <f>Calcu!G31</f>
        <v/>
      </c>
      <c r="E32" s="67" t="str">
        <f ca="1">TEXT(Calcu!J31,Calcu!$I$3)</f>
        <v/>
      </c>
      <c r="F32" s="67" t="str">
        <f ca="1">TEXT(Calcu!K31,Calcu!$I$3)</f>
        <v/>
      </c>
      <c r="G32" s="67" t="str">
        <f ca="1">TEXT(Calcu!L31,Calcu!$I$3)</f>
        <v/>
      </c>
      <c r="I32" s="42"/>
      <c r="J32" s="68">
        <f>Calcu_ADJ!D31</f>
        <v>23</v>
      </c>
      <c r="K32" s="67" t="str">
        <f>Calcu_ADJ!F31</f>
        <v/>
      </c>
      <c r="L32" s="67" t="str">
        <f>Calcu_ADJ!G31</f>
        <v/>
      </c>
      <c r="M32" s="67" t="str">
        <f ca="1">TEXT(Calcu_ADJ!J31,Calcu_ADJ!$I$3)</f>
        <v/>
      </c>
      <c r="N32" s="67" t="str">
        <f ca="1">TEXT(Calcu_ADJ!K31,Calcu_ADJ!$I$3)</f>
        <v/>
      </c>
      <c r="O32" s="67" t="str">
        <f ca="1">TEXT(Calcu_ADJ!L31,Calcu_ADJ!$I$3)</f>
        <v/>
      </c>
    </row>
    <row r="33" spans="1:15" ht="13.5" customHeight="1">
      <c r="A33" s="42"/>
      <c r="B33" s="68">
        <f>Calcu!D32</f>
        <v>24</v>
      </c>
      <c r="C33" s="67" t="str">
        <f>Calcu!F32</f>
        <v/>
      </c>
      <c r="D33" s="67" t="str">
        <f>Calcu!G32</f>
        <v/>
      </c>
      <c r="E33" s="67" t="str">
        <f ca="1">TEXT(Calcu!J32,Calcu!$I$3)</f>
        <v/>
      </c>
      <c r="F33" s="67" t="str">
        <f ca="1">TEXT(Calcu!K32,Calcu!$I$3)</f>
        <v/>
      </c>
      <c r="G33" s="67" t="str">
        <f ca="1">TEXT(Calcu!L32,Calcu!$I$3)</f>
        <v/>
      </c>
      <c r="I33" s="42"/>
      <c r="J33" s="68">
        <f>Calcu_ADJ!D32</f>
        <v>24</v>
      </c>
      <c r="K33" s="67" t="str">
        <f>Calcu_ADJ!F32</f>
        <v/>
      </c>
      <c r="L33" s="67" t="str">
        <f>Calcu_ADJ!G32</f>
        <v/>
      </c>
      <c r="M33" s="67" t="str">
        <f ca="1">TEXT(Calcu_ADJ!J32,Calcu_ADJ!$I$3)</f>
        <v/>
      </c>
      <c r="N33" s="67" t="str">
        <f ca="1">TEXT(Calcu_ADJ!K32,Calcu_ADJ!$I$3)</f>
        <v/>
      </c>
      <c r="O33" s="67" t="str">
        <f ca="1">TEXT(Calcu_ADJ!L32,Calcu_ADJ!$I$3)</f>
        <v/>
      </c>
    </row>
    <row r="34" spans="1:15" ht="13.5" customHeight="1">
      <c r="A34" s="42"/>
      <c r="B34" s="68">
        <f>Calcu!D33</f>
        <v>25</v>
      </c>
      <c r="C34" s="67" t="str">
        <f>Calcu!F33</f>
        <v/>
      </c>
      <c r="D34" s="67" t="str">
        <f>Calcu!G33</f>
        <v/>
      </c>
      <c r="E34" s="67" t="str">
        <f ca="1">TEXT(Calcu!J33,Calcu!$I$3)</f>
        <v/>
      </c>
      <c r="F34" s="67" t="str">
        <f ca="1">TEXT(Calcu!K33,Calcu!$I$3)</f>
        <v/>
      </c>
      <c r="G34" s="67" t="str">
        <f ca="1">TEXT(Calcu!L33,Calcu!$I$3)</f>
        <v/>
      </c>
      <c r="I34" s="42"/>
      <c r="J34" s="68">
        <f>Calcu_ADJ!D33</f>
        <v>25</v>
      </c>
      <c r="K34" s="67" t="str">
        <f>Calcu_ADJ!F33</f>
        <v/>
      </c>
      <c r="L34" s="67" t="str">
        <f>Calcu_ADJ!G33</f>
        <v/>
      </c>
      <c r="M34" s="67" t="str">
        <f ca="1">TEXT(Calcu_ADJ!J33,Calcu_ADJ!$I$3)</f>
        <v/>
      </c>
      <c r="N34" s="67" t="str">
        <f ca="1">TEXT(Calcu_ADJ!K33,Calcu_ADJ!$I$3)</f>
        <v/>
      </c>
      <c r="O34" s="67" t="str">
        <f ca="1">TEXT(Calcu_ADJ!L33,Calcu_ADJ!$I$3)</f>
        <v/>
      </c>
    </row>
    <row r="35" spans="1:15" ht="13.5" customHeight="1">
      <c r="A35" s="42"/>
      <c r="B35" s="68">
        <f>Calcu!D34</f>
        <v>26</v>
      </c>
      <c r="C35" s="67" t="str">
        <f>Calcu!F34</f>
        <v/>
      </c>
      <c r="D35" s="67" t="str">
        <f>Calcu!G34</f>
        <v/>
      </c>
      <c r="E35" s="67" t="str">
        <f ca="1">TEXT(Calcu!J34,Calcu!$I$3)</f>
        <v/>
      </c>
      <c r="F35" s="67" t="str">
        <f ca="1">TEXT(Calcu!K34,Calcu!$I$3)</f>
        <v/>
      </c>
      <c r="G35" s="67" t="str">
        <f ca="1">TEXT(Calcu!L34,Calcu!$I$3)</f>
        <v/>
      </c>
      <c r="I35" s="42"/>
      <c r="J35" s="68">
        <f>Calcu_ADJ!D34</f>
        <v>26</v>
      </c>
      <c r="K35" s="67" t="str">
        <f>Calcu_ADJ!F34</f>
        <v/>
      </c>
      <c r="L35" s="67" t="str">
        <f>Calcu_ADJ!G34</f>
        <v/>
      </c>
      <c r="M35" s="67" t="str">
        <f ca="1">TEXT(Calcu_ADJ!J34,Calcu_ADJ!$I$3)</f>
        <v/>
      </c>
      <c r="N35" s="67" t="str">
        <f ca="1">TEXT(Calcu_ADJ!K34,Calcu_ADJ!$I$3)</f>
        <v/>
      </c>
      <c r="O35" s="67" t="str">
        <f ca="1">TEXT(Calcu_ADJ!L34,Calcu_ADJ!$I$3)</f>
        <v/>
      </c>
    </row>
    <row r="36" spans="1:15" ht="13.5" customHeight="1">
      <c r="A36" s="42"/>
      <c r="B36" s="68">
        <f>Calcu!D35</f>
        <v>27</v>
      </c>
      <c r="C36" s="67" t="str">
        <f>Calcu!F35</f>
        <v/>
      </c>
      <c r="D36" s="67" t="str">
        <f>Calcu!G35</f>
        <v/>
      </c>
      <c r="E36" s="67" t="str">
        <f ca="1">TEXT(Calcu!J35,Calcu!$I$3)</f>
        <v/>
      </c>
      <c r="F36" s="67" t="str">
        <f ca="1">TEXT(Calcu!K35,Calcu!$I$3)</f>
        <v/>
      </c>
      <c r="G36" s="67" t="str">
        <f ca="1">TEXT(Calcu!L35,Calcu!$I$3)</f>
        <v/>
      </c>
      <c r="I36" s="42"/>
      <c r="J36" s="68">
        <f>Calcu_ADJ!D35</f>
        <v>27</v>
      </c>
      <c r="K36" s="67" t="str">
        <f>Calcu_ADJ!F35</f>
        <v/>
      </c>
      <c r="L36" s="67" t="str">
        <f>Calcu_ADJ!G35</f>
        <v/>
      </c>
      <c r="M36" s="67" t="str">
        <f ca="1">TEXT(Calcu_ADJ!J35,Calcu_ADJ!$I$3)</f>
        <v/>
      </c>
      <c r="N36" s="67" t="str">
        <f ca="1">TEXT(Calcu_ADJ!K35,Calcu_ADJ!$I$3)</f>
        <v/>
      </c>
      <c r="O36" s="67" t="str">
        <f ca="1">TEXT(Calcu_ADJ!L35,Calcu_ADJ!$I$3)</f>
        <v/>
      </c>
    </row>
    <row r="37" spans="1:15" ht="13.5" customHeight="1">
      <c r="A37" s="42"/>
      <c r="B37" s="68">
        <f>Calcu!D36</f>
        <v>28</v>
      </c>
      <c r="C37" s="67" t="str">
        <f>Calcu!F36</f>
        <v/>
      </c>
      <c r="D37" s="67" t="str">
        <f>Calcu!G36</f>
        <v/>
      </c>
      <c r="E37" s="67" t="str">
        <f ca="1">TEXT(Calcu!J36,Calcu!$I$3)</f>
        <v/>
      </c>
      <c r="F37" s="67" t="str">
        <f ca="1">TEXT(Calcu!K36,Calcu!$I$3)</f>
        <v/>
      </c>
      <c r="G37" s="67" t="str">
        <f ca="1">TEXT(Calcu!L36,Calcu!$I$3)</f>
        <v/>
      </c>
      <c r="I37" s="42"/>
      <c r="J37" s="68">
        <f>Calcu_ADJ!D36</f>
        <v>28</v>
      </c>
      <c r="K37" s="67" t="str">
        <f>Calcu_ADJ!F36</f>
        <v/>
      </c>
      <c r="L37" s="67" t="str">
        <f>Calcu_ADJ!G36</f>
        <v/>
      </c>
      <c r="M37" s="67" t="str">
        <f ca="1">TEXT(Calcu_ADJ!J36,Calcu_ADJ!$I$3)</f>
        <v/>
      </c>
      <c r="N37" s="67" t="str">
        <f ca="1">TEXT(Calcu_ADJ!K36,Calcu_ADJ!$I$3)</f>
        <v/>
      </c>
      <c r="O37" s="67" t="str">
        <f ca="1">TEXT(Calcu_ADJ!L36,Calcu_ADJ!$I$3)</f>
        <v/>
      </c>
    </row>
    <row r="38" spans="1:15" ht="13.5" customHeight="1">
      <c r="A38" s="42"/>
      <c r="B38" s="68">
        <f>Calcu!D37</f>
        <v>29</v>
      </c>
      <c r="C38" s="67" t="str">
        <f>Calcu!F37</f>
        <v/>
      </c>
      <c r="D38" s="67" t="str">
        <f>Calcu!G37</f>
        <v/>
      </c>
      <c r="E38" s="67" t="str">
        <f ca="1">TEXT(Calcu!J37,Calcu!$I$3)</f>
        <v/>
      </c>
      <c r="F38" s="67" t="str">
        <f ca="1">TEXT(Calcu!K37,Calcu!$I$3)</f>
        <v/>
      </c>
      <c r="G38" s="67" t="str">
        <f ca="1">TEXT(Calcu!L37,Calcu!$I$3)</f>
        <v/>
      </c>
      <c r="I38" s="42"/>
      <c r="J38" s="68">
        <f>Calcu_ADJ!D37</f>
        <v>29</v>
      </c>
      <c r="K38" s="67" t="str">
        <f>Calcu_ADJ!F37</f>
        <v/>
      </c>
      <c r="L38" s="67" t="str">
        <f>Calcu_ADJ!G37</f>
        <v/>
      </c>
      <c r="M38" s="67" t="str">
        <f ca="1">TEXT(Calcu_ADJ!J37,Calcu_ADJ!$I$3)</f>
        <v/>
      </c>
      <c r="N38" s="67" t="str">
        <f ca="1">TEXT(Calcu_ADJ!K37,Calcu_ADJ!$I$3)</f>
        <v/>
      </c>
      <c r="O38" s="67" t="str">
        <f ca="1">TEXT(Calcu_ADJ!L37,Calcu_ADJ!$I$3)</f>
        <v/>
      </c>
    </row>
    <row r="39" spans="1:15" ht="13.5" customHeight="1">
      <c r="A39" s="42"/>
      <c r="B39" s="68">
        <f>Calcu!D38</f>
        <v>30</v>
      </c>
      <c r="C39" s="67" t="str">
        <f>Calcu!F38</f>
        <v/>
      </c>
      <c r="D39" s="67" t="str">
        <f>Calcu!G38</f>
        <v/>
      </c>
      <c r="E39" s="67" t="str">
        <f ca="1">TEXT(Calcu!J38,Calcu!$I$3)</f>
        <v/>
      </c>
      <c r="F39" s="67" t="str">
        <f ca="1">TEXT(Calcu!K38,Calcu!$I$3)</f>
        <v/>
      </c>
      <c r="G39" s="67" t="str">
        <f ca="1">TEXT(Calcu!L38,Calcu!$I$3)</f>
        <v/>
      </c>
      <c r="I39" s="42"/>
      <c r="J39" s="68">
        <f>Calcu_ADJ!D38</f>
        <v>30</v>
      </c>
      <c r="K39" s="67" t="str">
        <f>Calcu_ADJ!F38</f>
        <v/>
      </c>
      <c r="L39" s="67" t="str">
        <f>Calcu_ADJ!G38</f>
        <v/>
      </c>
      <c r="M39" s="67" t="str">
        <f ca="1">TEXT(Calcu_ADJ!J38,Calcu_ADJ!$I$3)</f>
        <v/>
      </c>
      <c r="N39" s="67" t="str">
        <f ca="1">TEXT(Calcu_ADJ!K38,Calcu_ADJ!$I$3)</f>
        <v/>
      </c>
      <c r="O39" s="67" t="str">
        <f ca="1">TEXT(Calcu_ADJ!L38,Calcu_ADJ!$I$3)</f>
        <v/>
      </c>
    </row>
    <row r="41" spans="1:15" ht="13.5" customHeight="1">
      <c r="A41" s="39"/>
      <c r="B41" s="40"/>
      <c r="C41" s="40"/>
      <c r="D41" s="65"/>
      <c r="E41" s="40"/>
    </row>
  </sheetData>
  <sortState ref="N5:O14">
    <sortCondition descending="1" ref="N5"/>
  </sortState>
  <mergeCells count="10">
    <mergeCell ref="J7:J9"/>
    <mergeCell ref="K7:K8"/>
    <mergeCell ref="M7:O7"/>
    <mergeCell ref="D7:D8"/>
    <mergeCell ref="L7:L8"/>
    <mergeCell ref="B7:B9"/>
    <mergeCell ref="C7:C8"/>
    <mergeCell ref="E7:G7"/>
    <mergeCell ref="E4:F4"/>
    <mergeCell ref="E3:F3"/>
  </mergeCells>
  <phoneticPr fontId="5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25"/>
  <sheetViews>
    <sheetView showGridLines="0" zoomScaleNormal="100" zoomScaleSheetLayoutView="100" workbookViewId="0"/>
  </sheetViews>
  <sheetFormatPr defaultColWidth="1.77734375" defaultRowHeight="18" customHeight="1"/>
  <cols>
    <col min="1" max="8" width="1.77734375" style="79"/>
    <col min="9" max="10" width="1.77734375" style="79" customWidth="1"/>
    <col min="11" max="13" width="1.77734375" style="79"/>
    <col min="14" max="14" width="1.77734375" style="79" customWidth="1"/>
    <col min="15" max="15" width="1.77734375" style="79"/>
    <col min="16" max="17" width="1.77734375" style="79" customWidth="1"/>
    <col min="18" max="29" width="1.77734375" style="79"/>
    <col min="30" max="30" width="1.77734375" style="79" customWidth="1"/>
    <col min="31" max="16384" width="1.77734375" style="79"/>
  </cols>
  <sheetData>
    <row r="1" spans="1:46" ht="31.5">
      <c r="A1" s="115" t="s">
        <v>551</v>
      </c>
    </row>
    <row r="2" spans="1:46" s="83" customFormat="1" ht="18.7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</row>
    <row r="3" spans="1:46" ht="18.75" customHeight="1">
      <c r="A3" s="113" t="s">
        <v>553</v>
      </c>
    </row>
    <row r="4" spans="1:46" ht="18.75" customHeight="1">
      <c r="B4" s="550" t="s">
        <v>555</v>
      </c>
      <c r="C4" s="550"/>
      <c r="D4" s="550"/>
      <c r="E4" s="550"/>
      <c r="F4" s="550"/>
      <c r="G4" s="550"/>
      <c r="H4" s="551" t="s">
        <v>556</v>
      </c>
      <c r="I4" s="551"/>
      <c r="J4" s="551"/>
      <c r="K4" s="551"/>
      <c r="L4" s="551"/>
      <c r="M4" s="551"/>
      <c r="N4" s="552" t="s">
        <v>557</v>
      </c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4"/>
      <c r="Z4" s="555" t="s">
        <v>558</v>
      </c>
      <c r="AA4" s="555"/>
      <c r="AB4" s="555"/>
      <c r="AC4" s="555"/>
      <c r="AD4" s="555"/>
      <c r="AE4" s="555"/>
      <c r="AF4" s="551" t="s">
        <v>559</v>
      </c>
      <c r="AG4" s="551"/>
      <c r="AH4" s="551"/>
      <c r="AI4" s="551"/>
      <c r="AJ4" s="551"/>
      <c r="AK4" s="551"/>
      <c r="AL4" s="551" t="s">
        <v>560</v>
      </c>
      <c r="AM4" s="551"/>
      <c r="AN4" s="551"/>
      <c r="AO4" s="551"/>
      <c r="AP4" s="551"/>
      <c r="AQ4" s="551"/>
    </row>
    <row r="5" spans="1:46" ht="18.75" customHeight="1">
      <c r="B5" s="566" t="e">
        <f ca="1">ROUND(OFFSET(Calcu!G8,AF5,0),2)</f>
        <v>#VALUE!</v>
      </c>
      <c r="C5" s="566"/>
      <c r="D5" s="566"/>
      <c r="E5" s="566"/>
      <c r="F5" s="566"/>
      <c r="G5" s="566"/>
      <c r="H5" s="556">
        <f>Calcu!G8</f>
        <v>0</v>
      </c>
      <c r="I5" s="556"/>
      <c r="J5" s="556"/>
      <c r="K5" s="556"/>
      <c r="L5" s="556"/>
      <c r="M5" s="556"/>
      <c r="N5" s="567">
        <f ca="1">OFFSET(표준압력!M18,AF5,0)</f>
        <v>0</v>
      </c>
      <c r="O5" s="567"/>
      <c r="P5" s="567"/>
      <c r="Q5" s="567"/>
      <c r="R5" s="567"/>
      <c r="S5" s="567"/>
      <c r="T5" s="567">
        <f>표준압력!M18</f>
        <v>0</v>
      </c>
      <c r="U5" s="567"/>
      <c r="V5" s="567"/>
      <c r="W5" s="567"/>
      <c r="X5" s="567"/>
      <c r="Y5" s="567"/>
      <c r="Z5" s="556">
        <v>2</v>
      </c>
      <c r="AA5" s="556"/>
      <c r="AB5" s="556"/>
      <c r="AC5" s="556"/>
      <c r="AD5" s="556"/>
      <c r="AE5" s="556"/>
      <c r="AF5" s="556">
        <f>MATCH(TRUE,Calcu!C9:C38,0)</f>
        <v>1</v>
      </c>
      <c r="AG5" s="556"/>
      <c r="AH5" s="556"/>
      <c r="AI5" s="556"/>
      <c r="AJ5" s="556"/>
      <c r="AK5" s="556"/>
      <c r="AL5" s="556">
        <f>COUNT(E11:K40)/2</f>
        <v>0</v>
      </c>
      <c r="AM5" s="556"/>
      <c r="AN5" s="556"/>
      <c r="AO5" s="556"/>
      <c r="AP5" s="556"/>
      <c r="AQ5" s="556"/>
    </row>
    <row r="6" spans="1:46" ht="18" customHeight="1">
      <c r="A6" s="336"/>
      <c r="B6" s="336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W6" s="336"/>
      <c r="X6" s="336"/>
      <c r="Y6" s="336"/>
      <c r="Z6" s="336"/>
      <c r="AA6" s="336"/>
      <c r="AB6" s="336"/>
      <c r="AC6" s="336"/>
      <c r="AD6" s="336"/>
      <c r="AE6" s="336"/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  <c r="AR6" s="336"/>
      <c r="AS6" s="336"/>
      <c r="AT6" s="336"/>
    </row>
    <row r="7" spans="1:46" ht="18" customHeight="1">
      <c r="A7" s="113" t="s">
        <v>561</v>
      </c>
      <c r="B7" s="336"/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  <c r="AB7" s="336"/>
      <c r="AC7" s="336"/>
      <c r="AD7" s="336"/>
      <c r="AE7" s="336"/>
      <c r="AF7" s="336"/>
      <c r="AG7" s="336"/>
      <c r="AH7" s="336"/>
      <c r="AI7" s="336"/>
      <c r="AJ7" s="336"/>
      <c r="AK7" s="336"/>
      <c r="AL7" s="336"/>
      <c r="AM7" s="336"/>
      <c r="AN7" s="336"/>
      <c r="AO7" s="336"/>
      <c r="AP7" s="336"/>
      <c r="AQ7" s="336"/>
      <c r="AR7" s="336"/>
      <c r="AS7" s="336"/>
      <c r="AT7" s="336"/>
    </row>
    <row r="8" spans="1:46" ht="18" customHeight="1">
      <c r="A8" s="336"/>
      <c r="B8" s="557" t="s">
        <v>562</v>
      </c>
      <c r="C8" s="558"/>
      <c r="D8" s="558"/>
      <c r="E8" s="568" t="s">
        <v>563</v>
      </c>
      <c r="F8" s="569"/>
      <c r="G8" s="569"/>
      <c r="H8" s="569"/>
      <c r="I8" s="569"/>
      <c r="J8" s="569"/>
      <c r="K8" s="569"/>
      <c r="L8" s="569"/>
      <c r="M8" s="569"/>
      <c r="N8" s="569"/>
      <c r="O8" s="569"/>
      <c r="P8" s="569"/>
      <c r="Q8" s="569"/>
      <c r="R8" s="570"/>
      <c r="S8" s="571" t="s">
        <v>565</v>
      </c>
      <c r="T8" s="572"/>
      <c r="U8" s="572"/>
      <c r="V8" s="572"/>
      <c r="W8" s="572"/>
      <c r="X8" s="572"/>
      <c r="Y8" s="572"/>
      <c r="Z8" s="572"/>
      <c r="AA8" s="572"/>
      <c r="AB8" s="572"/>
      <c r="AC8" s="572"/>
      <c r="AD8" s="572"/>
      <c r="AE8" s="572"/>
      <c r="AF8" s="572"/>
      <c r="AG8" s="572"/>
      <c r="AH8" s="572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3"/>
    </row>
    <row r="9" spans="1:46" ht="18" customHeight="1">
      <c r="A9" s="336"/>
      <c r="B9" s="559"/>
      <c r="C9" s="560"/>
      <c r="D9" s="560"/>
      <c r="E9" s="568" t="s">
        <v>566</v>
      </c>
      <c r="F9" s="569"/>
      <c r="G9" s="569"/>
      <c r="H9" s="569"/>
      <c r="I9" s="569"/>
      <c r="J9" s="569"/>
      <c r="K9" s="570"/>
      <c r="L9" s="574" t="s">
        <v>567</v>
      </c>
      <c r="M9" s="575"/>
      <c r="N9" s="575"/>
      <c r="O9" s="575"/>
      <c r="P9" s="575"/>
      <c r="Q9" s="575"/>
      <c r="R9" s="576"/>
      <c r="S9" s="568" t="s">
        <v>568</v>
      </c>
      <c r="T9" s="577"/>
      <c r="U9" s="577"/>
      <c r="V9" s="577"/>
      <c r="W9" s="577"/>
      <c r="X9" s="577"/>
      <c r="Y9" s="578"/>
      <c r="Z9" s="568" t="s">
        <v>569</v>
      </c>
      <c r="AA9" s="577"/>
      <c r="AB9" s="577"/>
      <c r="AC9" s="577"/>
      <c r="AD9" s="577"/>
      <c r="AE9" s="577"/>
      <c r="AF9" s="578"/>
      <c r="AG9" s="568" t="s">
        <v>196</v>
      </c>
      <c r="AH9" s="577"/>
      <c r="AI9" s="577"/>
      <c r="AJ9" s="577"/>
      <c r="AK9" s="577"/>
      <c r="AL9" s="577"/>
      <c r="AM9" s="578"/>
      <c r="AN9" s="568" t="s">
        <v>570</v>
      </c>
      <c r="AO9" s="577"/>
      <c r="AP9" s="577"/>
      <c r="AQ9" s="577"/>
      <c r="AR9" s="577"/>
      <c r="AS9" s="577"/>
      <c r="AT9" s="578"/>
    </row>
    <row r="10" spans="1:46" ht="18" customHeight="1">
      <c r="A10" s="336"/>
      <c r="B10" s="561"/>
      <c r="C10" s="562"/>
      <c r="D10" s="562"/>
      <c r="E10" s="563">
        <f>Calcu!H8</f>
        <v>0</v>
      </c>
      <c r="F10" s="564"/>
      <c r="G10" s="564"/>
      <c r="H10" s="564"/>
      <c r="I10" s="564"/>
      <c r="J10" s="564"/>
      <c r="K10" s="565"/>
      <c r="L10" s="601">
        <f>Calcu!I8</f>
        <v>0</v>
      </c>
      <c r="M10" s="602"/>
      <c r="N10" s="602"/>
      <c r="O10" s="602"/>
      <c r="P10" s="602"/>
      <c r="Q10" s="602"/>
      <c r="R10" s="603"/>
      <c r="S10" s="604">
        <f>Calcu!J8</f>
        <v>0</v>
      </c>
      <c r="T10" s="605"/>
      <c r="U10" s="605"/>
      <c r="V10" s="605"/>
      <c r="W10" s="605"/>
      <c r="X10" s="605"/>
      <c r="Y10" s="606"/>
      <c r="Z10" s="604">
        <f>Calcu!K8</f>
        <v>0</v>
      </c>
      <c r="AA10" s="605"/>
      <c r="AB10" s="605"/>
      <c r="AC10" s="605"/>
      <c r="AD10" s="605"/>
      <c r="AE10" s="605"/>
      <c r="AF10" s="606"/>
      <c r="AG10" s="604">
        <f>Calcu!L8</f>
        <v>0</v>
      </c>
      <c r="AH10" s="605"/>
      <c r="AI10" s="605"/>
      <c r="AJ10" s="605"/>
      <c r="AK10" s="605"/>
      <c r="AL10" s="605"/>
      <c r="AM10" s="606"/>
      <c r="AN10" s="604">
        <f>AG10</f>
        <v>0</v>
      </c>
      <c r="AO10" s="605"/>
      <c r="AP10" s="605"/>
      <c r="AQ10" s="605"/>
      <c r="AR10" s="605"/>
      <c r="AS10" s="605"/>
      <c r="AT10" s="606"/>
    </row>
    <row r="11" spans="1:46" ht="18" customHeight="1">
      <c r="A11" s="336"/>
      <c r="B11" s="535">
        <f>Calcu!D9</f>
        <v>1</v>
      </c>
      <c r="C11" s="535"/>
      <c r="D11" s="535"/>
      <c r="E11" s="582" t="str">
        <f>Calcu!H9</f>
        <v/>
      </c>
      <c r="F11" s="583"/>
      <c r="G11" s="583"/>
      <c r="H11" s="583"/>
      <c r="I11" s="583"/>
      <c r="J11" s="583"/>
      <c r="K11" s="583"/>
      <c r="L11" s="542" t="str">
        <f>Calcu!I9</f>
        <v/>
      </c>
      <c r="M11" s="621"/>
      <c r="N11" s="621"/>
      <c r="O11" s="621"/>
      <c r="P11" s="621"/>
      <c r="Q11" s="621"/>
      <c r="R11" s="622"/>
      <c r="S11" s="535" t="str">
        <f>Calcu!J9</f>
        <v/>
      </c>
      <c r="T11" s="535"/>
      <c r="U11" s="535"/>
      <c r="V11" s="535"/>
      <c r="W11" s="535"/>
      <c r="X11" s="535"/>
      <c r="Y11" s="535"/>
      <c r="Z11" s="535" t="str">
        <f>Calcu!K9</f>
        <v/>
      </c>
      <c r="AA11" s="535"/>
      <c r="AB11" s="535"/>
      <c r="AC11" s="535"/>
      <c r="AD11" s="535"/>
      <c r="AE11" s="535"/>
      <c r="AF11" s="535"/>
      <c r="AG11" s="535" t="str">
        <f>Calcu!L9</f>
        <v/>
      </c>
      <c r="AH11" s="535"/>
      <c r="AI11" s="535"/>
      <c r="AJ11" s="535"/>
      <c r="AK11" s="535"/>
      <c r="AL11" s="535"/>
      <c r="AM11" s="535"/>
      <c r="AN11" s="535" t="str">
        <f t="shared" ref="AN11:AN40" si="0">IF(E11="","",AVERAGE(S11:AM11))</f>
        <v/>
      </c>
      <c r="AO11" s="535"/>
      <c r="AP11" s="535"/>
      <c r="AQ11" s="535"/>
      <c r="AR11" s="535"/>
      <c r="AS11" s="535"/>
      <c r="AT11" s="535"/>
    </row>
    <row r="12" spans="1:46" ht="18" customHeight="1">
      <c r="A12" s="336"/>
      <c r="B12" s="546">
        <f>Calcu!D10</f>
        <v>2</v>
      </c>
      <c r="C12" s="546"/>
      <c r="D12" s="546"/>
      <c r="E12" s="547" t="str">
        <f>Calcu!H10</f>
        <v/>
      </c>
      <c r="F12" s="548"/>
      <c r="G12" s="548"/>
      <c r="H12" s="548"/>
      <c r="I12" s="548"/>
      <c r="J12" s="548"/>
      <c r="K12" s="548"/>
      <c r="L12" s="543" t="str">
        <f>Calcu!I10</f>
        <v/>
      </c>
      <c r="M12" s="544"/>
      <c r="N12" s="544"/>
      <c r="O12" s="544"/>
      <c r="P12" s="544"/>
      <c r="Q12" s="544"/>
      <c r="R12" s="545"/>
      <c r="S12" s="546" t="str">
        <f>Calcu!J10</f>
        <v/>
      </c>
      <c r="T12" s="546"/>
      <c r="U12" s="546"/>
      <c r="V12" s="546"/>
      <c r="W12" s="546"/>
      <c r="X12" s="546"/>
      <c r="Y12" s="546"/>
      <c r="Z12" s="546" t="str">
        <f>Calcu!K10</f>
        <v/>
      </c>
      <c r="AA12" s="546"/>
      <c r="AB12" s="546"/>
      <c r="AC12" s="546"/>
      <c r="AD12" s="546"/>
      <c r="AE12" s="546"/>
      <c r="AF12" s="546"/>
      <c r="AG12" s="546" t="str">
        <f>Calcu!L10</f>
        <v/>
      </c>
      <c r="AH12" s="546"/>
      <c r="AI12" s="546"/>
      <c r="AJ12" s="546"/>
      <c r="AK12" s="546"/>
      <c r="AL12" s="546"/>
      <c r="AM12" s="546"/>
      <c r="AN12" s="546" t="str">
        <f t="shared" si="0"/>
        <v/>
      </c>
      <c r="AO12" s="546"/>
      <c r="AP12" s="546"/>
      <c r="AQ12" s="546"/>
      <c r="AR12" s="546"/>
      <c r="AS12" s="546"/>
      <c r="AT12" s="546"/>
    </row>
    <row r="13" spans="1:46" ht="18" customHeight="1">
      <c r="A13" s="336"/>
      <c r="B13" s="546">
        <f>Calcu!D11</f>
        <v>3</v>
      </c>
      <c r="C13" s="546"/>
      <c r="D13" s="546"/>
      <c r="E13" s="579" t="str">
        <f>Calcu!H11</f>
        <v/>
      </c>
      <c r="F13" s="580"/>
      <c r="G13" s="580"/>
      <c r="H13" s="580"/>
      <c r="I13" s="580"/>
      <c r="J13" s="580"/>
      <c r="K13" s="580"/>
      <c r="L13" s="581" t="str">
        <f>Calcu!I11</f>
        <v/>
      </c>
      <c r="M13" s="544"/>
      <c r="N13" s="544"/>
      <c r="O13" s="544"/>
      <c r="P13" s="544"/>
      <c r="Q13" s="544"/>
      <c r="R13" s="545"/>
      <c r="S13" s="546" t="str">
        <f>Calcu!J11</f>
        <v/>
      </c>
      <c r="T13" s="546"/>
      <c r="U13" s="546"/>
      <c r="V13" s="546"/>
      <c r="W13" s="546"/>
      <c r="X13" s="546"/>
      <c r="Y13" s="546"/>
      <c r="Z13" s="546" t="str">
        <f>Calcu!K11</f>
        <v/>
      </c>
      <c r="AA13" s="546"/>
      <c r="AB13" s="546"/>
      <c r="AC13" s="546"/>
      <c r="AD13" s="546"/>
      <c r="AE13" s="546"/>
      <c r="AF13" s="546"/>
      <c r="AG13" s="546" t="str">
        <f>Calcu!L11</f>
        <v/>
      </c>
      <c r="AH13" s="546"/>
      <c r="AI13" s="546"/>
      <c r="AJ13" s="546"/>
      <c r="AK13" s="546"/>
      <c r="AL13" s="546"/>
      <c r="AM13" s="546"/>
      <c r="AN13" s="546" t="str">
        <f t="shared" si="0"/>
        <v/>
      </c>
      <c r="AO13" s="546"/>
      <c r="AP13" s="546"/>
      <c r="AQ13" s="546"/>
      <c r="AR13" s="546"/>
      <c r="AS13" s="546"/>
      <c r="AT13" s="546"/>
    </row>
    <row r="14" spans="1:46" ht="18" customHeight="1">
      <c r="A14" s="336"/>
      <c r="B14" s="546">
        <f>Calcu!D12</f>
        <v>4</v>
      </c>
      <c r="C14" s="546"/>
      <c r="D14" s="546"/>
      <c r="E14" s="579" t="str">
        <f>Calcu!H12</f>
        <v/>
      </c>
      <c r="F14" s="580"/>
      <c r="G14" s="580"/>
      <c r="H14" s="580"/>
      <c r="I14" s="580"/>
      <c r="J14" s="580"/>
      <c r="K14" s="580"/>
      <c r="L14" s="581" t="str">
        <f>Calcu!I12</f>
        <v/>
      </c>
      <c r="M14" s="544"/>
      <c r="N14" s="544"/>
      <c r="O14" s="544"/>
      <c r="P14" s="544"/>
      <c r="Q14" s="544"/>
      <c r="R14" s="545"/>
      <c r="S14" s="546" t="str">
        <f>Calcu!J12</f>
        <v/>
      </c>
      <c r="T14" s="546"/>
      <c r="U14" s="546"/>
      <c r="V14" s="546"/>
      <c r="W14" s="546"/>
      <c r="X14" s="546"/>
      <c r="Y14" s="546"/>
      <c r="Z14" s="546" t="str">
        <f>Calcu!K12</f>
        <v/>
      </c>
      <c r="AA14" s="546"/>
      <c r="AB14" s="546"/>
      <c r="AC14" s="546"/>
      <c r="AD14" s="546"/>
      <c r="AE14" s="546"/>
      <c r="AF14" s="546"/>
      <c r="AG14" s="546" t="str">
        <f>Calcu!L12</f>
        <v/>
      </c>
      <c r="AH14" s="546"/>
      <c r="AI14" s="546"/>
      <c r="AJ14" s="546"/>
      <c r="AK14" s="546"/>
      <c r="AL14" s="546"/>
      <c r="AM14" s="546"/>
      <c r="AN14" s="546" t="str">
        <f t="shared" si="0"/>
        <v/>
      </c>
      <c r="AO14" s="546"/>
      <c r="AP14" s="546"/>
      <c r="AQ14" s="546"/>
      <c r="AR14" s="546"/>
      <c r="AS14" s="546"/>
      <c r="AT14" s="546"/>
    </row>
    <row r="15" spans="1:46" ht="18" customHeight="1">
      <c r="A15" s="336"/>
      <c r="B15" s="546">
        <f>Calcu!D13</f>
        <v>5</v>
      </c>
      <c r="C15" s="546"/>
      <c r="D15" s="546"/>
      <c r="E15" s="579" t="str">
        <f>Calcu!H13</f>
        <v/>
      </c>
      <c r="F15" s="580"/>
      <c r="G15" s="580"/>
      <c r="H15" s="580"/>
      <c r="I15" s="580"/>
      <c r="J15" s="580"/>
      <c r="K15" s="580"/>
      <c r="L15" s="581" t="str">
        <f>Calcu!I13</f>
        <v/>
      </c>
      <c r="M15" s="544"/>
      <c r="N15" s="544"/>
      <c r="O15" s="544"/>
      <c r="P15" s="544"/>
      <c r="Q15" s="544"/>
      <c r="R15" s="545"/>
      <c r="S15" s="546" t="str">
        <f>Calcu!J13</f>
        <v/>
      </c>
      <c r="T15" s="546"/>
      <c r="U15" s="546"/>
      <c r="V15" s="546"/>
      <c r="W15" s="546"/>
      <c r="X15" s="546"/>
      <c r="Y15" s="546"/>
      <c r="Z15" s="546" t="str">
        <f>Calcu!K13</f>
        <v/>
      </c>
      <c r="AA15" s="546"/>
      <c r="AB15" s="546"/>
      <c r="AC15" s="546"/>
      <c r="AD15" s="546"/>
      <c r="AE15" s="546"/>
      <c r="AF15" s="546"/>
      <c r="AG15" s="546" t="str">
        <f>Calcu!L13</f>
        <v/>
      </c>
      <c r="AH15" s="546"/>
      <c r="AI15" s="546"/>
      <c r="AJ15" s="546"/>
      <c r="AK15" s="546"/>
      <c r="AL15" s="546"/>
      <c r="AM15" s="546"/>
      <c r="AN15" s="546" t="str">
        <f t="shared" si="0"/>
        <v/>
      </c>
      <c r="AO15" s="546"/>
      <c r="AP15" s="546"/>
      <c r="AQ15" s="546"/>
      <c r="AR15" s="546"/>
      <c r="AS15" s="546"/>
      <c r="AT15" s="546"/>
    </row>
    <row r="16" spans="1:46" ht="18" customHeight="1">
      <c r="A16" s="336"/>
      <c r="B16" s="546">
        <f>Calcu!D14</f>
        <v>6</v>
      </c>
      <c r="C16" s="546"/>
      <c r="D16" s="546"/>
      <c r="E16" s="579" t="str">
        <f>Calcu!H14</f>
        <v/>
      </c>
      <c r="F16" s="580"/>
      <c r="G16" s="580"/>
      <c r="H16" s="580"/>
      <c r="I16" s="580"/>
      <c r="J16" s="580"/>
      <c r="K16" s="580"/>
      <c r="L16" s="581" t="str">
        <f>Calcu!I14</f>
        <v/>
      </c>
      <c r="M16" s="544"/>
      <c r="N16" s="544"/>
      <c r="O16" s="544"/>
      <c r="P16" s="544"/>
      <c r="Q16" s="544"/>
      <c r="R16" s="545"/>
      <c r="S16" s="546" t="str">
        <f>Calcu!J14</f>
        <v/>
      </c>
      <c r="T16" s="546"/>
      <c r="U16" s="546"/>
      <c r="V16" s="546"/>
      <c r="W16" s="546"/>
      <c r="X16" s="546"/>
      <c r="Y16" s="546"/>
      <c r="Z16" s="546" t="str">
        <f>Calcu!K14</f>
        <v/>
      </c>
      <c r="AA16" s="546"/>
      <c r="AB16" s="546"/>
      <c r="AC16" s="546"/>
      <c r="AD16" s="546"/>
      <c r="AE16" s="546"/>
      <c r="AF16" s="546"/>
      <c r="AG16" s="546" t="str">
        <f>Calcu!L14</f>
        <v/>
      </c>
      <c r="AH16" s="546"/>
      <c r="AI16" s="546"/>
      <c r="AJ16" s="546"/>
      <c r="AK16" s="546"/>
      <c r="AL16" s="546"/>
      <c r="AM16" s="546"/>
      <c r="AN16" s="546" t="str">
        <f t="shared" si="0"/>
        <v/>
      </c>
      <c r="AO16" s="546"/>
      <c r="AP16" s="546"/>
      <c r="AQ16" s="546"/>
      <c r="AR16" s="546"/>
      <c r="AS16" s="546"/>
      <c r="AT16" s="546"/>
    </row>
    <row r="17" spans="1:46" ht="18" customHeight="1">
      <c r="A17" s="336"/>
      <c r="B17" s="546">
        <f>Calcu!D15</f>
        <v>7</v>
      </c>
      <c r="C17" s="546"/>
      <c r="D17" s="546"/>
      <c r="E17" s="579" t="str">
        <f>Calcu!H15</f>
        <v/>
      </c>
      <c r="F17" s="580"/>
      <c r="G17" s="580"/>
      <c r="H17" s="580"/>
      <c r="I17" s="580"/>
      <c r="J17" s="580"/>
      <c r="K17" s="580"/>
      <c r="L17" s="581" t="str">
        <f>Calcu!I15</f>
        <v/>
      </c>
      <c r="M17" s="544"/>
      <c r="N17" s="544"/>
      <c r="O17" s="544"/>
      <c r="P17" s="544"/>
      <c r="Q17" s="544"/>
      <c r="R17" s="545"/>
      <c r="S17" s="546" t="str">
        <f>Calcu!J15</f>
        <v/>
      </c>
      <c r="T17" s="546"/>
      <c r="U17" s="546"/>
      <c r="V17" s="546"/>
      <c r="W17" s="546"/>
      <c r="X17" s="546"/>
      <c r="Y17" s="546"/>
      <c r="Z17" s="546" t="str">
        <f>Calcu!K15</f>
        <v/>
      </c>
      <c r="AA17" s="546"/>
      <c r="AB17" s="546"/>
      <c r="AC17" s="546"/>
      <c r="AD17" s="546"/>
      <c r="AE17" s="546"/>
      <c r="AF17" s="546"/>
      <c r="AG17" s="546" t="str">
        <f>Calcu!L15</f>
        <v/>
      </c>
      <c r="AH17" s="546"/>
      <c r="AI17" s="546"/>
      <c r="AJ17" s="546"/>
      <c r="AK17" s="546"/>
      <c r="AL17" s="546"/>
      <c r="AM17" s="546"/>
      <c r="AN17" s="546" t="str">
        <f t="shared" si="0"/>
        <v/>
      </c>
      <c r="AO17" s="546"/>
      <c r="AP17" s="546"/>
      <c r="AQ17" s="546"/>
      <c r="AR17" s="546"/>
      <c r="AS17" s="546"/>
      <c r="AT17" s="546"/>
    </row>
    <row r="18" spans="1:46" ht="18" customHeight="1">
      <c r="A18" s="336"/>
      <c r="B18" s="546">
        <f>Calcu!D16</f>
        <v>8</v>
      </c>
      <c r="C18" s="546"/>
      <c r="D18" s="546"/>
      <c r="E18" s="579" t="str">
        <f>Calcu!H16</f>
        <v/>
      </c>
      <c r="F18" s="580"/>
      <c r="G18" s="580"/>
      <c r="H18" s="580"/>
      <c r="I18" s="580"/>
      <c r="J18" s="580"/>
      <c r="K18" s="580"/>
      <c r="L18" s="581" t="str">
        <f>Calcu!I16</f>
        <v/>
      </c>
      <c r="M18" s="544"/>
      <c r="N18" s="544"/>
      <c r="O18" s="544"/>
      <c r="P18" s="544"/>
      <c r="Q18" s="544"/>
      <c r="R18" s="545"/>
      <c r="S18" s="546" t="str">
        <f>Calcu!J16</f>
        <v/>
      </c>
      <c r="T18" s="546"/>
      <c r="U18" s="546"/>
      <c r="V18" s="546"/>
      <c r="W18" s="546"/>
      <c r="X18" s="546"/>
      <c r="Y18" s="546"/>
      <c r="Z18" s="546" t="str">
        <f>Calcu!K16</f>
        <v/>
      </c>
      <c r="AA18" s="546"/>
      <c r="AB18" s="546"/>
      <c r="AC18" s="546"/>
      <c r="AD18" s="546"/>
      <c r="AE18" s="546"/>
      <c r="AF18" s="546"/>
      <c r="AG18" s="546" t="str">
        <f>Calcu!L16</f>
        <v/>
      </c>
      <c r="AH18" s="546"/>
      <c r="AI18" s="546"/>
      <c r="AJ18" s="546"/>
      <c r="AK18" s="546"/>
      <c r="AL18" s="546"/>
      <c r="AM18" s="546"/>
      <c r="AN18" s="546" t="str">
        <f t="shared" si="0"/>
        <v/>
      </c>
      <c r="AO18" s="546"/>
      <c r="AP18" s="546"/>
      <c r="AQ18" s="546"/>
      <c r="AR18" s="546"/>
      <c r="AS18" s="546"/>
      <c r="AT18" s="546"/>
    </row>
    <row r="19" spans="1:46" ht="18" customHeight="1">
      <c r="A19" s="336"/>
      <c r="B19" s="546">
        <f>Calcu!D17</f>
        <v>9</v>
      </c>
      <c r="C19" s="546"/>
      <c r="D19" s="546"/>
      <c r="E19" s="579" t="str">
        <f>Calcu!H17</f>
        <v/>
      </c>
      <c r="F19" s="580"/>
      <c r="G19" s="580"/>
      <c r="H19" s="580"/>
      <c r="I19" s="580"/>
      <c r="J19" s="580"/>
      <c r="K19" s="580"/>
      <c r="L19" s="581" t="str">
        <f>Calcu!I17</f>
        <v/>
      </c>
      <c r="M19" s="544"/>
      <c r="N19" s="544"/>
      <c r="O19" s="544"/>
      <c r="P19" s="544"/>
      <c r="Q19" s="544"/>
      <c r="R19" s="545"/>
      <c r="S19" s="546" t="str">
        <f>Calcu!J17</f>
        <v/>
      </c>
      <c r="T19" s="546"/>
      <c r="U19" s="546"/>
      <c r="V19" s="546"/>
      <c r="W19" s="546"/>
      <c r="X19" s="546"/>
      <c r="Y19" s="546"/>
      <c r="Z19" s="546" t="str">
        <f>Calcu!K17</f>
        <v/>
      </c>
      <c r="AA19" s="546"/>
      <c r="AB19" s="546"/>
      <c r="AC19" s="546"/>
      <c r="AD19" s="546"/>
      <c r="AE19" s="546"/>
      <c r="AF19" s="546"/>
      <c r="AG19" s="546" t="str">
        <f>Calcu!L17</f>
        <v/>
      </c>
      <c r="AH19" s="546"/>
      <c r="AI19" s="546"/>
      <c r="AJ19" s="546"/>
      <c r="AK19" s="546"/>
      <c r="AL19" s="546"/>
      <c r="AM19" s="546"/>
      <c r="AN19" s="546" t="str">
        <f t="shared" si="0"/>
        <v/>
      </c>
      <c r="AO19" s="546"/>
      <c r="AP19" s="546"/>
      <c r="AQ19" s="546"/>
      <c r="AR19" s="546"/>
      <c r="AS19" s="546"/>
      <c r="AT19" s="546"/>
    </row>
    <row r="20" spans="1:46" ht="18" customHeight="1">
      <c r="A20" s="336"/>
      <c r="B20" s="546">
        <f>Calcu!D18</f>
        <v>10</v>
      </c>
      <c r="C20" s="546"/>
      <c r="D20" s="546"/>
      <c r="E20" s="579" t="str">
        <f>Calcu!H18</f>
        <v/>
      </c>
      <c r="F20" s="580"/>
      <c r="G20" s="580"/>
      <c r="H20" s="580"/>
      <c r="I20" s="580"/>
      <c r="J20" s="580"/>
      <c r="K20" s="580"/>
      <c r="L20" s="581" t="str">
        <f>Calcu!I18</f>
        <v/>
      </c>
      <c r="M20" s="544"/>
      <c r="N20" s="544"/>
      <c r="O20" s="544"/>
      <c r="P20" s="544"/>
      <c r="Q20" s="544"/>
      <c r="R20" s="545"/>
      <c r="S20" s="546" t="str">
        <f>Calcu!J18</f>
        <v/>
      </c>
      <c r="T20" s="546"/>
      <c r="U20" s="546"/>
      <c r="V20" s="546"/>
      <c r="W20" s="546"/>
      <c r="X20" s="546"/>
      <c r="Y20" s="546"/>
      <c r="Z20" s="546" t="str">
        <f>Calcu!K18</f>
        <v/>
      </c>
      <c r="AA20" s="546"/>
      <c r="AB20" s="546"/>
      <c r="AC20" s="546"/>
      <c r="AD20" s="546"/>
      <c r="AE20" s="546"/>
      <c r="AF20" s="546"/>
      <c r="AG20" s="546" t="str">
        <f>Calcu!L18</f>
        <v/>
      </c>
      <c r="AH20" s="546"/>
      <c r="AI20" s="546"/>
      <c r="AJ20" s="546"/>
      <c r="AK20" s="546"/>
      <c r="AL20" s="546"/>
      <c r="AM20" s="546"/>
      <c r="AN20" s="546" t="str">
        <f t="shared" si="0"/>
        <v/>
      </c>
      <c r="AO20" s="546"/>
      <c r="AP20" s="546"/>
      <c r="AQ20" s="546"/>
      <c r="AR20" s="546"/>
      <c r="AS20" s="546"/>
      <c r="AT20" s="546"/>
    </row>
    <row r="21" spans="1:46" ht="18" customHeight="1">
      <c r="A21" s="336"/>
      <c r="B21" s="546">
        <f>Calcu!D19</f>
        <v>11</v>
      </c>
      <c r="C21" s="546"/>
      <c r="D21" s="546"/>
      <c r="E21" s="579" t="str">
        <f>Calcu!H19</f>
        <v/>
      </c>
      <c r="F21" s="580"/>
      <c r="G21" s="580"/>
      <c r="H21" s="580"/>
      <c r="I21" s="580"/>
      <c r="J21" s="580"/>
      <c r="K21" s="580"/>
      <c r="L21" s="581" t="str">
        <f>Calcu!I19</f>
        <v/>
      </c>
      <c r="M21" s="544"/>
      <c r="N21" s="544"/>
      <c r="O21" s="544"/>
      <c r="P21" s="544"/>
      <c r="Q21" s="544"/>
      <c r="R21" s="545"/>
      <c r="S21" s="546" t="str">
        <f>Calcu!J19</f>
        <v/>
      </c>
      <c r="T21" s="546"/>
      <c r="U21" s="546"/>
      <c r="V21" s="546"/>
      <c r="W21" s="546"/>
      <c r="X21" s="546"/>
      <c r="Y21" s="546"/>
      <c r="Z21" s="546" t="str">
        <f>Calcu!K19</f>
        <v/>
      </c>
      <c r="AA21" s="546"/>
      <c r="AB21" s="546"/>
      <c r="AC21" s="546"/>
      <c r="AD21" s="546"/>
      <c r="AE21" s="546"/>
      <c r="AF21" s="546"/>
      <c r="AG21" s="546" t="str">
        <f>Calcu!L19</f>
        <v/>
      </c>
      <c r="AH21" s="546"/>
      <c r="AI21" s="546"/>
      <c r="AJ21" s="546"/>
      <c r="AK21" s="546"/>
      <c r="AL21" s="546"/>
      <c r="AM21" s="546"/>
      <c r="AN21" s="546" t="str">
        <f t="shared" si="0"/>
        <v/>
      </c>
      <c r="AO21" s="546"/>
      <c r="AP21" s="546"/>
      <c r="AQ21" s="546"/>
      <c r="AR21" s="546"/>
      <c r="AS21" s="546"/>
      <c r="AT21" s="546"/>
    </row>
    <row r="22" spans="1:46" ht="18" customHeight="1">
      <c r="A22" s="336"/>
      <c r="B22" s="546">
        <f>Calcu!D20</f>
        <v>12</v>
      </c>
      <c r="C22" s="546"/>
      <c r="D22" s="546"/>
      <c r="E22" s="579" t="str">
        <f>Calcu!H20</f>
        <v/>
      </c>
      <c r="F22" s="580"/>
      <c r="G22" s="580"/>
      <c r="H22" s="580"/>
      <c r="I22" s="580"/>
      <c r="J22" s="580"/>
      <c r="K22" s="580"/>
      <c r="L22" s="581" t="str">
        <f>Calcu!I20</f>
        <v/>
      </c>
      <c r="M22" s="544"/>
      <c r="N22" s="544"/>
      <c r="O22" s="544"/>
      <c r="P22" s="544"/>
      <c r="Q22" s="544"/>
      <c r="R22" s="545"/>
      <c r="S22" s="546" t="str">
        <f>Calcu!J20</f>
        <v/>
      </c>
      <c r="T22" s="546"/>
      <c r="U22" s="546"/>
      <c r="V22" s="546"/>
      <c r="W22" s="546"/>
      <c r="X22" s="546"/>
      <c r="Y22" s="546"/>
      <c r="Z22" s="546" t="str">
        <f>Calcu!K20</f>
        <v/>
      </c>
      <c r="AA22" s="546"/>
      <c r="AB22" s="546"/>
      <c r="AC22" s="546"/>
      <c r="AD22" s="546"/>
      <c r="AE22" s="546"/>
      <c r="AF22" s="546"/>
      <c r="AG22" s="546" t="str">
        <f>Calcu!L20</f>
        <v/>
      </c>
      <c r="AH22" s="546"/>
      <c r="AI22" s="546"/>
      <c r="AJ22" s="546"/>
      <c r="AK22" s="546"/>
      <c r="AL22" s="546"/>
      <c r="AM22" s="546"/>
      <c r="AN22" s="546" t="str">
        <f t="shared" si="0"/>
        <v/>
      </c>
      <c r="AO22" s="546"/>
      <c r="AP22" s="546"/>
      <c r="AQ22" s="546"/>
      <c r="AR22" s="546"/>
      <c r="AS22" s="546"/>
      <c r="AT22" s="546"/>
    </row>
    <row r="23" spans="1:46" ht="18" customHeight="1">
      <c r="A23" s="336"/>
      <c r="B23" s="546">
        <f>Calcu!D21</f>
        <v>13</v>
      </c>
      <c r="C23" s="546"/>
      <c r="D23" s="546"/>
      <c r="E23" s="579" t="str">
        <f>Calcu!H21</f>
        <v/>
      </c>
      <c r="F23" s="580"/>
      <c r="G23" s="580"/>
      <c r="H23" s="580"/>
      <c r="I23" s="580"/>
      <c r="J23" s="580"/>
      <c r="K23" s="580"/>
      <c r="L23" s="581" t="str">
        <f>Calcu!I21</f>
        <v/>
      </c>
      <c r="M23" s="544"/>
      <c r="N23" s="544"/>
      <c r="O23" s="544"/>
      <c r="P23" s="544"/>
      <c r="Q23" s="544"/>
      <c r="R23" s="545"/>
      <c r="S23" s="546" t="str">
        <f>Calcu!J21</f>
        <v/>
      </c>
      <c r="T23" s="546"/>
      <c r="U23" s="546"/>
      <c r="V23" s="546"/>
      <c r="W23" s="546"/>
      <c r="X23" s="546"/>
      <c r="Y23" s="546"/>
      <c r="Z23" s="546" t="str">
        <f>Calcu!K21</f>
        <v/>
      </c>
      <c r="AA23" s="546"/>
      <c r="AB23" s="546"/>
      <c r="AC23" s="546"/>
      <c r="AD23" s="546"/>
      <c r="AE23" s="546"/>
      <c r="AF23" s="546"/>
      <c r="AG23" s="546" t="str">
        <f>Calcu!L21</f>
        <v/>
      </c>
      <c r="AH23" s="546"/>
      <c r="AI23" s="546"/>
      <c r="AJ23" s="546"/>
      <c r="AK23" s="546"/>
      <c r="AL23" s="546"/>
      <c r="AM23" s="546"/>
      <c r="AN23" s="546" t="str">
        <f t="shared" si="0"/>
        <v/>
      </c>
      <c r="AO23" s="546"/>
      <c r="AP23" s="546"/>
      <c r="AQ23" s="546"/>
      <c r="AR23" s="546"/>
      <c r="AS23" s="546"/>
      <c r="AT23" s="546"/>
    </row>
    <row r="24" spans="1:46" ht="18" customHeight="1">
      <c r="A24" s="336"/>
      <c r="B24" s="546">
        <f>Calcu!D22</f>
        <v>14</v>
      </c>
      <c r="C24" s="546"/>
      <c r="D24" s="546"/>
      <c r="E24" s="579" t="str">
        <f>Calcu!H22</f>
        <v/>
      </c>
      <c r="F24" s="580"/>
      <c r="G24" s="580"/>
      <c r="H24" s="580"/>
      <c r="I24" s="580"/>
      <c r="J24" s="580"/>
      <c r="K24" s="580"/>
      <c r="L24" s="581" t="str">
        <f>Calcu!I22</f>
        <v/>
      </c>
      <c r="M24" s="544"/>
      <c r="N24" s="544"/>
      <c r="O24" s="544"/>
      <c r="P24" s="544"/>
      <c r="Q24" s="544"/>
      <c r="R24" s="545"/>
      <c r="S24" s="546" t="str">
        <f>Calcu!J22</f>
        <v/>
      </c>
      <c r="T24" s="546"/>
      <c r="U24" s="546"/>
      <c r="V24" s="546"/>
      <c r="W24" s="546"/>
      <c r="X24" s="546"/>
      <c r="Y24" s="546"/>
      <c r="Z24" s="546" t="str">
        <f>Calcu!K22</f>
        <v/>
      </c>
      <c r="AA24" s="546"/>
      <c r="AB24" s="546"/>
      <c r="AC24" s="546"/>
      <c r="AD24" s="546"/>
      <c r="AE24" s="546"/>
      <c r="AF24" s="546"/>
      <c r="AG24" s="546" t="str">
        <f>Calcu!L22</f>
        <v/>
      </c>
      <c r="AH24" s="546"/>
      <c r="AI24" s="546"/>
      <c r="AJ24" s="546"/>
      <c r="AK24" s="546"/>
      <c r="AL24" s="546"/>
      <c r="AM24" s="546"/>
      <c r="AN24" s="546" t="str">
        <f t="shared" si="0"/>
        <v/>
      </c>
      <c r="AO24" s="546"/>
      <c r="AP24" s="546"/>
      <c r="AQ24" s="546"/>
      <c r="AR24" s="546"/>
      <c r="AS24" s="546"/>
      <c r="AT24" s="546"/>
    </row>
    <row r="25" spans="1:46" ht="18" customHeight="1">
      <c r="A25" s="336"/>
      <c r="B25" s="546">
        <f>Calcu!D23</f>
        <v>15</v>
      </c>
      <c r="C25" s="546"/>
      <c r="D25" s="546"/>
      <c r="E25" s="579" t="str">
        <f>Calcu!H23</f>
        <v/>
      </c>
      <c r="F25" s="580"/>
      <c r="G25" s="580"/>
      <c r="H25" s="580"/>
      <c r="I25" s="580"/>
      <c r="J25" s="580"/>
      <c r="K25" s="580"/>
      <c r="L25" s="581" t="str">
        <f>Calcu!I23</f>
        <v/>
      </c>
      <c r="M25" s="544"/>
      <c r="N25" s="544"/>
      <c r="O25" s="544"/>
      <c r="P25" s="544"/>
      <c r="Q25" s="544"/>
      <c r="R25" s="545"/>
      <c r="S25" s="546" t="str">
        <f>Calcu!J23</f>
        <v/>
      </c>
      <c r="T25" s="546"/>
      <c r="U25" s="546"/>
      <c r="V25" s="546"/>
      <c r="W25" s="546"/>
      <c r="X25" s="546"/>
      <c r="Y25" s="546"/>
      <c r="Z25" s="546" t="str">
        <f>Calcu!K23</f>
        <v/>
      </c>
      <c r="AA25" s="546"/>
      <c r="AB25" s="546"/>
      <c r="AC25" s="546"/>
      <c r="AD25" s="546"/>
      <c r="AE25" s="546"/>
      <c r="AF25" s="546"/>
      <c r="AG25" s="546" t="str">
        <f>Calcu!L23</f>
        <v/>
      </c>
      <c r="AH25" s="546"/>
      <c r="AI25" s="546"/>
      <c r="AJ25" s="546"/>
      <c r="AK25" s="546"/>
      <c r="AL25" s="546"/>
      <c r="AM25" s="546"/>
      <c r="AN25" s="546" t="str">
        <f t="shared" si="0"/>
        <v/>
      </c>
      <c r="AO25" s="546"/>
      <c r="AP25" s="546"/>
      <c r="AQ25" s="546"/>
      <c r="AR25" s="546"/>
      <c r="AS25" s="546"/>
      <c r="AT25" s="546"/>
    </row>
    <row r="26" spans="1:46" ht="18" customHeight="1">
      <c r="A26" s="336"/>
      <c r="B26" s="546">
        <f>Calcu!D24</f>
        <v>16</v>
      </c>
      <c r="C26" s="546"/>
      <c r="D26" s="546"/>
      <c r="E26" s="579" t="str">
        <f>Calcu!H24</f>
        <v/>
      </c>
      <c r="F26" s="580"/>
      <c r="G26" s="580"/>
      <c r="H26" s="580"/>
      <c r="I26" s="580"/>
      <c r="J26" s="580"/>
      <c r="K26" s="580"/>
      <c r="L26" s="581" t="str">
        <f>Calcu!I24</f>
        <v/>
      </c>
      <c r="M26" s="544"/>
      <c r="N26" s="544"/>
      <c r="O26" s="544"/>
      <c r="P26" s="544"/>
      <c r="Q26" s="544"/>
      <c r="R26" s="545"/>
      <c r="S26" s="546" t="str">
        <f>Calcu!J24</f>
        <v/>
      </c>
      <c r="T26" s="546"/>
      <c r="U26" s="546"/>
      <c r="V26" s="546"/>
      <c r="W26" s="546"/>
      <c r="X26" s="546"/>
      <c r="Y26" s="546"/>
      <c r="Z26" s="546" t="str">
        <f>Calcu!K24</f>
        <v/>
      </c>
      <c r="AA26" s="546"/>
      <c r="AB26" s="546"/>
      <c r="AC26" s="546"/>
      <c r="AD26" s="546"/>
      <c r="AE26" s="546"/>
      <c r="AF26" s="546"/>
      <c r="AG26" s="546" t="str">
        <f>Calcu!L24</f>
        <v/>
      </c>
      <c r="AH26" s="546"/>
      <c r="AI26" s="546"/>
      <c r="AJ26" s="546"/>
      <c r="AK26" s="546"/>
      <c r="AL26" s="546"/>
      <c r="AM26" s="546"/>
      <c r="AN26" s="546" t="str">
        <f t="shared" si="0"/>
        <v/>
      </c>
      <c r="AO26" s="546"/>
      <c r="AP26" s="546"/>
      <c r="AQ26" s="546"/>
      <c r="AR26" s="546"/>
      <c r="AS26" s="546"/>
      <c r="AT26" s="546"/>
    </row>
    <row r="27" spans="1:46" ht="18" customHeight="1">
      <c r="A27" s="336"/>
      <c r="B27" s="546">
        <f>Calcu!D25</f>
        <v>17</v>
      </c>
      <c r="C27" s="546"/>
      <c r="D27" s="546"/>
      <c r="E27" s="579" t="str">
        <f>Calcu!H25</f>
        <v/>
      </c>
      <c r="F27" s="580"/>
      <c r="G27" s="580"/>
      <c r="H27" s="580"/>
      <c r="I27" s="580"/>
      <c r="J27" s="580"/>
      <c r="K27" s="580"/>
      <c r="L27" s="581" t="str">
        <f>Calcu!I25</f>
        <v/>
      </c>
      <c r="M27" s="544"/>
      <c r="N27" s="544"/>
      <c r="O27" s="544"/>
      <c r="P27" s="544"/>
      <c r="Q27" s="544"/>
      <c r="R27" s="545"/>
      <c r="S27" s="546" t="str">
        <f>Calcu!J25</f>
        <v/>
      </c>
      <c r="T27" s="546"/>
      <c r="U27" s="546"/>
      <c r="V27" s="546"/>
      <c r="W27" s="546"/>
      <c r="X27" s="546"/>
      <c r="Y27" s="546"/>
      <c r="Z27" s="546" t="str">
        <f>Calcu!K25</f>
        <v/>
      </c>
      <c r="AA27" s="546"/>
      <c r="AB27" s="546"/>
      <c r="AC27" s="546"/>
      <c r="AD27" s="546"/>
      <c r="AE27" s="546"/>
      <c r="AF27" s="546"/>
      <c r="AG27" s="546" t="str">
        <f>Calcu!L25</f>
        <v/>
      </c>
      <c r="AH27" s="546"/>
      <c r="AI27" s="546"/>
      <c r="AJ27" s="546"/>
      <c r="AK27" s="546"/>
      <c r="AL27" s="546"/>
      <c r="AM27" s="546"/>
      <c r="AN27" s="546" t="str">
        <f t="shared" si="0"/>
        <v/>
      </c>
      <c r="AO27" s="546"/>
      <c r="AP27" s="546"/>
      <c r="AQ27" s="546"/>
      <c r="AR27" s="546"/>
      <c r="AS27" s="546"/>
      <c r="AT27" s="546"/>
    </row>
    <row r="28" spans="1:46" ht="18" customHeight="1">
      <c r="A28" s="336"/>
      <c r="B28" s="546">
        <f>Calcu!D26</f>
        <v>18</v>
      </c>
      <c r="C28" s="546"/>
      <c r="D28" s="546"/>
      <c r="E28" s="579" t="str">
        <f>Calcu!H26</f>
        <v/>
      </c>
      <c r="F28" s="580"/>
      <c r="G28" s="580"/>
      <c r="H28" s="580"/>
      <c r="I28" s="580"/>
      <c r="J28" s="580"/>
      <c r="K28" s="580"/>
      <c r="L28" s="581" t="str">
        <f>Calcu!I26</f>
        <v/>
      </c>
      <c r="M28" s="544"/>
      <c r="N28" s="544"/>
      <c r="O28" s="544"/>
      <c r="P28" s="544"/>
      <c r="Q28" s="544"/>
      <c r="R28" s="545"/>
      <c r="S28" s="546" t="str">
        <f>Calcu!J26</f>
        <v/>
      </c>
      <c r="T28" s="546"/>
      <c r="U28" s="546"/>
      <c r="V28" s="546"/>
      <c r="W28" s="546"/>
      <c r="X28" s="546"/>
      <c r="Y28" s="546"/>
      <c r="Z28" s="546" t="str">
        <f>Calcu!K26</f>
        <v/>
      </c>
      <c r="AA28" s="546"/>
      <c r="AB28" s="546"/>
      <c r="AC28" s="546"/>
      <c r="AD28" s="546"/>
      <c r="AE28" s="546"/>
      <c r="AF28" s="546"/>
      <c r="AG28" s="546" t="str">
        <f>Calcu!L26</f>
        <v/>
      </c>
      <c r="AH28" s="546"/>
      <c r="AI28" s="546"/>
      <c r="AJ28" s="546"/>
      <c r="AK28" s="546"/>
      <c r="AL28" s="546"/>
      <c r="AM28" s="546"/>
      <c r="AN28" s="546" t="str">
        <f t="shared" si="0"/>
        <v/>
      </c>
      <c r="AO28" s="546"/>
      <c r="AP28" s="546"/>
      <c r="AQ28" s="546"/>
      <c r="AR28" s="546"/>
      <c r="AS28" s="546"/>
      <c r="AT28" s="546"/>
    </row>
    <row r="29" spans="1:46" ht="18" customHeight="1">
      <c r="A29" s="336"/>
      <c r="B29" s="546">
        <f>Calcu!D27</f>
        <v>19</v>
      </c>
      <c r="C29" s="546"/>
      <c r="D29" s="546"/>
      <c r="E29" s="579" t="str">
        <f>Calcu!H27</f>
        <v/>
      </c>
      <c r="F29" s="580"/>
      <c r="G29" s="580"/>
      <c r="H29" s="580"/>
      <c r="I29" s="580"/>
      <c r="J29" s="580"/>
      <c r="K29" s="580"/>
      <c r="L29" s="581" t="str">
        <f>Calcu!I27</f>
        <v/>
      </c>
      <c r="M29" s="544"/>
      <c r="N29" s="544"/>
      <c r="O29" s="544"/>
      <c r="P29" s="544"/>
      <c r="Q29" s="544"/>
      <c r="R29" s="545"/>
      <c r="S29" s="546" t="str">
        <f>Calcu!J27</f>
        <v/>
      </c>
      <c r="T29" s="546"/>
      <c r="U29" s="546"/>
      <c r="V29" s="546"/>
      <c r="W29" s="546"/>
      <c r="X29" s="546"/>
      <c r="Y29" s="546"/>
      <c r="Z29" s="546" t="str">
        <f>Calcu!K27</f>
        <v/>
      </c>
      <c r="AA29" s="546"/>
      <c r="AB29" s="546"/>
      <c r="AC29" s="546"/>
      <c r="AD29" s="546"/>
      <c r="AE29" s="546"/>
      <c r="AF29" s="546"/>
      <c r="AG29" s="546" t="str">
        <f>Calcu!L27</f>
        <v/>
      </c>
      <c r="AH29" s="546"/>
      <c r="AI29" s="546"/>
      <c r="AJ29" s="546"/>
      <c r="AK29" s="546"/>
      <c r="AL29" s="546"/>
      <c r="AM29" s="546"/>
      <c r="AN29" s="546" t="str">
        <f t="shared" si="0"/>
        <v/>
      </c>
      <c r="AO29" s="546"/>
      <c r="AP29" s="546"/>
      <c r="AQ29" s="546"/>
      <c r="AR29" s="546"/>
      <c r="AS29" s="546"/>
      <c r="AT29" s="546"/>
    </row>
    <row r="30" spans="1:46" ht="18" customHeight="1">
      <c r="A30" s="336"/>
      <c r="B30" s="546">
        <f>Calcu!D28</f>
        <v>20</v>
      </c>
      <c r="C30" s="546"/>
      <c r="D30" s="546"/>
      <c r="E30" s="579" t="str">
        <f>Calcu!H28</f>
        <v/>
      </c>
      <c r="F30" s="580"/>
      <c r="G30" s="580"/>
      <c r="H30" s="580"/>
      <c r="I30" s="580"/>
      <c r="J30" s="580"/>
      <c r="K30" s="580"/>
      <c r="L30" s="581" t="str">
        <f>Calcu!I28</f>
        <v/>
      </c>
      <c r="M30" s="544"/>
      <c r="N30" s="544"/>
      <c r="O30" s="544"/>
      <c r="P30" s="544"/>
      <c r="Q30" s="544"/>
      <c r="R30" s="545"/>
      <c r="S30" s="546" t="str">
        <f>Calcu!J28</f>
        <v/>
      </c>
      <c r="T30" s="546"/>
      <c r="U30" s="546"/>
      <c r="V30" s="546"/>
      <c r="W30" s="546"/>
      <c r="X30" s="546"/>
      <c r="Y30" s="546"/>
      <c r="Z30" s="546" t="str">
        <f>Calcu!K28</f>
        <v/>
      </c>
      <c r="AA30" s="546"/>
      <c r="AB30" s="546"/>
      <c r="AC30" s="546"/>
      <c r="AD30" s="546"/>
      <c r="AE30" s="546"/>
      <c r="AF30" s="546"/>
      <c r="AG30" s="546" t="str">
        <f>Calcu!L28</f>
        <v/>
      </c>
      <c r="AH30" s="546"/>
      <c r="AI30" s="546"/>
      <c r="AJ30" s="546"/>
      <c r="AK30" s="546"/>
      <c r="AL30" s="546"/>
      <c r="AM30" s="546"/>
      <c r="AN30" s="546" t="str">
        <f t="shared" si="0"/>
        <v/>
      </c>
      <c r="AO30" s="546"/>
      <c r="AP30" s="546"/>
      <c r="AQ30" s="546"/>
      <c r="AR30" s="546"/>
      <c r="AS30" s="546"/>
      <c r="AT30" s="546"/>
    </row>
    <row r="31" spans="1:46" ht="18" customHeight="1">
      <c r="A31" s="336"/>
      <c r="B31" s="546">
        <f>Calcu!D29</f>
        <v>21</v>
      </c>
      <c r="C31" s="546"/>
      <c r="D31" s="546"/>
      <c r="E31" s="579" t="str">
        <f>Calcu!H29</f>
        <v/>
      </c>
      <c r="F31" s="580"/>
      <c r="G31" s="580"/>
      <c r="H31" s="580"/>
      <c r="I31" s="580"/>
      <c r="J31" s="580"/>
      <c r="K31" s="580"/>
      <c r="L31" s="581" t="str">
        <f>Calcu!I29</f>
        <v/>
      </c>
      <c r="M31" s="544"/>
      <c r="N31" s="544"/>
      <c r="O31" s="544"/>
      <c r="P31" s="544"/>
      <c r="Q31" s="544"/>
      <c r="R31" s="545"/>
      <c r="S31" s="546" t="str">
        <f>Calcu!J29</f>
        <v/>
      </c>
      <c r="T31" s="546"/>
      <c r="U31" s="546"/>
      <c r="V31" s="546"/>
      <c r="W31" s="546"/>
      <c r="X31" s="546"/>
      <c r="Y31" s="546"/>
      <c r="Z31" s="546" t="str">
        <f>Calcu!K29</f>
        <v/>
      </c>
      <c r="AA31" s="546"/>
      <c r="AB31" s="546"/>
      <c r="AC31" s="546"/>
      <c r="AD31" s="546"/>
      <c r="AE31" s="546"/>
      <c r="AF31" s="546"/>
      <c r="AG31" s="546" t="str">
        <f>Calcu!L29</f>
        <v/>
      </c>
      <c r="AH31" s="546"/>
      <c r="AI31" s="546"/>
      <c r="AJ31" s="546"/>
      <c r="AK31" s="546"/>
      <c r="AL31" s="546"/>
      <c r="AM31" s="546"/>
      <c r="AN31" s="546" t="str">
        <f t="shared" si="0"/>
        <v/>
      </c>
      <c r="AO31" s="546"/>
      <c r="AP31" s="546"/>
      <c r="AQ31" s="546"/>
      <c r="AR31" s="546"/>
      <c r="AS31" s="546"/>
      <c r="AT31" s="546"/>
    </row>
    <row r="32" spans="1:46" ht="18" customHeight="1">
      <c r="A32" s="336"/>
      <c r="B32" s="546">
        <f>Calcu!D30</f>
        <v>22</v>
      </c>
      <c r="C32" s="546"/>
      <c r="D32" s="546"/>
      <c r="E32" s="579" t="str">
        <f>Calcu!H30</f>
        <v/>
      </c>
      <c r="F32" s="580"/>
      <c r="G32" s="580"/>
      <c r="H32" s="580"/>
      <c r="I32" s="580"/>
      <c r="J32" s="580"/>
      <c r="K32" s="580"/>
      <c r="L32" s="581" t="str">
        <f>Calcu!I30</f>
        <v/>
      </c>
      <c r="M32" s="544"/>
      <c r="N32" s="544"/>
      <c r="O32" s="544"/>
      <c r="P32" s="544"/>
      <c r="Q32" s="544"/>
      <c r="R32" s="545"/>
      <c r="S32" s="546" t="str">
        <f>Calcu!J30</f>
        <v/>
      </c>
      <c r="T32" s="546"/>
      <c r="U32" s="546"/>
      <c r="V32" s="546"/>
      <c r="W32" s="546"/>
      <c r="X32" s="546"/>
      <c r="Y32" s="546"/>
      <c r="Z32" s="546" t="str">
        <f>Calcu!K30</f>
        <v/>
      </c>
      <c r="AA32" s="546"/>
      <c r="AB32" s="546"/>
      <c r="AC32" s="546"/>
      <c r="AD32" s="546"/>
      <c r="AE32" s="546"/>
      <c r="AF32" s="546"/>
      <c r="AG32" s="546" t="str">
        <f>Calcu!L30</f>
        <v/>
      </c>
      <c r="AH32" s="546"/>
      <c r="AI32" s="546"/>
      <c r="AJ32" s="546"/>
      <c r="AK32" s="546"/>
      <c r="AL32" s="546"/>
      <c r="AM32" s="546"/>
      <c r="AN32" s="546" t="str">
        <f t="shared" si="0"/>
        <v/>
      </c>
      <c r="AO32" s="546"/>
      <c r="AP32" s="546"/>
      <c r="AQ32" s="546"/>
      <c r="AR32" s="546"/>
      <c r="AS32" s="546"/>
      <c r="AT32" s="546"/>
    </row>
    <row r="33" spans="1:46" ht="18" customHeight="1">
      <c r="A33" s="336"/>
      <c r="B33" s="546">
        <f>Calcu!D31</f>
        <v>23</v>
      </c>
      <c r="C33" s="546"/>
      <c r="D33" s="546"/>
      <c r="E33" s="579" t="str">
        <f>Calcu!H31</f>
        <v/>
      </c>
      <c r="F33" s="580"/>
      <c r="G33" s="580"/>
      <c r="H33" s="580"/>
      <c r="I33" s="580"/>
      <c r="J33" s="580"/>
      <c r="K33" s="580"/>
      <c r="L33" s="581" t="str">
        <f>Calcu!I31</f>
        <v/>
      </c>
      <c r="M33" s="544"/>
      <c r="N33" s="544"/>
      <c r="O33" s="544"/>
      <c r="P33" s="544"/>
      <c r="Q33" s="544"/>
      <c r="R33" s="545"/>
      <c r="S33" s="546" t="str">
        <f>Calcu!J31</f>
        <v/>
      </c>
      <c r="T33" s="546"/>
      <c r="U33" s="546"/>
      <c r="V33" s="546"/>
      <c r="W33" s="546"/>
      <c r="X33" s="546"/>
      <c r="Y33" s="546"/>
      <c r="Z33" s="546" t="str">
        <f>Calcu!K31</f>
        <v/>
      </c>
      <c r="AA33" s="546"/>
      <c r="AB33" s="546"/>
      <c r="AC33" s="546"/>
      <c r="AD33" s="546"/>
      <c r="AE33" s="546"/>
      <c r="AF33" s="546"/>
      <c r="AG33" s="546" t="str">
        <f>Calcu!L31</f>
        <v/>
      </c>
      <c r="AH33" s="546"/>
      <c r="AI33" s="546"/>
      <c r="AJ33" s="546"/>
      <c r="AK33" s="546"/>
      <c r="AL33" s="546"/>
      <c r="AM33" s="546"/>
      <c r="AN33" s="546" t="str">
        <f t="shared" si="0"/>
        <v/>
      </c>
      <c r="AO33" s="546"/>
      <c r="AP33" s="546"/>
      <c r="AQ33" s="546"/>
      <c r="AR33" s="546"/>
      <c r="AS33" s="546"/>
      <c r="AT33" s="546"/>
    </row>
    <row r="34" spans="1:46" ht="18" customHeight="1">
      <c r="A34" s="336"/>
      <c r="B34" s="546">
        <f>Calcu!D32</f>
        <v>24</v>
      </c>
      <c r="C34" s="546"/>
      <c r="D34" s="546"/>
      <c r="E34" s="579" t="str">
        <f>Calcu!H32</f>
        <v/>
      </c>
      <c r="F34" s="580"/>
      <c r="G34" s="580"/>
      <c r="H34" s="580"/>
      <c r="I34" s="580"/>
      <c r="J34" s="580"/>
      <c r="K34" s="580"/>
      <c r="L34" s="581" t="str">
        <f>Calcu!I32</f>
        <v/>
      </c>
      <c r="M34" s="544"/>
      <c r="N34" s="544"/>
      <c r="O34" s="544"/>
      <c r="P34" s="544"/>
      <c r="Q34" s="544"/>
      <c r="R34" s="545"/>
      <c r="S34" s="546" t="str">
        <f>Calcu!J32</f>
        <v/>
      </c>
      <c r="T34" s="546"/>
      <c r="U34" s="546"/>
      <c r="V34" s="546"/>
      <c r="W34" s="546"/>
      <c r="X34" s="546"/>
      <c r="Y34" s="546"/>
      <c r="Z34" s="546" t="str">
        <f>Calcu!K32</f>
        <v/>
      </c>
      <c r="AA34" s="546"/>
      <c r="AB34" s="546"/>
      <c r="AC34" s="546"/>
      <c r="AD34" s="546"/>
      <c r="AE34" s="546"/>
      <c r="AF34" s="546"/>
      <c r="AG34" s="546" t="str">
        <f>Calcu!L32</f>
        <v/>
      </c>
      <c r="AH34" s="546"/>
      <c r="AI34" s="546"/>
      <c r="AJ34" s="546"/>
      <c r="AK34" s="546"/>
      <c r="AL34" s="546"/>
      <c r="AM34" s="546"/>
      <c r="AN34" s="546" t="str">
        <f t="shared" si="0"/>
        <v/>
      </c>
      <c r="AO34" s="546"/>
      <c r="AP34" s="546"/>
      <c r="AQ34" s="546"/>
      <c r="AR34" s="546"/>
      <c r="AS34" s="546"/>
      <c r="AT34" s="546"/>
    </row>
    <row r="35" spans="1:46" ht="18" customHeight="1">
      <c r="A35" s="336"/>
      <c r="B35" s="546">
        <f>Calcu!D33</f>
        <v>25</v>
      </c>
      <c r="C35" s="546"/>
      <c r="D35" s="546"/>
      <c r="E35" s="579" t="str">
        <f>Calcu!H33</f>
        <v/>
      </c>
      <c r="F35" s="580"/>
      <c r="G35" s="580"/>
      <c r="H35" s="580"/>
      <c r="I35" s="580"/>
      <c r="J35" s="580"/>
      <c r="K35" s="580"/>
      <c r="L35" s="581" t="str">
        <f>Calcu!I33</f>
        <v/>
      </c>
      <c r="M35" s="544"/>
      <c r="N35" s="544"/>
      <c r="O35" s="544"/>
      <c r="P35" s="544"/>
      <c r="Q35" s="544"/>
      <c r="R35" s="545"/>
      <c r="S35" s="546" t="str">
        <f>Calcu!J33</f>
        <v/>
      </c>
      <c r="T35" s="546"/>
      <c r="U35" s="546"/>
      <c r="V35" s="546"/>
      <c r="W35" s="546"/>
      <c r="X35" s="546"/>
      <c r="Y35" s="546"/>
      <c r="Z35" s="546" t="str">
        <f>Calcu!K33</f>
        <v/>
      </c>
      <c r="AA35" s="546"/>
      <c r="AB35" s="546"/>
      <c r="AC35" s="546"/>
      <c r="AD35" s="546"/>
      <c r="AE35" s="546"/>
      <c r="AF35" s="546"/>
      <c r="AG35" s="546" t="str">
        <f>Calcu!L33</f>
        <v/>
      </c>
      <c r="AH35" s="546"/>
      <c r="AI35" s="546"/>
      <c r="AJ35" s="546"/>
      <c r="AK35" s="546"/>
      <c r="AL35" s="546"/>
      <c r="AM35" s="546"/>
      <c r="AN35" s="546" t="str">
        <f t="shared" si="0"/>
        <v/>
      </c>
      <c r="AO35" s="546"/>
      <c r="AP35" s="546"/>
      <c r="AQ35" s="546"/>
      <c r="AR35" s="546"/>
      <c r="AS35" s="546"/>
      <c r="AT35" s="546"/>
    </row>
    <row r="36" spans="1:46" ht="18" customHeight="1">
      <c r="A36" s="336"/>
      <c r="B36" s="546">
        <f>Calcu!D34</f>
        <v>26</v>
      </c>
      <c r="C36" s="546"/>
      <c r="D36" s="546"/>
      <c r="E36" s="579" t="str">
        <f>Calcu!H34</f>
        <v/>
      </c>
      <c r="F36" s="580"/>
      <c r="G36" s="580"/>
      <c r="H36" s="580"/>
      <c r="I36" s="580"/>
      <c r="J36" s="580"/>
      <c r="K36" s="580"/>
      <c r="L36" s="581" t="str">
        <f>Calcu!I34</f>
        <v/>
      </c>
      <c r="M36" s="544"/>
      <c r="N36" s="544"/>
      <c r="O36" s="544"/>
      <c r="P36" s="544"/>
      <c r="Q36" s="544"/>
      <c r="R36" s="545"/>
      <c r="S36" s="546" t="str">
        <f>Calcu!J34</f>
        <v/>
      </c>
      <c r="T36" s="546"/>
      <c r="U36" s="546"/>
      <c r="V36" s="546"/>
      <c r="W36" s="546"/>
      <c r="X36" s="546"/>
      <c r="Y36" s="546"/>
      <c r="Z36" s="546" t="str">
        <f>Calcu!K34</f>
        <v/>
      </c>
      <c r="AA36" s="546"/>
      <c r="AB36" s="546"/>
      <c r="AC36" s="546"/>
      <c r="AD36" s="546"/>
      <c r="AE36" s="546"/>
      <c r="AF36" s="546"/>
      <c r="AG36" s="546" t="str">
        <f>Calcu!L34</f>
        <v/>
      </c>
      <c r="AH36" s="546"/>
      <c r="AI36" s="546"/>
      <c r="AJ36" s="546"/>
      <c r="AK36" s="546"/>
      <c r="AL36" s="546"/>
      <c r="AM36" s="546"/>
      <c r="AN36" s="546" t="str">
        <f t="shared" si="0"/>
        <v/>
      </c>
      <c r="AO36" s="546"/>
      <c r="AP36" s="546"/>
      <c r="AQ36" s="546"/>
      <c r="AR36" s="546"/>
      <c r="AS36" s="546"/>
      <c r="AT36" s="546"/>
    </row>
    <row r="37" spans="1:46" ht="18" customHeight="1">
      <c r="A37" s="336"/>
      <c r="B37" s="546">
        <f>Calcu!D35</f>
        <v>27</v>
      </c>
      <c r="C37" s="546"/>
      <c r="D37" s="546"/>
      <c r="E37" s="579" t="str">
        <f>Calcu!H35</f>
        <v/>
      </c>
      <c r="F37" s="580"/>
      <c r="G37" s="580"/>
      <c r="H37" s="580"/>
      <c r="I37" s="580"/>
      <c r="J37" s="580"/>
      <c r="K37" s="580"/>
      <c r="L37" s="581" t="str">
        <f>Calcu!I35</f>
        <v/>
      </c>
      <c r="M37" s="544"/>
      <c r="N37" s="544"/>
      <c r="O37" s="544"/>
      <c r="P37" s="544"/>
      <c r="Q37" s="544"/>
      <c r="R37" s="545"/>
      <c r="S37" s="546" t="str">
        <f>Calcu!J35</f>
        <v/>
      </c>
      <c r="T37" s="546"/>
      <c r="U37" s="546"/>
      <c r="V37" s="546"/>
      <c r="W37" s="546"/>
      <c r="X37" s="546"/>
      <c r="Y37" s="546"/>
      <c r="Z37" s="546" t="str">
        <f>Calcu!K35</f>
        <v/>
      </c>
      <c r="AA37" s="546"/>
      <c r="AB37" s="546"/>
      <c r="AC37" s="546"/>
      <c r="AD37" s="546"/>
      <c r="AE37" s="546"/>
      <c r="AF37" s="546"/>
      <c r="AG37" s="546" t="str">
        <f>Calcu!L35</f>
        <v/>
      </c>
      <c r="AH37" s="546"/>
      <c r="AI37" s="546"/>
      <c r="AJ37" s="546"/>
      <c r="AK37" s="546"/>
      <c r="AL37" s="546"/>
      <c r="AM37" s="546"/>
      <c r="AN37" s="546" t="str">
        <f t="shared" si="0"/>
        <v/>
      </c>
      <c r="AO37" s="546"/>
      <c r="AP37" s="546"/>
      <c r="AQ37" s="546"/>
      <c r="AR37" s="546"/>
      <c r="AS37" s="546"/>
      <c r="AT37" s="546"/>
    </row>
    <row r="38" spans="1:46" ht="18" customHeight="1">
      <c r="A38" s="336"/>
      <c r="B38" s="546">
        <f>Calcu!D36</f>
        <v>28</v>
      </c>
      <c r="C38" s="546"/>
      <c r="D38" s="546"/>
      <c r="E38" s="579" t="str">
        <f>Calcu!H36</f>
        <v/>
      </c>
      <c r="F38" s="580"/>
      <c r="G38" s="580"/>
      <c r="H38" s="580"/>
      <c r="I38" s="580"/>
      <c r="J38" s="580"/>
      <c r="K38" s="580"/>
      <c r="L38" s="581" t="str">
        <f>Calcu!I36</f>
        <v/>
      </c>
      <c r="M38" s="544"/>
      <c r="N38" s="544"/>
      <c r="O38" s="544"/>
      <c r="P38" s="544"/>
      <c r="Q38" s="544"/>
      <c r="R38" s="545"/>
      <c r="S38" s="546" t="str">
        <f>Calcu!J36</f>
        <v/>
      </c>
      <c r="T38" s="546"/>
      <c r="U38" s="546"/>
      <c r="V38" s="546"/>
      <c r="W38" s="546"/>
      <c r="X38" s="546"/>
      <c r="Y38" s="546"/>
      <c r="Z38" s="546" t="str">
        <f>Calcu!K36</f>
        <v/>
      </c>
      <c r="AA38" s="546"/>
      <c r="AB38" s="546"/>
      <c r="AC38" s="546"/>
      <c r="AD38" s="546"/>
      <c r="AE38" s="546"/>
      <c r="AF38" s="546"/>
      <c r="AG38" s="546" t="str">
        <f>Calcu!L36</f>
        <v/>
      </c>
      <c r="AH38" s="546"/>
      <c r="AI38" s="546"/>
      <c r="AJ38" s="546"/>
      <c r="AK38" s="546"/>
      <c r="AL38" s="546"/>
      <c r="AM38" s="546"/>
      <c r="AN38" s="546" t="str">
        <f t="shared" si="0"/>
        <v/>
      </c>
      <c r="AO38" s="546"/>
      <c r="AP38" s="546"/>
      <c r="AQ38" s="546"/>
      <c r="AR38" s="546"/>
      <c r="AS38" s="546"/>
      <c r="AT38" s="546"/>
    </row>
    <row r="39" spans="1:46" ht="18" customHeight="1">
      <c r="A39" s="336"/>
      <c r="B39" s="546">
        <f>Calcu!D37</f>
        <v>29</v>
      </c>
      <c r="C39" s="546"/>
      <c r="D39" s="546"/>
      <c r="E39" s="579" t="str">
        <f>Calcu!H37</f>
        <v/>
      </c>
      <c r="F39" s="580"/>
      <c r="G39" s="580"/>
      <c r="H39" s="580"/>
      <c r="I39" s="580"/>
      <c r="J39" s="580"/>
      <c r="K39" s="580"/>
      <c r="L39" s="581" t="str">
        <f>Calcu!I37</f>
        <v/>
      </c>
      <c r="M39" s="544"/>
      <c r="N39" s="544"/>
      <c r="O39" s="544"/>
      <c r="P39" s="544"/>
      <c r="Q39" s="544"/>
      <c r="R39" s="545"/>
      <c r="S39" s="546" t="str">
        <f>Calcu!J37</f>
        <v/>
      </c>
      <c r="T39" s="546"/>
      <c r="U39" s="546"/>
      <c r="V39" s="546"/>
      <c r="W39" s="546"/>
      <c r="X39" s="546"/>
      <c r="Y39" s="546"/>
      <c r="Z39" s="546" t="str">
        <f>Calcu!K37</f>
        <v/>
      </c>
      <c r="AA39" s="546"/>
      <c r="AB39" s="546"/>
      <c r="AC39" s="546"/>
      <c r="AD39" s="546"/>
      <c r="AE39" s="546"/>
      <c r="AF39" s="546"/>
      <c r="AG39" s="546" t="str">
        <f>Calcu!L37</f>
        <v/>
      </c>
      <c r="AH39" s="546"/>
      <c r="AI39" s="546"/>
      <c r="AJ39" s="546"/>
      <c r="AK39" s="546"/>
      <c r="AL39" s="546"/>
      <c r="AM39" s="546"/>
      <c r="AN39" s="546" t="str">
        <f t="shared" si="0"/>
        <v/>
      </c>
      <c r="AO39" s="546"/>
      <c r="AP39" s="546"/>
      <c r="AQ39" s="546"/>
      <c r="AR39" s="546"/>
      <c r="AS39" s="546"/>
      <c r="AT39" s="546"/>
    </row>
    <row r="40" spans="1:46" ht="18" customHeight="1">
      <c r="A40" s="336"/>
      <c r="B40" s="549">
        <f>Calcu!D38</f>
        <v>30</v>
      </c>
      <c r="C40" s="549"/>
      <c r="D40" s="549"/>
      <c r="E40" s="599" t="str">
        <f>Calcu!H38</f>
        <v/>
      </c>
      <c r="F40" s="600"/>
      <c r="G40" s="600"/>
      <c r="H40" s="600"/>
      <c r="I40" s="600"/>
      <c r="J40" s="600"/>
      <c r="K40" s="600"/>
      <c r="L40" s="623" t="str">
        <f>Calcu!I38</f>
        <v/>
      </c>
      <c r="M40" s="624"/>
      <c r="N40" s="624"/>
      <c r="O40" s="624"/>
      <c r="P40" s="624"/>
      <c r="Q40" s="624"/>
      <c r="R40" s="625"/>
      <c r="S40" s="549" t="str">
        <f>Calcu!J38</f>
        <v/>
      </c>
      <c r="T40" s="549"/>
      <c r="U40" s="549"/>
      <c r="V40" s="549"/>
      <c r="W40" s="549"/>
      <c r="X40" s="549"/>
      <c r="Y40" s="549"/>
      <c r="Z40" s="549" t="str">
        <f>Calcu!K38</f>
        <v/>
      </c>
      <c r="AA40" s="549"/>
      <c r="AB40" s="549"/>
      <c r="AC40" s="549"/>
      <c r="AD40" s="549"/>
      <c r="AE40" s="549"/>
      <c r="AF40" s="549"/>
      <c r="AG40" s="549" t="str">
        <f>Calcu!L38</f>
        <v/>
      </c>
      <c r="AH40" s="549"/>
      <c r="AI40" s="549"/>
      <c r="AJ40" s="549"/>
      <c r="AK40" s="549"/>
      <c r="AL40" s="549"/>
      <c r="AM40" s="549"/>
      <c r="AN40" s="549" t="str">
        <f t="shared" si="0"/>
        <v/>
      </c>
      <c r="AO40" s="549"/>
      <c r="AP40" s="549"/>
      <c r="AQ40" s="549"/>
      <c r="AR40" s="549"/>
      <c r="AS40" s="549"/>
      <c r="AT40" s="549"/>
    </row>
    <row r="41" spans="1:46" s="336" customFormat="1" ht="18" customHeight="1">
      <c r="B41" s="233"/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H41" s="233"/>
      <c r="AI41" s="233"/>
      <c r="AJ41" s="233"/>
      <c r="AK41" s="233"/>
      <c r="AL41" s="233"/>
      <c r="AM41" s="233"/>
      <c r="AN41" s="233"/>
      <c r="AO41" s="233"/>
      <c r="AP41" s="233"/>
      <c r="AQ41" s="233"/>
      <c r="AR41" s="80"/>
      <c r="AS41" s="80"/>
    </row>
    <row r="42" spans="1:46" s="83" customFormat="1" ht="18.75" customHeight="1">
      <c r="A42" s="90" t="s">
        <v>572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</row>
    <row r="43" spans="1:46" s="83" customFormat="1" ht="18.75" customHeight="1">
      <c r="A43" s="114"/>
      <c r="B43" s="626" t="s">
        <v>573</v>
      </c>
      <c r="C43" s="627"/>
      <c r="D43" s="628"/>
      <c r="E43" s="635" t="s">
        <v>574</v>
      </c>
      <c r="F43" s="636"/>
      <c r="G43" s="636"/>
      <c r="H43" s="636"/>
      <c r="I43" s="636"/>
      <c r="J43" s="636"/>
      <c r="K43" s="636"/>
      <c r="L43" s="636"/>
      <c r="M43" s="636"/>
      <c r="N43" s="636"/>
      <c r="O43" s="636"/>
      <c r="P43" s="636"/>
      <c r="Q43" s="636"/>
      <c r="R43" s="637"/>
      <c r="S43" s="638" t="s">
        <v>575</v>
      </c>
      <c r="T43" s="639"/>
      <c r="U43" s="639"/>
      <c r="V43" s="639"/>
      <c r="W43" s="639"/>
      <c r="X43" s="639"/>
      <c r="Y43" s="639"/>
      <c r="Z43" s="639"/>
      <c r="AA43" s="639"/>
      <c r="AB43" s="639"/>
      <c r="AC43" s="639"/>
      <c r="AD43" s="639"/>
      <c r="AE43" s="639"/>
      <c r="AF43" s="639"/>
      <c r="AG43" s="639"/>
      <c r="AH43" s="639"/>
      <c r="AI43" s="639"/>
      <c r="AJ43" s="639"/>
      <c r="AK43" s="639"/>
      <c r="AL43" s="639"/>
      <c r="AM43" s="639"/>
      <c r="AN43" s="639"/>
      <c r="AO43" s="639"/>
      <c r="AP43" s="639"/>
      <c r="AQ43" s="639"/>
      <c r="AR43" s="639"/>
      <c r="AS43" s="639"/>
      <c r="AT43" s="640"/>
    </row>
    <row r="44" spans="1:46" s="83" customFormat="1" ht="18.75" customHeight="1">
      <c r="A44" s="114"/>
      <c r="B44" s="629"/>
      <c r="C44" s="630"/>
      <c r="D44" s="631"/>
      <c r="E44" s="626" t="s">
        <v>577</v>
      </c>
      <c r="F44" s="641"/>
      <c r="G44" s="641"/>
      <c r="H44" s="641"/>
      <c r="I44" s="641"/>
      <c r="J44" s="641"/>
      <c r="K44" s="642"/>
      <c r="L44" s="646" t="s">
        <v>578</v>
      </c>
      <c r="M44" s="647"/>
      <c r="N44" s="647"/>
      <c r="O44" s="647"/>
      <c r="P44" s="647"/>
      <c r="Q44" s="647"/>
      <c r="R44" s="648"/>
      <c r="S44" s="652" t="s">
        <v>579</v>
      </c>
      <c r="T44" s="647"/>
      <c r="U44" s="647"/>
      <c r="V44" s="647"/>
      <c r="W44" s="647"/>
      <c r="X44" s="647"/>
      <c r="Y44" s="648"/>
      <c r="Z44" s="652" t="s">
        <v>580</v>
      </c>
      <c r="AA44" s="647"/>
      <c r="AB44" s="647"/>
      <c r="AC44" s="647"/>
      <c r="AD44" s="647"/>
      <c r="AE44" s="647"/>
      <c r="AF44" s="648"/>
      <c r="AG44" s="652" t="s">
        <v>581</v>
      </c>
      <c r="AH44" s="647"/>
      <c r="AI44" s="647"/>
      <c r="AJ44" s="647"/>
      <c r="AK44" s="647"/>
      <c r="AL44" s="647"/>
      <c r="AM44" s="648"/>
      <c r="AN44" s="646" t="s">
        <v>582</v>
      </c>
      <c r="AO44" s="653"/>
      <c r="AP44" s="653"/>
      <c r="AQ44" s="653"/>
      <c r="AR44" s="653"/>
      <c r="AS44" s="653"/>
      <c r="AT44" s="654"/>
    </row>
    <row r="45" spans="1:46" s="83" customFormat="1" ht="18.75" customHeight="1">
      <c r="A45" s="114"/>
      <c r="B45" s="629"/>
      <c r="C45" s="630"/>
      <c r="D45" s="631"/>
      <c r="E45" s="643"/>
      <c r="F45" s="644"/>
      <c r="G45" s="644"/>
      <c r="H45" s="644"/>
      <c r="I45" s="644"/>
      <c r="J45" s="644"/>
      <c r="K45" s="645"/>
      <c r="L45" s="649"/>
      <c r="M45" s="650"/>
      <c r="N45" s="650"/>
      <c r="O45" s="650"/>
      <c r="P45" s="650"/>
      <c r="Q45" s="650"/>
      <c r="R45" s="651"/>
      <c r="S45" s="649"/>
      <c r="T45" s="650"/>
      <c r="U45" s="650"/>
      <c r="V45" s="650"/>
      <c r="W45" s="650"/>
      <c r="X45" s="650"/>
      <c r="Y45" s="651"/>
      <c r="Z45" s="649"/>
      <c r="AA45" s="650"/>
      <c r="AB45" s="650"/>
      <c r="AC45" s="650"/>
      <c r="AD45" s="650"/>
      <c r="AE45" s="650"/>
      <c r="AF45" s="651"/>
      <c r="AG45" s="649"/>
      <c r="AH45" s="650"/>
      <c r="AI45" s="650"/>
      <c r="AJ45" s="650"/>
      <c r="AK45" s="650"/>
      <c r="AL45" s="650"/>
      <c r="AM45" s="651"/>
      <c r="AN45" s="655"/>
      <c r="AO45" s="656"/>
      <c r="AP45" s="656"/>
      <c r="AQ45" s="656"/>
      <c r="AR45" s="656"/>
      <c r="AS45" s="656"/>
      <c r="AT45" s="657"/>
    </row>
    <row r="46" spans="1:46" s="83" customFormat="1" ht="18.75" customHeight="1">
      <c r="A46" s="114"/>
      <c r="B46" s="632"/>
      <c r="C46" s="633"/>
      <c r="D46" s="634"/>
      <c r="E46" s="658">
        <f t="shared" ref="E46:E76" si="1">E10</f>
        <v>0</v>
      </c>
      <c r="F46" s="636"/>
      <c r="G46" s="636"/>
      <c r="H46" s="636"/>
      <c r="I46" s="636"/>
      <c r="J46" s="636"/>
      <c r="K46" s="637"/>
      <c r="L46" s="659">
        <f t="shared" ref="L46:L76" si="2">L10</f>
        <v>0</v>
      </c>
      <c r="M46" s="639"/>
      <c r="N46" s="639"/>
      <c r="O46" s="639"/>
      <c r="P46" s="639"/>
      <c r="Q46" s="639"/>
      <c r="R46" s="640"/>
      <c r="S46" s="638">
        <f>S10</f>
        <v>0</v>
      </c>
      <c r="T46" s="639"/>
      <c r="U46" s="639"/>
      <c r="V46" s="639"/>
      <c r="W46" s="639"/>
      <c r="X46" s="639"/>
      <c r="Y46" s="640"/>
      <c r="Z46" s="638">
        <f>Z10</f>
        <v>0</v>
      </c>
      <c r="AA46" s="639"/>
      <c r="AB46" s="639"/>
      <c r="AC46" s="639"/>
      <c r="AD46" s="639"/>
      <c r="AE46" s="639"/>
      <c r="AF46" s="640"/>
      <c r="AG46" s="638">
        <f>AG10</f>
        <v>0</v>
      </c>
      <c r="AH46" s="639"/>
      <c r="AI46" s="639"/>
      <c r="AJ46" s="639"/>
      <c r="AK46" s="639"/>
      <c r="AL46" s="639"/>
      <c r="AM46" s="640"/>
      <c r="AN46" s="660">
        <f>AN10</f>
        <v>0</v>
      </c>
      <c r="AO46" s="661"/>
      <c r="AP46" s="661"/>
      <c r="AQ46" s="661"/>
      <c r="AR46" s="661"/>
      <c r="AS46" s="661"/>
      <c r="AT46" s="662"/>
    </row>
    <row r="47" spans="1:46" s="83" customFormat="1" ht="18.75" customHeight="1">
      <c r="A47" s="114"/>
      <c r="B47" s="535">
        <f>B11</f>
        <v>1</v>
      </c>
      <c r="C47" s="535"/>
      <c r="D47" s="535"/>
      <c r="E47" s="547" t="str">
        <f t="shared" si="1"/>
        <v/>
      </c>
      <c r="F47" s="548"/>
      <c r="G47" s="548"/>
      <c r="H47" s="548"/>
      <c r="I47" s="548"/>
      <c r="J47" s="548"/>
      <c r="K47" s="548"/>
      <c r="L47" s="543" t="str">
        <f t="shared" si="2"/>
        <v/>
      </c>
      <c r="M47" s="544"/>
      <c r="N47" s="544"/>
      <c r="O47" s="544"/>
      <c r="P47" s="544"/>
      <c r="Q47" s="544"/>
      <c r="R47" s="545"/>
      <c r="S47" s="522" t="str">
        <f ca="1">IF($L47="","",S11-IF($B47&lt;=$AL$5,S$11,OFFSET(S$10,$AL$5*2,0)))</f>
        <v/>
      </c>
      <c r="T47" s="522"/>
      <c r="U47" s="522"/>
      <c r="V47" s="522"/>
      <c r="W47" s="522"/>
      <c r="X47" s="522"/>
      <c r="Y47" s="522"/>
      <c r="Z47" s="523" t="str">
        <f t="shared" ref="Z47:Z76" ca="1" si="3">IF(OR($L47="",Z11="ⅹ"),"",Z11-IF($B47&lt;=$AL$5,$S$11,OFFSET($S$10,$AL$5*2,0)))</f>
        <v/>
      </c>
      <c r="AA47" s="524"/>
      <c r="AB47" s="524"/>
      <c r="AC47" s="524"/>
      <c r="AD47" s="524"/>
      <c r="AE47" s="524"/>
      <c r="AF47" s="525"/>
      <c r="AG47" s="523" t="str">
        <f t="shared" ref="AG47:AG76" ca="1" si="4">IF(OR($L47="",AG11="ⅹ"),"",AG11-IF($B47&lt;=$AL$5,$S$11,OFFSET($S$10,$AL$5*2,0)))</f>
        <v/>
      </c>
      <c r="AH47" s="524"/>
      <c r="AI47" s="524"/>
      <c r="AJ47" s="524"/>
      <c r="AK47" s="524"/>
      <c r="AL47" s="524"/>
      <c r="AM47" s="525"/>
      <c r="AN47" s="523" t="str">
        <f ca="1">IF(Z47="","",MAX(ABS(Z47-S47),ABS(AG47-S47),ABS(AG47-Z47)))</f>
        <v/>
      </c>
      <c r="AO47" s="524"/>
      <c r="AP47" s="524"/>
      <c r="AQ47" s="524"/>
      <c r="AR47" s="524"/>
      <c r="AS47" s="524"/>
      <c r="AT47" s="525"/>
    </row>
    <row r="48" spans="1:46" s="83" customFormat="1" ht="18.75" customHeight="1">
      <c r="A48" s="114"/>
      <c r="B48" s="546">
        <f t="shared" ref="B48:B76" si="5">B12</f>
        <v>2</v>
      </c>
      <c r="C48" s="546"/>
      <c r="D48" s="546"/>
      <c r="E48" s="547" t="str">
        <f t="shared" si="1"/>
        <v/>
      </c>
      <c r="F48" s="548"/>
      <c r="G48" s="548"/>
      <c r="H48" s="548"/>
      <c r="I48" s="548"/>
      <c r="J48" s="548"/>
      <c r="K48" s="548"/>
      <c r="L48" s="543" t="str">
        <f t="shared" si="2"/>
        <v/>
      </c>
      <c r="M48" s="544"/>
      <c r="N48" s="544"/>
      <c r="O48" s="544"/>
      <c r="P48" s="544"/>
      <c r="Q48" s="544"/>
      <c r="R48" s="545"/>
      <c r="S48" s="522" t="str">
        <f t="shared" ref="S48:S76" ca="1" si="6">IF(L48="","",S12-IF(B48&lt;=AL$5,S$11,OFFSET(S$10,AL$5*2,0)))</f>
        <v/>
      </c>
      <c r="T48" s="522"/>
      <c r="U48" s="522"/>
      <c r="V48" s="522"/>
      <c r="W48" s="522"/>
      <c r="X48" s="522"/>
      <c r="Y48" s="522"/>
      <c r="Z48" s="523" t="str">
        <f t="shared" ca="1" si="3"/>
        <v/>
      </c>
      <c r="AA48" s="524"/>
      <c r="AB48" s="524"/>
      <c r="AC48" s="524"/>
      <c r="AD48" s="524"/>
      <c r="AE48" s="524"/>
      <c r="AF48" s="525"/>
      <c r="AG48" s="523" t="str">
        <f t="shared" ca="1" si="4"/>
        <v/>
      </c>
      <c r="AH48" s="524"/>
      <c r="AI48" s="524"/>
      <c r="AJ48" s="524"/>
      <c r="AK48" s="524"/>
      <c r="AL48" s="524"/>
      <c r="AM48" s="525"/>
      <c r="AN48" s="523" t="str">
        <f t="shared" ref="AN48:AN76" ca="1" si="7">IF(Z48="","",MAX(ABS(Z48-S48),ABS(AG48-S48),ABS(AG48-Z48)))</f>
        <v/>
      </c>
      <c r="AO48" s="524"/>
      <c r="AP48" s="524"/>
      <c r="AQ48" s="524"/>
      <c r="AR48" s="524"/>
      <c r="AS48" s="524"/>
      <c r="AT48" s="525"/>
    </row>
    <row r="49" spans="1:46" s="83" customFormat="1" ht="18.75" customHeight="1">
      <c r="A49" s="114"/>
      <c r="B49" s="546">
        <f t="shared" si="5"/>
        <v>3</v>
      </c>
      <c r="C49" s="546"/>
      <c r="D49" s="546"/>
      <c r="E49" s="547" t="str">
        <f t="shared" si="1"/>
        <v/>
      </c>
      <c r="F49" s="548"/>
      <c r="G49" s="548"/>
      <c r="H49" s="548"/>
      <c r="I49" s="548"/>
      <c r="J49" s="548"/>
      <c r="K49" s="548"/>
      <c r="L49" s="543" t="str">
        <f t="shared" si="2"/>
        <v/>
      </c>
      <c r="M49" s="544"/>
      <c r="N49" s="544"/>
      <c r="O49" s="544"/>
      <c r="P49" s="544"/>
      <c r="Q49" s="544"/>
      <c r="R49" s="545"/>
      <c r="S49" s="522" t="str">
        <f t="shared" ca="1" si="6"/>
        <v/>
      </c>
      <c r="T49" s="522"/>
      <c r="U49" s="522"/>
      <c r="V49" s="522"/>
      <c r="W49" s="522"/>
      <c r="X49" s="522"/>
      <c r="Y49" s="522"/>
      <c r="Z49" s="523" t="str">
        <f t="shared" ca="1" si="3"/>
        <v/>
      </c>
      <c r="AA49" s="524"/>
      <c r="AB49" s="524"/>
      <c r="AC49" s="524"/>
      <c r="AD49" s="524"/>
      <c r="AE49" s="524"/>
      <c r="AF49" s="525"/>
      <c r="AG49" s="523" t="str">
        <f t="shared" ca="1" si="4"/>
        <v/>
      </c>
      <c r="AH49" s="524"/>
      <c r="AI49" s="524"/>
      <c r="AJ49" s="524"/>
      <c r="AK49" s="524"/>
      <c r="AL49" s="524"/>
      <c r="AM49" s="525"/>
      <c r="AN49" s="523" t="str">
        <f t="shared" ca="1" si="7"/>
        <v/>
      </c>
      <c r="AO49" s="524"/>
      <c r="AP49" s="524"/>
      <c r="AQ49" s="524"/>
      <c r="AR49" s="524"/>
      <c r="AS49" s="524"/>
      <c r="AT49" s="525"/>
    </row>
    <row r="50" spans="1:46" s="83" customFormat="1" ht="18.75" customHeight="1">
      <c r="A50" s="114"/>
      <c r="B50" s="546">
        <f t="shared" si="5"/>
        <v>4</v>
      </c>
      <c r="C50" s="546"/>
      <c r="D50" s="546"/>
      <c r="E50" s="547" t="str">
        <f t="shared" si="1"/>
        <v/>
      </c>
      <c r="F50" s="548"/>
      <c r="G50" s="548"/>
      <c r="H50" s="548"/>
      <c r="I50" s="548"/>
      <c r="J50" s="548"/>
      <c r="K50" s="548"/>
      <c r="L50" s="543" t="str">
        <f t="shared" si="2"/>
        <v/>
      </c>
      <c r="M50" s="544"/>
      <c r="N50" s="544"/>
      <c r="O50" s="544"/>
      <c r="P50" s="544"/>
      <c r="Q50" s="544"/>
      <c r="R50" s="545"/>
      <c r="S50" s="522" t="str">
        <f t="shared" ca="1" si="6"/>
        <v/>
      </c>
      <c r="T50" s="522"/>
      <c r="U50" s="522"/>
      <c r="V50" s="522"/>
      <c r="W50" s="522"/>
      <c r="X50" s="522"/>
      <c r="Y50" s="522"/>
      <c r="Z50" s="523" t="str">
        <f t="shared" ca="1" si="3"/>
        <v/>
      </c>
      <c r="AA50" s="524"/>
      <c r="AB50" s="524"/>
      <c r="AC50" s="524"/>
      <c r="AD50" s="524"/>
      <c r="AE50" s="524"/>
      <c r="AF50" s="525"/>
      <c r="AG50" s="523" t="str">
        <f t="shared" ca="1" si="4"/>
        <v/>
      </c>
      <c r="AH50" s="524"/>
      <c r="AI50" s="524"/>
      <c r="AJ50" s="524"/>
      <c r="AK50" s="524"/>
      <c r="AL50" s="524"/>
      <c r="AM50" s="525"/>
      <c r="AN50" s="523" t="str">
        <f t="shared" ca="1" si="7"/>
        <v/>
      </c>
      <c r="AO50" s="524"/>
      <c r="AP50" s="524"/>
      <c r="AQ50" s="524"/>
      <c r="AR50" s="524"/>
      <c r="AS50" s="524"/>
      <c r="AT50" s="525"/>
    </row>
    <row r="51" spans="1:46" s="83" customFormat="1" ht="18.75" customHeight="1">
      <c r="A51" s="114"/>
      <c r="B51" s="546">
        <f t="shared" si="5"/>
        <v>5</v>
      </c>
      <c r="C51" s="546"/>
      <c r="D51" s="546"/>
      <c r="E51" s="547" t="str">
        <f t="shared" si="1"/>
        <v/>
      </c>
      <c r="F51" s="548"/>
      <c r="G51" s="548"/>
      <c r="H51" s="548"/>
      <c r="I51" s="548"/>
      <c r="J51" s="548"/>
      <c r="K51" s="548"/>
      <c r="L51" s="543" t="str">
        <f t="shared" si="2"/>
        <v/>
      </c>
      <c r="M51" s="544"/>
      <c r="N51" s="544"/>
      <c r="O51" s="544"/>
      <c r="P51" s="544"/>
      <c r="Q51" s="544"/>
      <c r="R51" s="545"/>
      <c r="S51" s="522" t="str">
        <f t="shared" ca="1" si="6"/>
        <v/>
      </c>
      <c r="T51" s="522"/>
      <c r="U51" s="522"/>
      <c r="V51" s="522"/>
      <c r="W51" s="522"/>
      <c r="X51" s="522"/>
      <c r="Y51" s="522"/>
      <c r="Z51" s="523" t="str">
        <f t="shared" ca="1" si="3"/>
        <v/>
      </c>
      <c r="AA51" s="524"/>
      <c r="AB51" s="524"/>
      <c r="AC51" s="524"/>
      <c r="AD51" s="524"/>
      <c r="AE51" s="524"/>
      <c r="AF51" s="525"/>
      <c r="AG51" s="523" t="str">
        <f t="shared" ca="1" si="4"/>
        <v/>
      </c>
      <c r="AH51" s="524"/>
      <c r="AI51" s="524"/>
      <c r="AJ51" s="524"/>
      <c r="AK51" s="524"/>
      <c r="AL51" s="524"/>
      <c r="AM51" s="525"/>
      <c r="AN51" s="523" t="str">
        <f t="shared" ca="1" si="7"/>
        <v/>
      </c>
      <c r="AO51" s="524"/>
      <c r="AP51" s="524"/>
      <c r="AQ51" s="524"/>
      <c r="AR51" s="524"/>
      <c r="AS51" s="524"/>
      <c r="AT51" s="525"/>
    </row>
    <row r="52" spans="1:46" s="83" customFormat="1" ht="18.75" customHeight="1">
      <c r="A52" s="114"/>
      <c r="B52" s="546">
        <f t="shared" si="5"/>
        <v>6</v>
      </c>
      <c r="C52" s="546"/>
      <c r="D52" s="546"/>
      <c r="E52" s="547" t="str">
        <f t="shared" si="1"/>
        <v/>
      </c>
      <c r="F52" s="548"/>
      <c r="G52" s="548"/>
      <c r="H52" s="548"/>
      <c r="I52" s="548"/>
      <c r="J52" s="548"/>
      <c r="K52" s="548"/>
      <c r="L52" s="543" t="str">
        <f t="shared" si="2"/>
        <v/>
      </c>
      <c r="M52" s="544"/>
      <c r="N52" s="544"/>
      <c r="O52" s="544"/>
      <c r="P52" s="544"/>
      <c r="Q52" s="544"/>
      <c r="R52" s="545"/>
      <c r="S52" s="522" t="str">
        <f t="shared" ca="1" si="6"/>
        <v/>
      </c>
      <c r="T52" s="522"/>
      <c r="U52" s="522"/>
      <c r="V52" s="522"/>
      <c r="W52" s="522"/>
      <c r="X52" s="522"/>
      <c r="Y52" s="522"/>
      <c r="Z52" s="523" t="str">
        <f t="shared" ca="1" si="3"/>
        <v/>
      </c>
      <c r="AA52" s="524"/>
      <c r="AB52" s="524"/>
      <c r="AC52" s="524"/>
      <c r="AD52" s="524"/>
      <c r="AE52" s="524"/>
      <c r="AF52" s="525"/>
      <c r="AG52" s="523" t="str">
        <f t="shared" ca="1" si="4"/>
        <v/>
      </c>
      <c r="AH52" s="524"/>
      <c r="AI52" s="524"/>
      <c r="AJ52" s="524"/>
      <c r="AK52" s="524"/>
      <c r="AL52" s="524"/>
      <c r="AM52" s="525"/>
      <c r="AN52" s="523" t="str">
        <f t="shared" ca="1" si="7"/>
        <v/>
      </c>
      <c r="AO52" s="524"/>
      <c r="AP52" s="524"/>
      <c r="AQ52" s="524"/>
      <c r="AR52" s="524"/>
      <c r="AS52" s="524"/>
      <c r="AT52" s="525"/>
    </row>
    <row r="53" spans="1:46" s="83" customFormat="1" ht="18.75" customHeight="1">
      <c r="A53" s="114"/>
      <c r="B53" s="546">
        <f t="shared" si="5"/>
        <v>7</v>
      </c>
      <c r="C53" s="546"/>
      <c r="D53" s="546"/>
      <c r="E53" s="547" t="str">
        <f t="shared" si="1"/>
        <v/>
      </c>
      <c r="F53" s="548"/>
      <c r="G53" s="548"/>
      <c r="H53" s="548"/>
      <c r="I53" s="548"/>
      <c r="J53" s="548"/>
      <c r="K53" s="548"/>
      <c r="L53" s="543" t="str">
        <f t="shared" si="2"/>
        <v/>
      </c>
      <c r="M53" s="544"/>
      <c r="N53" s="544"/>
      <c r="O53" s="544"/>
      <c r="P53" s="544"/>
      <c r="Q53" s="544"/>
      <c r="R53" s="545"/>
      <c r="S53" s="522" t="str">
        <f t="shared" ca="1" si="6"/>
        <v/>
      </c>
      <c r="T53" s="522"/>
      <c r="U53" s="522"/>
      <c r="V53" s="522"/>
      <c r="W53" s="522"/>
      <c r="X53" s="522"/>
      <c r="Y53" s="522"/>
      <c r="Z53" s="523" t="str">
        <f t="shared" ca="1" si="3"/>
        <v/>
      </c>
      <c r="AA53" s="524"/>
      <c r="AB53" s="524"/>
      <c r="AC53" s="524"/>
      <c r="AD53" s="524"/>
      <c r="AE53" s="524"/>
      <c r="AF53" s="525"/>
      <c r="AG53" s="523" t="str">
        <f t="shared" ca="1" si="4"/>
        <v/>
      </c>
      <c r="AH53" s="524"/>
      <c r="AI53" s="524"/>
      <c r="AJ53" s="524"/>
      <c r="AK53" s="524"/>
      <c r="AL53" s="524"/>
      <c r="AM53" s="525"/>
      <c r="AN53" s="523" t="str">
        <f t="shared" ca="1" si="7"/>
        <v/>
      </c>
      <c r="AO53" s="524"/>
      <c r="AP53" s="524"/>
      <c r="AQ53" s="524"/>
      <c r="AR53" s="524"/>
      <c r="AS53" s="524"/>
      <c r="AT53" s="525"/>
    </row>
    <row r="54" spans="1:46" s="83" customFormat="1" ht="18.75" customHeight="1">
      <c r="A54" s="114"/>
      <c r="B54" s="546">
        <f t="shared" si="5"/>
        <v>8</v>
      </c>
      <c r="C54" s="546"/>
      <c r="D54" s="546"/>
      <c r="E54" s="547" t="str">
        <f t="shared" si="1"/>
        <v/>
      </c>
      <c r="F54" s="548"/>
      <c r="G54" s="548"/>
      <c r="H54" s="548"/>
      <c r="I54" s="548"/>
      <c r="J54" s="548"/>
      <c r="K54" s="548"/>
      <c r="L54" s="543" t="str">
        <f t="shared" si="2"/>
        <v/>
      </c>
      <c r="M54" s="544"/>
      <c r="N54" s="544"/>
      <c r="O54" s="544"/>
      <c r="P54" s="544"/>
      <c r="Q54" s="544"/>
      <c r="R54" s="545"/>
      <c r="S54" s="522" t="str">
        <f t="shared" ca="1" si="6"/>
        <v/>
      </c>
      <c r="T54" s="522"/>
      <c r="U54" s="522"/>
      <c r="V54" s="522"/>
      <c r="W54" s="522"/>
      <c r="X54" s="522"/>
      <c r="Y54" s="522"/>
      <c r="Z54" s="523" t="str">
        <f t="shared" ca="1" si="3"/>
        <v/>
      </c>
      <c r="AA54" s="524"/>
      <c r="AB54" s="524"/>
      <c r="AC54" s="524"/>
      <c r="AD54" s="524"/>
      <c r="AE54" s="524"/>
      <c r="AF54" s="525"/>
      <c r="AG54" s="523" t="str">
        <f t="shared" ca="1" si="4"/>
        <v/>
      </c>
      <c r="AH54" s="524"/>
      <c r="AI54" s="524"/>
      <c r="AJ54" s="524"/>
      <c r="AK54" s="524"/>
      <c r="AL54" s="524"/>
      <c r="AM54" s="525"/>
      <c r="AN54" s="523" t="str">
        <f t="shared" ca="1" si="7"/>
        <v/>
      </c>
      <c r="AO54" s="524"/>
      <c r="AP54" s="524"/>
      <c r="AQ54" s="524"/>
      <c r="AR54" s="524"/>
      <c r="AS54" s="524"/>
      <c r="AT54" s="525"/>
    </row>
    <row r="55" spans="1:46" s="83" customFormat="1" ht="18.75" customHeight="1">
      <c r="A55" s="114"/>
      <c r="B55" s="546">
        <f t="shared" si="5"/>
        <v>9</v>
      </c>
      <c r="C55" s="546"/>
      <c r="D55" s="546"/>
      <c r="E55" s="547" t="str">
        <f t="shared" si="1"/>
        <v/>
      </c>
      <c r="F55" s="548"/>
      <c r="G55" s="548"/>
      <c r="H55" s="548"/>
      <c r="I55" s="548"/>
      <c r="J55" s="548"/>
      <c r="K55" s="548"/>
      <c r="L55" s="543" t="str">
        <f t="shared" si="2"/>
        <v/>
      </c>
      <c r="M55" s="544"/>
      <c r="N55" s="544"/>
      <c r="O55" s="544"/>
      <c r="P55" s="544"/>
      <c r="Q55" s="544"/>
      <c r="R55" s="545"/>
      <c r="S55" s="522" t="str">
        <f t="shared" ca="1" si="6"/>
        <v/>
      </c>
      <c r="T55" s="522"/>
      <c r="U55" s="522"/>
      <c r="V55" s="522"/>
      <c r="W55" s="522"/>
      <c r="X55" s="522"/>
      <c r="Y55" s="522"/>
      <c r="Z55" s="523" t="str">
        <f t="shared" ca="1" si="3"/>
        <v/>
      </c>
      <c r="AA55" s="524"/>
      <c r="AB55" s="524"/>
      <c r="AC55" s="524"/>
      <c r="AD55" s="524"/>
      <c r="AE55" s="524"/>
      <c r="AF55" s="525"/>
      <c r="AG55" s="523" t="str">
        <f t="shared" ca="1" si="4"/>
        <v/>
      </c>
      <c r="AH55" s="524"/>
      <c r="AI55" s="524"/>
      <c r="AJ55" s="524"/>
      <c r="AK55" s="524"/>
      <c r="AL55" s="524"/>
      <c r="AM55" s="525"/>
      <c r="AN55" s="523" t="str">
        <f t="shared" ca="1" si="7"/>
        <v/>
      </c>
      <c r="AO55" s="524"/>
      <c r="AP55" s="524"/>
      <c r="AQ55" s="524"/>
      <c r="AR55" s="524"/>
      <c r="AS55" s="524"/>
      <c r="AT55" s="525"/>
    </row>
    <row r="56" spans="1:46" s="83" customFormat="1" ht="18.75" customHeight="1">
      <c r="A56" s="114"/>
      <c r="B56" s="546">
        <f t="shared" si="5"/>
        <v>10</v>
      </c>
      <c r="C56" s="546"/>
      <c r="D56" s="546"/>
      <c r="E56" s="547" t="str">
        <f t="shared" si="1"/>
        <v/>
      </c>
      <c r="F56" s="548"/>
      <c r="G56" s="548"/>
      <c r="H56" s="548"/>
      <c r="I56" s="548"/>
      <c r="J56" s="548"/>
      <c r="K56" s="548"/>
      <c r="L56" s="543" t="str">
        <f t="shared" si="2"/>
        <v/>
      </c>
      <c r="M56" s="544"/>
      <c r="N56" s="544"/>
      <c r="O56" s="544"/>
      <c r="P56" s="544"/>
      <c r="Q56" s="544"/>
      <c r="R56" s="545"/>
      <c r="S56" s="522" t="str">
        <f t="shared" ca="1" si="6"/>
        <v/>
      </c>
      <c r="T56" s="522"/>
      <c r="U56" s="522"/>
      <c r="V56" s="522"/>
      <c r="W56" s="522"/>
      <c r="X56" s="522"/>
      <c r="Y56" s="522"/>
      <c r="Z56" s="523" t="str">
        <f t="shared" ca="1" si="3"/>
        <v/>
      </c>
      <c r="AA56" s="524"/>
      <c r="AB56" s="524"/>
      <c r="AC56" s="524"/>
      <c r="AD56" s="524"/>
      <c r="AE56" s="524"/>
      <c r="AF56" s="525"/>
      <c r="AG56" s="523" t="str">
        <f t="shared" ca="1" si="4"/>
        <v/>
      </c>
      <c r="AH56" s="524"/>
      <c r="AI56" s="524"/>
      <c r="AJ56" s="524"/>
      <c r="AK56" s="524"/>
      <c r="AL56" s="524"/>
      <c r="AM56" s="525"/>
      <c r="AN56" s="523" t="str">
        <f t="shared" ca="1" si="7"/>
        <v/>
      </c>
      <c r="AO56" s="524"/>
      <c r="AP56" s="524"/>
      <c r="AQ56" s="524"/>
      <c r="AR56" s="524"/>
      <c r="AS56" s="524"/>
      <c r="AT56" s="525"/>
    </row>
    <row r="57" spans="1:46" s="83" customFormat="1" ht="18.75" customHeight="1">
      <c r="A57" s="114"/>
      <c r="B57" s="546">
        <f t="shared" si="5"/>
        <v>11</v>
      </c>
      <c r="C57" s="546"/>
      <c r="D57" s="546"/>
      <c r="E57" s="547" t="str">
        <f t="shared" si="1"/>
        <v/>
      </c>
      <c r="F57" s="548"/>
      <c r="G57" s="548"/>
      <c r="H57" s="548"/>
      <c r="I57" s="548"/>
      <c r="J57" s="548"/>
      <c r="K57" s="548"/>
      <c r="L57" s="543" t="str">
        <f t="shared" si="2"/>
        <v/>
      </c>
      <c r="M57" s="544"/>
      <c r="N57" s="544"/>
      <c r="O57" s="544"/>
      <c r="P57" s="544"/>
      <c r="Q57" s="544"/>
      <c r="R57" s="545"/>
      <c r="S57" s="522" t="str">
        <f t="shared" ca="1" si="6"/>
        <v/>
      </c>
      <c r="T57" s="522"/>
      <c r="U57" s="522"/>
      <c r="V57" s="522"/>
      <c r="W57" s="522"/>
      <c r="X57" s="522"/>
      <c r="Y57" s="522"/>
      <c r="Z57" s="523" t="str">
        <f t="shared" ca="1" si="3"/>
        <v/>
      </c>
      <c r="AA57" s="524"/>
      <c r="AB57" s="524"/>
      <c r="AC57" s="524"/>
      <c r="AD57" s="524"/>
      <c r="AE57" s="524"/>
      <c r="AF57" s="525"/>
      <c r="AG57" s="523" t="str">
        <f t="shared" ca="1" si="4"/>
        <v/>
      </c>
      <c r="AH57" s="524"/>
      <c r="AI57" s="524"/>
      <c r="AJ57" s="524"/>
      <c r="AK57" s="524"/>
      <c r="AL57" s="524"/>
      <c r="AM57" s="525"/>
      <c r="AN57" s="523" t="str">
        <f t="shared" ca="1" si="7"/>
        <v/>
      </c>
      <c r="AO57" s="524"/>
      <c r="AP57" s="524"/>
      <c r="AQ57" s="524"/>
      <c r="AR57" s="524"/>
      <c r="AS57" s="524"/>
      <c r="AT57" s="525"/>
    </row>
    <row r="58" spans="1:46" s="83" customFormat="1" ht="18.75" customHeight="1">
      <c r="A58" s="114"/>
      <c r="B58" s="546">
        <f t="shared" si="5"/>
        <v>12</v>
      </c>
      <c r="C58" s="546"/>
      <c r="D58" s="546"/>
      <c r="E58" s="547" t="str">
        <f t="shared" si="1"/>
        <v/>
      </c>
      <c r="F58" s="548"/>
      <c r="G58" s="548"/>
      <c r="H58" s="548"/>
      <c r="I58" s="548"/>
      <c r="J58" s="548"/>
      <c r="K58" s="548"/>
      <c r="L58" s="543" t="str">
        <f t="shared" si="2"/>
        <v/>
      </c>
      <c r="M58" s="544"/>
      <c r="N58" s="544"/>
      <c r="O58" s="544"/>
      <c r="P58" s="544"/>
      <c r="Q58" s="544"/>
      <c r="R58" s="545"/>
      <c r="S58" s="522" t="str">
        <f t="shared" ca="1" si="6"/>
        <v/>
      </c>
      <c r="T58" s="522"/>
      <c r="U58" s="522"/>
      <c r="V58" s="522"/>
      <c r="W58" s="522"/>
      <c r="X58" s="522"/>
      <c r="Y58" s="522"/>
      <c r="Z58" s="523" t="str">
        <f t="shared" ca="1" si="3"/>
        <v/>
      </c>
      <c r="AA58" s="524"/>
      <c r="AB58" s="524"/>
      <c r="AC58" s="524"/>
      <c r="AD58" s="524"/>
      <c r="AE58" s="524"/>
      <c r="AF58" s="525"/>
      <c r="AG58" s="523" t="str">
        <f t="shared" ca="1" si="4"/>
        <v/>
      </c>
      <c r="AH58" s="524"/>
      <c r="AI58" s="524"/>
      <c r="AJ58" s="524"/>
      <c r="AK58" s="524"/>
      <c r="AL58" s="524"/>
      <c r="AM58" s="525"/>
      <c r="AN58" s="523" t="str">
        <f t="shared" ca="1" si="7"/>
        <v/>
      </c>
      <c r="AO58" s="524"/>
      <c r="AP58" s="524"/>
      <c r="AQ58" s="524"/>
      <c r="AR58" s="524"/>
      <c r="AS58" s="524"/>
      <c r="AT58" s="525"/>
    </row>
    <row r="59" spans="1:46" s="83" customFormat="1" ht="18.75" customHeight="1">
      <c r="A59" s="114"/>
      <c r="B59" s="546">
        <f t="shared" si="5"/>
        <v>13</v>
      </c>
      <c r="C59" s="546"/>
      <c r="D59" s="546"/>
      <c r="E59" s="547" t="str">
        <f t="shared" si="1"/>
        <v/>
      </c>
      <c r="F59" s="548"/>
      <c r="G59" s="548"/>
      <c r="H59" s="548"/>
      <c r="I59" s="548"/>
      <c r="J59" s="548"/>
      <c r="K59" s="548"/>
      <c r="L59" s="543" t="str">
        <f t="shared" si="2"/>
        <v/>
      </c>
      <c r="M59" s="544"/>
      <c r="N59" s="544"/>
      <c r="O59" s="544"/>
      <c r="P59" s="544"/>
      <c r="Q59" s="544"/>
      <c r="R59" s="545"/>
      <c r="S59" s="522" t="str">
        <f t="shared" ca="1" si="6"/>
        <v/>
      </c>
      <c r="T59" s="522"/>
      <c r="U59" s="522"/>
      <c r="V59" s="522"/>
      <c r="W59" s="522"/>
      <c r="X59" s="522"/>
      <c r="Y59" s="522"/>
      <c r="Z59" s="523" t="str">
        <f t="shared" ca="1" si="3"/>
        <v/>
      </c>
      <c r="AA59" s="524"/>
      <c r="AB59" s="524"/>
      <c r="AC59" s="524"/>
      <c r="AD59" s="524"/>
      <c r="AE59" s="524"/>
      <c r="AF59" s="525"/>
      <c r="AG59" s="523" t="str">
        <f t="shared" ca="1" si="4"/>
        <v/>
      </c>
      <c r="AH59" s="524"/>
      <c r="AI59" s="524"/>
      <c r="AJ59" s="524"/>
      <c r="AK59" s="524"/>
      <c r="AL59" s="524"/>
      <c r="AM59" s="525"/>
      <c r="AN59" s="523" t="str">
        <f t="shared" ca="1" si="7"/>
        <v/>
      </c>
      <c r="AO59" s="524"/>
      <c r="AP59" s="524"/>
      <c r="AQ59" s="524"/>
      <c r="AR59" s="524"/>
      <c r="AS59" s="524"/>
      <c r="AT59" s="525"/>
    </row>
    <row r="60" spans="1:46" s="83" customFormat="1" ht="18.75" customHeight="1">
      <c r="A60" s="114"/>
      <c r="B60" s="546">
        <f t="shared" si="5"/>
        <v>14</v>
      </c>
      <c r="C60" s="546"/>
      <c r="D60" s="546"/>
      <c r="E60" s="547" t="str">
        <f t="shared" si="1"/>
        <v/>
      </c>
      <c r="F60" s="548"/>
      <c r="G60" s="548"/>
      <c r="H60" s="548"/>
      <c r="I60" s="548"/>
      <c r="J60" s="548"/>
      <c r="K60" s="548"/>
      <c r="L60" s="543" t="str">
        <f t="shared" si="2"/>
        <v/>
      </c>
      <c r="M60" s="544"/>
      <c r="N60" s="544"/>
      <c r="O60" s="544"/>
      <c r="P60" s="544"/>
      <c r="Q60" s="544"/>
      <c r="R60" s="545"/>
      <c r="S60" s="522" t="str">
        <f t="shared" ca="1" si="6"/>
        <v/>
      </c>
      <c r="T60" s="522"/>
      <c r="U60" s="522"/>
      <c r="V60" s="522"/>
      <c r="W60" s="522"/>
      <c r="X60" s="522"/>
      <c r="Y60" s="522"/>
      <c r="Z60" s="523" t="str">
        <f t="shared" ca="1" si="3"/>
        <v/>
      </c>
      <c r="AA60" s="524"/>
      <c r="AB60" s="524"/>
      <c r="AC60" s="524"/>
      <c r="AD60" s="524"/>
      <c r="AE60" s="524"/>
      <c r="AF60" s="525"/>
      <c r="AG60" s="523" t="str">
        <f t="shared" ca="1" si="4"/>
        <v/>
      </c>
      <c r="AH60" s="524"/>
      <c r="AI60" s="524"/>
      <c r="AJ60" s="524"/>
      <c r="AK60" s="524"/>
      <c r="AL60" s="524"/>
      <c r="AM60" s="525"/>
      <c r="AN60" s="523" t="str">
        <f t="shared" ca="1" si="7"/>
        <v/>
      </c>
      <c r="AO60" s="524"/>
      <c r="AP60" s="524"/>
      <c r="AQ60" s="524"/>
      <c r="AR60" s="524"/>
      <c r="AS60" s="524"/>
      <c r="AT60" s="525"/>
    </row>
    <row r="61" spans="1:46" s="83" customFormat="1" ht="18.75" customHeight="1">
      <c r="A61" s="114"/>
      <c r="B61" s="546">
        <f t="shared" si="5"/>
        <v>15</v>
      </c>
      <c r="C61" s="546"/>
      <c r="D61" s="546"/>
      <c r="E61" s="547" t="str">
        <f t="shared" si="1"/>
        <v/>
      </c>
      <c r="F61" s="548"/>
      <c r="G61" s="548"/>
      <c r="H61" s="548"/>
      <c r="I61" s="548"/>
      <c r="J61" s="548"/>
      <c r="K61" s="548"/>
      <c r="L61" s="543" t="str">
        <f t="shared" si="2"/>
        <v/>
      </c>
      <c r="M61" s="544"/>
      <c r="N61" s="544"/>
      <c r="O61" s="544"/>
      <c r="P61" s="544"/>
      <c r="Q61" s="544"/>
      <c r="R61" s="545"/>
      <c r="S61" s="522" t="str">
        <f t="shared" ca="1" si="6"/>
        <v/>
      </c>
      <c r="T61" s="522"/>
      <c r="U61" s="522"/>
      <c r="V61" s="522"/>
      <c r="W61" s="522"/>
      <c r="X61" s="522"/>
      <c r="Y61" s="522"/>
      <c r="Z61" s="523" t="str">
        <f t="shared" ca="1" si="3"/>
        <v/>
      </c>
      <c r="AA61" s="524"/>
      <c r="AB61" s="524"/>
      <c r="AC61" s="524"/>
      <c r="AD61" s="524"/>
      <c r="AE61" s="524"/>
      <c r="AF61" s="525"/>
      <c r="AG61" s="523" t="str">
        <f t="shared" ca="1" si="4"/>
        <v/>
      </c>
      <c r="AH61" s="524"/>
      <c r="AI61" s="524"/>
      <c r="AJ61" s="524"/>
      <c r="AK61" s="524"/>
      <c r="AL61" s="524"/>
      <c r="AM61" s="525"/>
      <c r="AN61" s="523" t="str">
        <f t="shared" ca="1" si="7"/>
        <v/>
      </c>
      <c r="AO61" s="524"/>
      <c r="AP61" s="524"/>
      <c r="AQ61" s="524"/>
      <c r="AR61" s="524"/>
      <c r="AS61" s="524"/>
      <c r="AT61" s="525"/>
    </row>
    <row r="62" spans="1:46" s="83" customFormat="1" ht="18.75" customHeight="1">
      <c r="A62" s="114"/>
      <c r="B62" s="546">
        <f t="shared" si="5"/>
        <v>16</v>
      </c>
      <c r="C62" s="546"/>
      <c r="D62" s="546"/>
      <c r="E62" s="547" t="str">
        <f t="shared" si="1"/>
        <v/>
      </c>
      <c r="F62" s="548"/>
      <c r="G62" s="548"/>
      <c r="H62" s="548"/>
      <c r="I62" s="548"/>
      <c r="J62" s="548"/>
      <c r="K62" s="548"/>
      <c r="L62" s="543" t="str">
        <f t="shared" si="2"/>
        <v/>
      </c>
      <c r="M62" s="544"/>
      <c r="N62" s="544"/>
      <c r="O62" s="544"/>
      <c r="P62" s="544"/>
      <c r="Q62" s="544"/>
      <c r="R62" s="545"/>
      <c r="S62" s="522" t="str">
        <f t="shared" ca="1" si="6"/>
        <v/>
      </c>
      <c r="T62" s="522"/>
      <c r="U62" s="522"/>
      <c r="V62" s="522"/>
      <c r="W62" s="522"/>
      <c r="X62" s="522"/>
      <c r="Y62" s="522"/>
      <c r="Z62" s="523" t="str">
        <f t="shared" ca="1" si="3"/>
        <v/>
      </c>
      <c r="AA62" s="524"/>
      <c r="AB62" s="524"/>
      <c r="AC62" s="524"/>
      <c r="AD62" s="524"/>
      <c r="AE62" s="524"/>
      <c r="AF62" s="525"/>
      <c r="AG62" s="523" t="str">
        <f t="shared" ca="1" si="4"/>
        <v/>
      </c>
      <c r="AH62" s="524"/>
      <c r="AI62" s="524"/>
      <c r="AJ62" s="524"/>
      <c r="AK62" s="524"/>
      <c r="AL62" s="524"/>
      <c r="AM62" s="525"/>
      <c r="AN62" s="523" t="str">
        <f t="shared" ca="1" si="7"/>
        <v/>
      </c>
      <c r="AO62" s="524"/>
      <c r="AP62" s="524"/>
      <c r="AQ62" s="524"/>
      <c r="AR62" s="524"/>
      <c r="AS62" s="524"/>
      <c r="AT62" s="525"/>
    </row>
    <row r="63" spans="1:46" s="83" customFormat="1" ht="18.75" customHeight="1">
      <c r="A63" s="114"/>
      <c r="B63" s="546">
        <f t="shared" si="5"/>
        <v>17</v>
      </c>
      <c r="C63" s="546"/>
      <c r="D63" s="546"/>
      <c r="E63" s="547" t="str">
        <f t="shared" si="1"/>
        <v/>
      </c>
      <c r="F63" s="548"/>
      <c r="G63" s="548"/>
      <c r="H63" s="548"/>
      <c r="I63" s="548"/>
      <c r="J63" s="548"/>
      <c r="K63" s="548"/>
      <c r="L63" s="543" t="str">
        <f t="shared" si="2"/>
        <v/>
      </c>
      <c r="M63" s="544"/>
      <c r="N63" s="544"/>
      <c r="O63" s="544"/>
      <c r="P63" s="544"/>
      <c r="Q63" s="544"/>
      <c r="R63" s="545"/>
      <c r="S63" s="522" t="str">
        <f t="shared" ca="1" si="6"/>
        <v/>
      </c>
      <c r="T63" s="522"/>
      <c r="U63" s="522"/>
      <c r="V63" s="522"/>
      <c r="W63" s="522"/>
      <c r="X63" s="522"/>
      <c r="Y63" s="522"/>
      <c r="Z63" s="523" t="str">
        <f t="shared" ca="1" si="3"/>
        <v/>
      </c>
      <c r="AA63" s="524"/>
      <c r="AB63" s="524"/>
      <c r="AC63" s="524"/>
      <c r="AD63" s="524"/>
      <c r="AE63" s="524"/>
      <c r="AF63" s="525"/>
      <c r="AG63" s="523" t="str">
        <f t="shared" ca="1" si="4"/>
        <v/>
      </c>
      <c r="AH63" s="524"/>
      <c r="AI63" s="524"/>
      <c r="AJ63" s="524"/>
      <c r="AK63" s="524"/>
      <c r="AL63" s="524"/>
      <c r="AM63" s="525"/>
      <c r="AN63" s="523" t="str">
        <f t="shared" ca="1" si="7"/>
        <v/>
      </c>
      <c r="AO63" s="524"/>
      <c r="AP63" s="524"/>
      <c r="AQ63" s="524"/>
      <c r="AR63" s="524"/>
      <c r="AS63" s="524"/>
      <c r="AT63" s="525"/>
    </row>
    <row r="64" spans="1:46" s="83" customFormat="1" ht="18.75" customHeight="1">
      <c r="A64" s="114"/>
      <c r="B64" s="546">
        <f t="shared" si="5"/>
        <v>18</v>
      </c>
      <c r="C64" s="546"/>
      <c r="D64" s="546"/>
      <c r="E64" s="547" t="str">
        <f t="shared" si="1"/>
        <v/>
      </c>
      <c r="F64" s="548"/>
      <c r="G64" s="548"/>
      <c r="H64" s="548"/>
      <c r="I64" s="548"/>
      <c r="J64" s="548"/>
      <c r="K64" s="548"/>
      <c r="L64" s="543" t="str">
        <f t="shared" si="2"/>
        <v/>
      </c>
      <c r="M64" s="544"/>
      <c r="N64" s="544"/>
      <c r="O64" s="544"/>
      <c r="P64" s="544"/>
      <c r="Q64" s="544"/>
      <c r="R64" s="545"/>
      <c r="S64" s="522" t="str">
        <f t="shared" ca="1" si="6"/>
        <v/>
      </c>
      <c r="T64" s="522"/>
      <c r="U64" s="522"/>
      <c r="V64" s="522"/>
      <c r="W64" s="522"/>
      <c r="X64" s="522"/>
      <c r="Y64" s="522"/>
      <c r="Z64" s="523" t="str">
        <f t="shared" ca="1" si="3"/>
        <v/>
      </c>
      <c r="AA64" s="524"/>
      <c r="AB64" s="524"/>
      <c r="AC64" s="524"/>
      <c r="AD64" s="524"/>
      <c r="AE64" s="524"/>
      <c r="AF64" s="525"/>
      <c r="AG64" s="523" t="str">
        <f t="shared" ca="1" si="4"/>
        <v/>
      </c>
      <c r="AH64" s="524"/>
      <c r="AI64" s="524"/>
      <c r="AJ64" s="524"/>
      <c r="AK64" s="524"/>
      <c r="AL64" s="524"/>
      <c r="AM64" s="525"/>
      <c r="AN64" s="523" t="str">
        <f t="shared" ca="1" si="7"/>
        <v/>
      </c>
      <c r="AO64" s="524"/>
      <c r="AP64" s="524"/>
      <c r="AQ64" s="524"/>
      <c r="AR64" s="524"/>
      <c r="AS64" s="524"/>
      <c r="AT64" s="525"/>
    </row>
    <row r="65" spans="1:46" s="83" customFormat="1" ht="18.75" customHeight="1">
      <c r="A65" s="114"/>
      <c r="B65" s="546">
        <f t="shared" si="5"/>
        <v>19</v>
      </c>
      <c r="C65" s="546"/>
      <c r="D65" s="546"/>
      <c r="E65" s="547" t="str">
        <f t="shared" si="1"/>
        <v/>
      </c>
      <c r="F65" s="548"/>
      <c r="G65" s="548"/>
      <c r="H65" s="548"/>
      <c r="I65" s="548"/>
      <c r="J65" s="548"/>
      <c r="K65" s="548"/>
      <c r="L65" s="543" t="str">
        <f t="shared" si="2"/>
        <v/>
      </c>
      <c r="M65" s="544"/>
      <c r="N65" s="544"/>
      <c r="O65" s="544"/>
      <c r="P65" s="544"/>
      <c r="Q65" s="544"/>
      <c r="R65" s="545"/>
      <c r="S65" s="522" t="str">
        <f t="shared" ca="1" si="6"/>
        <v/>
      </c>
      <c r="T65" s="522"/>
      <c r="U65" s="522"/>
      <c r="V65" s="522"/>
      <c r="W65" s="522"/>
      <c r="X65" s="522"/>
      <c r="Y65" s="522"/>
      <c r="Z65" s="523" t="str">
        <f t="shared" ca="1" si="3"/>
        <v/>
      </c>
      <c r="AA65" s="524"/>
      <c r="AB65" s="524"/>
      <c r="AC65" s="524"/>
      <c r="AD65" s="524"/>
      <c r="AE65" s="524"/>
      <c r="AF65" s="525"/>
      <c r="AG65" s="523" t="str">
        <f t="shared" ca="1" si="4"/>
        <v/>
      </c>
      <c r="AH65" s="524"/>
      <c r="AI65" s="524"/>
      <c r="AJ65" s="524"/>
      <c r="AK65" s="524"/>
      <c r="AL65" s="524"/>
      <c r="AM65" s="525"/>
      <c r="AN65" s="523" t="str">
        <f t="shared" ca="1" si="7"/>
        <v/>
      </c>
      <c r="AO65" s="524"/>
      <c r="AP65" s="524"/>
      <c r="AQ65" s="524"/>
      <c r="AR65" s="524"/>
      <c r="AS65" s="524"/>
      <c r="AT65" s="525"/>
    </row>
    <row r="66" spans="1:46" s="83" customFormat="1" ht="18.75" customHeight="1">
      <c r="A66" s="114"/>
      <c r="B66" s="546">
        <f t="shared" si="5"/>
        <v>20</v>
      </c>
      <c r="C66" s="546"/>
      <c r="D66" s="546"/>
      <c r="E66" s="547" t="str">
        <f t="shared" si="1"/>
        <v/>
      </c>
      <c r="F66" s="548"/>
      <c r="G66" s="548"/>
      <c r="H66" s="548"/>
      <c r="I66" s="548"/>
      <c r="J66" s="548"/>
      <c r="K66" s="548"/>
      <c r="L66" s="543" t="str">
        <f t="shared" si="2"/>
        <v/>
      </c>
      <c r="M66" s="544"/>
      <c r="N66" s="544"/>
      <c r="O66" s="544"/>
      <c r="P66" s="544"/>
      <c r="Q66" s="544"/>
      <c r="R66" s="545"/>
      <c r="S66" s="522" t="str">
        <f t="shared" ca="1" si="6"/>
        <v/>
      </c>
      <c r="T66" s="522"/>
      <c r="U66" s="522"/>
      <c r="V66" s="522"/>
      <c r="W66" s="522"/>
      <c r="X66" s="522"/>
      <c r="Y66" s="522"/>
      <c r="Z66" s="523" t="str">
        <f t="shared" ca="1" si="3"/>
        <v/>
      </c>
      <c r="AA66" s="524"/>
      <c r="AB66" s="524"/>
      <c r="AC66" s="524"/>
      <c r="AD66" s="524"/>
      <c r="AE66" s="524"/>
      <c r="AF66" s="525"/>
      <c r="AG66" s="523" t="str">
        <f t="shared" ca="1" si="4"/>
        <v/>
      </c>
      <c r="AH66" s="524"/>
      <c r="AI66" s="524"/>
      <c r="AJ66" s="524"/>
      <c r="AK66" s="524"/>
      <c r="AL66" s="524"/>
      <c r="AM66" s="525"/>
      <c r="AN66" s="523" t="str">
        <f t="shared" ca="1" si="7"/>
        <v/>
      </c>
      <c r="AO66" s="524"/>
      <c r="AP66" s="524"/>
      <c r="AQ66" s="524"/>
      <c r="AR66" s="524"/>
      <c r="AS66" s="524"/>
      <c r="AT66" s="525"/>
    </row>
    <row r="67" spans="1:46" s="83" customFormat="1" ht="18.75" customHeight="1">
      <c r="A67" s="114"/>
      <c r="B67" s="546">
        <f t="shared" si="5"/>
        <v>21</v>
      </c>
      <c r="C67" s="546"/>
      <c r="D67" s="546"/>
      <c r="E67" s="547" t="str">
        <f t="shared" si="1"/>
        <v/>
      </c>
      <c r="F67" s="548"/>
      <c r="G67" s="548"/>
      <c r="H67" s="548"/>
      <c r="I67" s="548"/>
      <c r="J67" s="548"/>
      <c r="K67" s="548"/>
      <c r="L67" s="543" t="str">
        <f t="shared" si="2"/>
        <v/>
      </c>
      <c r="M67" s="544"/>
      <c r="N67" s="544"/>
      <c r="O67" s="544"/>
      <c r="P67" s="544"/>
      <c r="Q67" s="544"/>
      <c r="R67" s="545"/>
      <c r="S67" s="522" t="str">
        <f t="shared" ca="1" si="6"/>
        <v/>
      </c>
      <c r="T67" s="522"/>
      <c r="U67" s="522"/>
      <c r="V67" s="522"/>
      <c r="W67" s="522"/>
      <c r="X67" s="522"/>
      <c r="Y67" s="522"/>
      <c r="Z67" s="523" t="str">
        <f t="shared" ca="1" si="3"/>
        <v/>
      </c>
      <c r="AA67" s="524"/>
      <c r="AB67" s="524"/>
      <c r="AC67" s="524"/>
      <c r="AD67" s="524"/>
      <c r="AE67" s="524"/>
      <c r="AF67" s="525"/>
      <c r="AG67" s="523" t="str">
        <f t="shared" ca="1" si="4"/>
        <v/>
      </c>
      <c r="AH67" s="524"/>
      <c r="AI67" s="524"/>
      <c r="AJ67" s="524"/>
      <c r="AK67" s="524"/>
      <c r="AL67" s="524"/>
      <c r="AM67" s="525"/>
      <c r="AN67" s="523" t="str">
        <f t="shared" ca="1" si="7"/>
        <v/>
      </c>
      <c r="AO67" s="524"/>
      <c r="AP67" s="524"/>
      <c r="AQ67" s="524"/>
      <c r="AR67" s="524"/>
      <c r="AS67" s="524"/>
      <c r="AT67" s="525"/>
    </row>
    <row r="68" spans="1:46" s="83" customFormat="1" ht="18.75" customHeight="1">
      <c r="A68" s="114"/>
      <c r="B68" s="546">
        <f t="shared" si="5"/>
        <v>22</v>
      </c>
      <c r="C68" s="546"/>
      <c r="D68" s="546"/>
      <c r="E68" s="547" t="str">
        <f t="shared" si="1"/>
        <v/>
      </c>
      <c r="F68" s="548"/>
      <c r="G68" s="548"/>
      <c r="H68" s="548"/>
      <c r="I68" s="548"/>
      <c r="J68" s="548"/>
      <c r="K68" s="548"/>
      <c r="L68" s="543" t="str">
        <f t="shared" si="2"/>
        <v/>
      </c>
      <c r="M68" s="544"/>
      <c r="N68" s="544"/>
      <c r="O68" s="544"/>
      <c r="P68" s="544"/>
      <c r="Q68" s="544"/>
      <c r="R68" s="545"/>
      <c r="S68" s="522" t="str">
        <f t="shared" ca="1" si="6"/>
        <v/>
      </c>
      <c r="T68" s="522"/>
      <c r="U68" s="522"/>
      <c r="V68" s="522"/>
      <c r="W68" s="522"/>
      <c r="X68" s="522"/>
      <c r="Y68" s="522"/>
      <c r="Z68" s="523" t="str">
        <f t="shared" ca="1" si="3"/>
        <v/>
      </c>
      <c r="AA68" s="524"/>
      <c r="AB68" s="524"/>
      <c r="AC68" s="524"/>
      <c r="AD68" s="524"/>
      <c r="AE68" s="524"/>
      <c r="AF68" s="525"/>
      <c r="AG68" s="523" t="str">
        <f t="shared" ca="1" si="4"/>
        <v/>
      </c>
      <c r="AH68" s="524"/>
      <c r="AI68" s="524"/>
      <c r="AJ68" s="524"/>
      <c r="AK68" s="524"/>
      <c r="AL68" s="524"/>
      <c r="AM68" s="525"/>
      <c r="AN68" s="523" t="str">
        <f t="shared" ca="1" si="7"/>
        <v/>
      </c>
      <c r="AO68" s="524"/>
      <c r="AP68" s="524"/>
      <c r="AQ68" s="524"/>
      <c r="AR68" s="524"/>
      <c r="AS68" s="524"/>
      <c r="AT68" s="525"/>
    </row>
    <row r="69" spans="1:46" s="83" customFormat="1" ht="18.75" customHeight="1">
      <c r="A69" s="114"/>
      <c r="B69" s="546">
        <f t="shared" si="5"/>
        <v>23</v>
      </c>
      <c r="C69" s="546"/>
      <c r="D69" s="546"/>
      <c r="E69" s="547" t="str">
        <f t="shared" si="1"/>
        <v/>
      </c>
      <c r="F69" s="548"/>
      <c r="G69" s="548"/>
      <c r="H69" s="548"/>
      <c r="I69" s="548"/>
      <c r="J69" s="548"/>
      <c r="K69" s="548"/>
      <c r="L69" s="543" t="str">
        <f t="shared" si="2"/>
        <v/>
      </c>
      <c r="M69" s="544"/>
      <c r="N69" s="544"/>
      <c r="O69" s="544"/>
      <c r="P69" s="544"/>
      <c r="Q69" s="544"/>
      <c r="R69" s="545"/>
      <c r="S69" s="522" t="str">
        <f t="shared" ca="1" si="6"/>
        <v/>
      </c>
      <c r="T69" s="522"/>
      <c r="U69" s="522"/>
      <c r="V69" s="522"/>
      <c r="W69" s="522"/>
      <c r="X69" s="522"/>
      <c r="Y69" s="522"/>
      <c r="Z69" s="523" t="str">
        <f t="shared" ca="1" si="3"/>
        <v/>
      </c>
      <c r="AA69" s="524"/>
      <c r="AB69" s="524"/>
      <c r="AC69" s="524"/>
      <c r="AD69" s="524"/>
      <c r="AE69" s="524"/>
      <c r="AF69" s="525"/>
      <c r="AG69" s="523" t="str">
        <f t="shared" ca="1" si="4"/>
        <v/>
      </c>
      <c r="AH69" s="524"/>
      <c r="AI69" s="524"/>
      <c r="AJ69" s="524"/>
      <c r="AK69" s="524"/>
      <c r="AL69" s="524"/>
      <c r="AM69" s="525"/>
      <c r="AN69" s="523" t="str">
        <f t="shared" ca="1" si="7"/>
        <v/>
      </c>
      <c r="AO69" s="524"/>
      <c r="AP69" s="524"/>
      <c r="AQ69" s="524"/>
      <c r="AR69" s="524"/>
      <c r="AS69" s="524"/>
      <c r="AT69" s="525"/>
    </row>
    <row r="70" spans="1:46" s="83" customFormat="1" ht="18.75" customHeight="1">
      <c r="A70" s="114"/>
      <c r="B70" s="546">
        <f t="shared" si="5"/>
        <v>24</v>
      </c>
      <c r="C70" s="546"/>
      <c r="D70" s="546"/>
      <c r="E70" s="547" t="str">
        <f t="shared" si="1"/>
        <v/>
      </c>
      <c r="F70" s="548"/>
      <c r="G70" s="548"/>
      <c r="H70" s="548"/>
      <c r="I70" s="548"/>
      <c r="J70" s="548"/>
      <c r="K70" s="548"/>
      <c r="L70" s="543" t="str">
        <f t="shared" si="2"/>
        <v/>
      </c>
      <c r="M70" s="544"/>
      <c r="N70" s="544"/>
      <c r="O70" s="544"/>
      <c r="P70" s="544"/>
      <c r="Q70" s="544"/>
      <c r="R70" s="545"/>
      <c r="S70" s="522" t="str">
        <f t="shared" ca="1" si="6"/>
        <v/>
      </c>
      <c r="T70" s="522"/>
      <c r="U70" s="522"/>
      <c r="V70" s="522"/>
      <c r="W70" s="522"/>
      <c r="X70" s="522"/>
      <c r="Y70" s="522"/>
      <c r="Z70" s="523" t="str">
        <f t="shared" ca="1" si="3"/>
        <v/>
      </c>
      <c r="AA70" s="524"/>
      <c r="AB70" s="524"/>
      <c r="AC70" s="524"/>
      <c r="AD70" s="524"/>
      <c r="AE70" s="524"/>
      <c r="AF70" s="525"/>
      <c r="AG70" s="523" t="str">
        <f t="shared" ca="1" si="4"/>
        <v/>
      </c>
      <c r="AH70" s="524"/>
      <c r="AI70" s="524"/>
      <c r="AJ70" s="524"/>
      <c r="AK70" s="524"/>
      <c r="AL70" s="524"/>
      <c r="AM70" s="525"/>
      <c r="AN70" s="523" t="str">
        <f t="shared" ca="1" si="7"/>
        <v/>
      </c>
      <c r="AO70" s="524"/>
      <c r="AP70" s="524"/>
      <c r="AQ70" s="524"/>
      <c r="AR70" s="524"/>
      <c r="AS70" s="524"/>
      <c r="AT70" s="525"/>
    </row>
    <row r="71" spans="1:46" s="83" customFormat="1" ht="18.75" customHeight="1">
      <c r="A71" s="114"/>
      <c r="B71" s="546">
        <f t="shared" si="5"/>
        <v>25</v>
      </c>
      <c r="C71" s="546"/>
      <c r="D71" s="546"/>
      <c r="E71" s="547" t="str">
        <f t="shared" si="1"/>
        <v/>
      </c>
      <c r="F71" s="548"/>
      <c r="G71" s="548"/>
      <c r="H71" s="548"/>
      <c r="I71" s="548"/>
      <c r="J71" s="548"/>
      <c r="K71" s="548"/>
      <c r="L71" s="543" t="str">
        <f t="shared" si="2"/>
        <v/>
      </c>
      <c r="M71" s="544"/>
      <c r="N71" s="544"/>
      <c r="O71" s="544"/>
      <c r="P71" s="544"/>
      <c r="Q71" s="544"/>
      <c r="R71" s="545"/>
      <c r="S71" s="522" t="str">
        <f t="shared" ca="1" si="6"/>
        <v/>
      </c>
      <c r="T71" s="522"/>
      <c r="U71" s="522"/>
      <c r="V71" s="522"/>
      <c r="W71" s="522"/>
      <c r="X71" s="522"/>
      <c r="Y71" s="522"/>
      <c r="Z71" s="523" t="str">
        <f t="shared" ca="1" si="3"/>
        <v/>
      </c>
      <c r="AA71" s="524"/>
      <c r="AB71" s="524"/>
      <c r="AC71" s="524"/>
      <c r="AD71" s="524"/>
      <c r="AE71" s="524"/>
      <c r="AF71" s="525"/>
      <c r="AG71" s="523" t="str">
        <f t="shared" ca="1" si="4"/>
        <v/>
      </c>
      <c r="AH71" s="524"/>
      <c r="AI71" s="524"/>
      <c r="AJ71" s="524"/>
      <c r="AK71" s="524"/>
      <c r="AL71" s="524"/>
      <c r="AM71" s="525"/>
      <c r="AN71" s="523" t="str">
        <f t="shared" ca="1" si="7"/>
        <v/>
      </c>
      <c r="AO71" s="524"/>
      <c r="AP71" s="524"/>
      <c r="AQ71" s="524"/>
      <c r="AR71" s="524"/>
      <c r="AS71" s="524"/>
      <c r="AT71" s="525"/>
    </row>
    <row r="72" spans="1:46" s="83" customFormat="1" ht="18.75" customHeight="1">
      <c r="A72" s="114"/>
      <c r="B72" s="546">
        <f t="shared" si="5"/>
        <v>26</v>
      </c>
      <c r="C72" s="546"/>
      <c r="D72" s="546"/>
      <c r="E72" s="547" t="str">
        <f t="shared" si="1"/>
        <v/>
      </c>
      <c r="F72" s="548"/>
      <c r="G72" s="548"/>
      <c r="H72" s="548"/>
      <c r="I72" s="548"/>
      <c r="J72" s="548"/>
      <c r="K72" s="548"/>
      <c r="L72" s="543" t="str">
        <f t="shared" si="2"/>
        <v/>
      </c>
      <c r="M72" s="544"/>
      <c r="N72" s="544"/>
      <c r="O72" s="544"/>
      <c r="P72" s="544"/>
      <c r="Q72" s="544"/>
      <c r="R72" s="545"/>
      <c r="S72" s="522" t="str">
        <f t="shared" ca="1" si="6"/>
        <v/>
      </c>
      <c r="T72" s="522"/>
      <c r="U72" s="522"/>
      <c r="V72" s="522"/>
      <c r="W72" s="522"/>
      <c r="X72" s="522"/>
      <c r="Y72" s="522"/>
      <c r="Z72" s="523" t="str">
        <f t="shared" ca="1" si="3"/>
        <v/>
      </c>
      <c r="AA72" s="524"/>
      <c r="AB72" s="524"/>
      <c r="AC72" s="524"/>
      <c r="AD72" s="524"/>
      <c r="AE72" s="524"/>
      <c r="AF72" s="525"/>
      <c r="AG72" s="523" t="str">
        <f t="shared" ca="1" si="4"/>
        <v/>
      </c>
      <c r="AH72" s="524"/>
      <c r="AI72" s="524"/>
      <c r="AJ72" s="524"/>
      <c r="AK72" s="524"/>
      <c r="AL72" s="524"/>
      <c r="AM72" s="525"/>
      <c r="AN72" s="523" t="str">
        <f t="shared" ca="1" si="7"/>
        <v/>
      </c>
      <c r="AO72" s="524"/>
      <c r="AP72" s="524"/>
      <c r="AQ72" s="524"/>
      <c r="AR72" s="524"/>
      <c r="AS72" s="524"/>
      <c r="AT72" s="525"/>
    </row>
    <row r="73" spans="1:46" s="83" customFormat="1" ht="18.75" customHeight="1">
      <c r="A73" s="114"/>
      <c r="B73" s="546">
        <f t="shared" si="5"/>
        <v>27</v>
      </c>
      <c r="C73" s="546"/>
      <c r="D73" s="546"/>
      <c r="E73" s="547" t="str">
        <f t="shared" si="1"/>
        <v/>
      </c>
      <c r="F73" s="548"/>
      <c r="G73" s="548"/>
      <c r="H73" s="548"/>
      <c r="I73" s="548"/>
      <c r="J73" s="548"/>
      <c r="K73" s="548"/>
      <c r="L73" s="543" t="str">
        <f t="shared" si="2"/>
        <v/>
      </c>
      <c r="M73" s="544"/>
      <c r="N73" s="544"/>
      <c r="O73" s="544"/>
      <c r="P73" s="544"/>
      <c r="Q73" s="544"/>
      <c r="R73" s="545"/>
      <c r="S73" s="522" t="str">
        <f t="shared" ca="1" si="6"/>
        <v/>
      </c>
      <c r="T73" s="522"/>
      <c r="U73" s="522"/>
      <c r="V73" s="522"/>
      <c r="W73" s="522"/>
      <c r="X73" s="522"/>
      <c r="Y73" s="522"/>
      <c r="Z73" s="523" t="str">
        <f t="shared" ca="1" si="3"/>
        <v/>
      </c>
      <c r="AA73" s="524"/>
      <c r="AB73" s="524"/>
      <c r="AC73" s="524"/>
      <c r="AD73" s="524"/>
      <c r="AE73" s="524"/>
      <c r="AF73" s="525"/>
      <c r="AG73" s="523" t="str">
        <f t="shared" ca="1" si="4"/>
        <v/>
      </c>
      <c r="AH73" s="524"/>
      <c r="AI73" s="524"/>
      <c r="AJ73" s="524"/>
      <c r="AK73" s="524"/>
      <c r="AL73" s="524"/>
      <c r="AM73" s="525"/>
      <c r="AN73" s="523" t="str">
        <f t="shared" ca="1" si="7"/>
        <v/>
      </c>
      <c r="AO73" s="524"/>
      <c r="AP73" s="524"/>
      <c r="AQ73" s="524"/>
      <c r="AR73" s="524"/>
      <c r="AS73" s="524"/>
      <c r="AT73" s="525"/>
    </row>
    <row r="74" spans="1:46" s="83" customFormat="1" ht="18.75" customHeight="1">
      <c r="A74" s="114"/>
      <c r="B74" s="546">
        <f t="shared" si="5"/>
        <v>28</v>
      </c>
      <c r="C74" s="546"/>
      <c r="D74" s="546"/>
      <c r="E74" s="547" t="str">
        <f t="shared" si="1"/>
        <v/>
      </c>
      <c r="F74" s="548"/>
      <c r="G74" s="548"/>
      <c r="H74" s="548"/>
      <c r="I74" s="548"/>
      <c r="J74" s="548"/>
      <c r="K74" s="548"/>
      <c r="L74" s="543" t="str">
        <f t="shared" si="2"/>
        <v/>
      </c>
      <c r="M74" s="544"/>
      <c r="N74" s="544"/>
      <c r="O74" s="544"/>
      <c r="P74" s="544"/>
      <c r="Q74" s="544"/>
      <c r="R74" s="545"/>
      <c r="S74" s="522" t="str">
        <f t="shared" ca="1" si="6"/>
        <v/>
      </c>
      <c r="T74" s="522"/>
      <c r="U74" s="522"/>
      <c r="V74" s="522"/>
      <c r="W74" s="522"/>
      <c r="X74" s="522"/>
      <c r="Y74" s="522"/>
      <c r="Z74" s="523" t="str">
        <f t="shared" ca="1" si="3"/>
        <v/>
      </c>
      <c r="AA74" s="524"/>
      <c r="AB74" s="524"/>
      <c r="AC74" s="524"/>
      <c r="AD74" s="524"/>
      <c r="AE74" s="524"/>
      <c r="AF74" s="525"/>
      <c r="AG74" s="523" t="str">
        <f t="shared" ca="1" si="4"/>
        <v/>
      </c>
      <c r="AH74" s="524"/>
      <c r="AI74" s="524"/>
      <c r="AJ74" s="524"/>
      <c r="AK74" s="524"/>
      <c r="AL74" s="524"/>
      <c r="AM74" s="525"/>
      <c r="AN74" s="523" t="str">
        <f t="shared" ca="1" si="7"/>
        <v/>
      </c>
      <c r="AO74" s="524"/>
      <c r="AP74" s="524"/>
      <c r="AQ74" s="524"/>
      <c r="AR74" s="524"/>
      <c r="AS74" s="524"/>
      <c r="AT74" s="525"/>
    </row>
    <row r="75" spans="1:46" s="83" customFormat="1" ht="18.75" customHeight="1">
      <c r="A75" s="114"/>
      <c r="B75" s="546">
        <f t="shared" si="5"/>
        <v>29</v>
      </c>
      <c r="C75" s="546"/>
      <c r="D75" s="546"/>
      <c r="E75" s="547" t="str">
        <f t="shared" si="1"/>
        <v/>
      </c>
      <c r="F75" s="548"/>
      <c r="G75" s="548"/>
      <c r="H75" s="548"/>
      <c r="I75" s="548"/>
      <c r="J75" s="548"/>
      <c r="K75" s="548"/>
      <c r="L75" s="543" t="str">
        <f t="shared" si="2"/>
        <v/>
      </c>
      <c r="M75" s="544"/>
      <c r="N75" s="544"/>
      <c r="O75" s="544"/>
      <c r="P75" s="544"/>
      <c r="Q75" s="544"/>
      <c r="R75" s="545"/>
      <c r="S75" s="522" t="str">
        <f t="shared" ca="1" si="6"/>
        <v/>
      </c>
      <c r="T75" s="522"/>
      <c r="U75" s="522"/>
      <c r="V75" s="522"/>
      <c r="W75" s="522"/>
      <c r="X75" s="522"/>
      <c r="Y75" s="522"/>
      <c r="Z75" s="523" t="str">
        <f t="shared" ca="1" si="3"/>
        <v/>
      </c>
      <c r="AA75" s="524"/>
      <c r="AB75" s="524"/>
      <c r="AC75" s="524"/>
      <c r="AD75" s="524"/>
      <c r="AE75" s="524"/>
      <c r="AF75" s="525"/>
      <c r="AG75" s="523" t="str">
        <f t="shared" ca="1" si="4"/>
        <v/>
      </c>
      <c r="AH75" s="524"/>
      <c r="AI75" s="524"/>
      <c r="AJ75" s="524"/>
      <c r="AK75" s="524"/>
      <c r="AL75" s="524"/>
      <c r="AM75" s="525"/>
      <c r="AN75" s="523" t="str">
        <f t="shared" ca="1" si="7"/>
        <v/>
      </c>
      <c r="AO75" s="524"/>
      <c r="AP75" s="524"/>
      <c r="AQ75" s="524"/>
      <c r="AR75" s="524"/>
      <c r="AS75" s="524"/>
      <c r="AT75" s="525"/>
    </row>
    <row r="76" spans="1:46" s="83" customFormat="1" ht="18.75" customHeight="1">
      <c r="A76" s="114"/>
      <c r="B76" s="549">
        <f t="shared" si="5"/>
        <v>30</v>
      </c>
      <c r="C76" s="549"/>
      <c r="D76" s="549"/>
      <c r="E76" s="547" t="str">
        <f t="shared" si="1"/>
        <v/>
      </c>
      <c r="F76" s="548"/>
      <c r="G76" s="548"/>
      <c r="H76" s="548"/>
      <c r="I76" s="548"/>
      <c r="J76" s="548"/>
      <c r="K76" s="548"/>
      <c r="L76" s="543" t="str">
        <f t="shared" si="2"/>
        <v/>
      </c>
      <c r="M76" s="544"/>
      <c r="N76" s="544"/>
      <c r="O76" s="544"/>
      <c r="P76" s="544"/>
      <c r="Q76" s="544"/>
      <c r="R76" s="545"/>
      <c r="S76" s="522" t="str">
        <f t="shared" ca="1" si="6"/>
        <v/>
      </c>
      <c r="T76" s="522"/>
      <c r="U76" s="522"/>
      <c r="V76" s="522"/>
      <c r="W76" s="522"/>
      <c r="X76" s="522"/>
      <c r="Y76" s="522"/>
      <c r="Z76" s="523" t="str">
        <f t="shared" ca="1" si="3"/>
        <v/>
      </c>
      <c r="AA76" s="524"/>
      <c r="AB76" s="524"/>
      <c r="AC76" s="524"/>
      <c r="AD76" s="524"/>
      <c r="AE76" s="524"/>
      <c r="AF76" s="525"/>
      <c r="AG76" s="523" t="str">
        <f t="shared" ca="1" si="4"/>
        <v/>
      </c>
      <c r="AH76" s="524"/>
      <c r="AI76" s="524"/>
      <c r="AJ76" s="524"/>
      <c r="AK76" s="524"/>
      <c r="AL76" s="524"/>
      <c r="AM76" s="525"/>
      <c r="AN76" s="523" t="str">
        <f t="shared" ca="1" si="7"/>
        <v/>
      </c>
      <c r="AO76" s="524"/>
      <c r="AP76" s="524"/>
      <c r="AQ76" s="524"/>
      <c r="AR76" s="524"/>
      <c r="AS76" s="524"/>
      <c r="AT76" s="525"/>
    </row>
    <row r="77" spans="1:46" s="83" customFormat="1" ht="18.75" customHeight="1">
      <c r="A77" s="114"/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47"/>
      <c r="S77" s="347"/>
      <c r="T77" s="347"/>
      <c r="U77" s="347"/>
      <c r="V77" s="347"/>
      <c r="W77" s="347"/>
      <c r="X77" s="347"/>
      <c r="Y77" s="347"/>
      <c r="Z77" s="347"/>
      <c r="AA77" s="347"/>
      <c r="AB77" s="347"/>
      <c r="AC77" s="347"/>
      <c r="AD77" s="347"/>
      <c r="AE77" s="347"/>
      <c r="AF77" s="347"/>
      <c r="AG77" s="347"/>
      <c r="AH77" s="347"/>
      <c r="AI77" s="347"/>
      <c r="AJ77" s="347"/>
      <c r="AK77" s="347"/>
      <c r="AL77" s="347"/>
      <c r="AM77" s="347"/>
      <c r="AN77" s="347"/>
      <c r="AO77" s="347"/>
      <c r="AP77" s="347"/>
      <c r="AQ77" s="347"/>
      <c r="AR77" s="347"/>
      <c r="AS77" s="347"/>
      <c r="AT77" s="347"/>
    </row>
    <row r="78" spans="1:46" s="83" customFormat="1" ht="18.75" customHeight="1">
      <c r="A78" s="90" t="s">
        <v>584</v>
      </c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</row>
    <row r="79" spans="1:46" s="83" customFormat="1" ht="18.75" customHeight="1">
      <c r="A79" s="114"/>
      <c r="B79" s="626" t="s">
        <v>585</v>
      </c>
      <c r="C79" s="627"/>
      <c r="D79" s="628"/>
      <c r="E79" s="635" t="s">
        <v>586</v>
      </c>
      <c r="F79" s="636"/>
      <c r="G79" s="636"/>
      <c r="H79" s="636"/>
      <c r="I79" s="636"/>
      <c r="J79" s="636"/>
      <c r="K79" s="636"/>
      <c r="L79" s="636"/>
      <c r="M79" s="636"/>
      <c r="N79" s="636"/>
      <c r="O79" s="636"/>
      <c r="P79" s="636"/>
      <c r="Q79" s="636"/>
      <c r="R79" s="636"/>
      <c r="S79" s="636"/>
      <c r="T79" s="636"/>
      <c r="U79" s="636"/>
      <c r="V79" s="636"/>
      <c r="W79" s="636"/>
      <c r="X79" s="636"/>
      <c r="Y79" s="636"/>
      <c r="Z79" s="637"/>
      <c r="AA79" s="638" t="s">
        <v>587</v>
      </c>
      <c r="AB79" s="639"/>
      <c r="AC79" s="639"/>
      <c r="AD79" s="639"/>
      <c r="AE79" s="639"/>
      <c r="AF79" s="639"/>
      <c r="AG79" s="639"/>
      <c r="AH79" s="639"/>
      <c r="AI79" s="639"/>
      <c r="AJ79" s="639"/>
      <c r="AK79" s="639"/>
      <c r="AL79" s="639"/>
      <c r="AM79" s="639"/>
      <c r="AN79" s="639"/>
      <c r="AO79" s="639"/>
      <c r="AP79" s="639"/>
      <c r="AQ79" s="639"/>
      <c r="AR79" s="639"/>
      <c r="AS79" s="639"/>
      <c r="AT79" s="640"/>
    </row>
    <row r="80" spans="1:46" s="83" customFormat="1" ht="18.75" customHeight="1">
      <c r="A80" s="114"/>
      <c r="B80" s="629"/>
      <c r="C80" s="630"/>
      <c r="D80" s="631"/>
      <c r="E80" s="626" t="s">
        <v>588</v>
      </c>
      <c r="F80" s="627"/>
      <c r="G80" s="627"/>
      <c r="H80" s="628"/>
      <c r="I80" s="646" t="s">
        <v>590</v>
      </c>
      <c r="J80" s="653"/>
      <c r="K80" s="653"/>
      <c r="L80" s="654"/>
      <c r="M80" s="646" t="s">
        <v>592</v>
      </c>
      <c r="N80" s="653"/>
      <c r="O80" s="653"/>
      <c r="P80" s="653"/>
      <c r="Q80" s="654"/>
      <c r="R80" s="652" t="str">
        <f>Calcu!H42</f>
        <v>0밀도</v>
      </c>
      <c r="S80" s="647"/>
      <c r="T80" s="647"/>
      <c r="U80" s="648"/>
      <c r="V80" s="646" t="s">
        <v>594</v>
      </c>
      <c r="W80" s="653"/>
      <c r="X80" s="653"/>
      <c r="Y80" s="653"/>
      <c r="Z80" s="654"/>
      <c r="AA80" s="646" t="s">
        <v>595</v>
      </c>
      <c r="AB80" s="653"/>
      <c r="AC80" s="653"/>
      <c r="AD80" s="653"/>
      <c r="AE80" s="654"/>
      <c r="AF80" s="646" t="s">
        <v>597</v>
      </c>
      <c r="AG80" s="653"/>
      <c r="AH80" s="653"/>
      <c r="AI80" s="653"/>
      <c r="AJ80" s="654"/>
      <c r="AK80" s="646" t="s">
        <v>598</v>
      </c>
      <c r="AL80" s="653"/>
      <c r="AM80" s="653"/>
      <c r="AN80" s="653"/>
      <c r="AO80" s="654"/>
      <c r="AP80" s="646" t="s">
        <v>600</v>
      </c>
      <c r="AQ80" s="653"/>
      <c r="AR80" s="653"/>
      <c r="AS80" s="653"/>
      <c r="AT80" s="654"/>
    </row>
    <row r="81" spans="1:46" s="83" customFormat="1" ht="18.75" customHeight="1">
      <c r="A81" s="114"/>
      <c r="B81" s="629"/>
      <c r="C81" s="630"/>
      <c r="D81" s="631"/>
      <c r="E81" s="632"/>
      <c r="F81" s="633"/>
      <c r="G81" s="633"/>
      <c r="H81" s="634"/>
      <c r="I81" s="655"/>
      <c r="J81" s="656"/>
      <c r="K81" s="656"/>
      <c r="L81" s="657"/>
      <c r="M81" s="655"/>
      <c r="N81" s="656"/>
      <c r="O81" s="656"/>
      <c r="P81" s="656"/>
      <c r="Q81" s="657"/>
      <c r="R81" s="649"/>
      <c r="S81" s="650"/>
      <c r="T81" s="650"/>
      <c r="U81" s="651"/>
      <c r="V81" s="655"/>
      <c r="W81" s="656"/>
      <c r="X81" s="656"/>
      <c r="Y81" s="656"/>
      <c r="Z81" s="657"/>
      <c r="AA81" s="655"/>
      <c r="AB81" s="656"/>
      <c r="AC81" s="656"/>
      <c r="AD81" s="656"/>
      <c r="AE81" s="657"/>
      <c r="AF81" s="655"/>
      <c r="AG81" s="656"/>
      <c r="AH81" s="656"/>
      <c r="AI81" s="656"/>
      <c r="AJ81" s="657"/>
      <c r="AK81" s="655"/>
      <c r="AL81" s="656"/>
      <c r="AM81" s="656"/>
      <c r="AN81" s="656"/>
      <c r="AO81" s="657"/>
      <c r="AP81" s="655"/>
      <c r="AQ81" s="656"/>
      <c r="AR81" s="656"/>
      <c r="AS81" s="656"/>
      <c r="AT81" s="657"/>
    </row>
    <row r="82" spans="1:46" s="83" customFormat="1" ht="18.75" customHeight="1">
      <c r="A82" s="114"/>
      <c r="B82" s="632"/>
      <c r="C82" s="633"/>
      <c r="D82" s="634"/>
      <c r="E82" s="658">
        <f>Calcu!E44</f>
        <v>0</v>
      </c>
      <c r="F82" s="663"/>
      <c r="G82" s="663"/>
      <c r="H82" s="664"/>
      <c r="I82" s="659">
        <f>Calcu!F44</f>
        <v>0</v>
      </c>
      <c r="J82" s="665"/>
      <c r="K82" s="665"/>
      <c r="L82" s="666"/>
      <c r="M82" s="638">
        <f>Calcu!G44</f>
        <v>0</v>
      </c>
      <c r="N82" s="639"/>
      <c r="O82" s="639"/>
      <c r="P82" s="639"/>
      <c r="Q82" s="640"/>
      <c r="R82" s="638" t="str">
        <f>Calcu!H44</f>
        <v>kg/㎥</v>
      </c>
      <c r="S82" s="639"/>
      <c r="T82" s="639"/>
      <c r="U82" s="640"/>
      <c r="V82" s="638" t="s">
        <v>602</v>
      </c>
      <c r="W82" s="639"/>
      <c r="X82" s="639"/>
      <c r="Y82" s="639"/>
      <c r="Z82" s="640"/>
      <c r="AA82" s="638">
        <f>Calcu!K44</f>
        <v>0</v>
      </c>
      <c r="AB82" s="639"/>
      <c r="AC82" s="639"/>
      <c r="AD82" s="639"/>
      <c r="AE82" s="640"/>
      <c r="AF82" s="638">
        <f>Calcu!L44</f>
        <v>0</v>
      </c>
      <c r="AG82" s="639"/>
      <c r="AH82" s="639"/>
      <c r="AI82" s="639"/>
      <c r="AJ82" s="640"/>
      <c r="AK82" s="638">
        <f>Calcu!N44</f>
        <v>0</v>
      </c>
      <c r="AL82" s="639"/>
      <c r="AM82" s="639"/>
      <c r="AN82" s="639"/>
      <c r="AO82" s="640"/>
      <c r="AP82" s="638">
        <f>Calcu!M44</f>
        <v>0</v>
      </c>
      <c r="AQ82" s="639"/>
      <c r="AR82" s="639"/>
      <c r="AS82" s="639"/>
      <c r="AT82" s="640"/>
    </row>
    <row r="83" spans="1:46" s="83" customFormat="1" ht="18.75" customHeight="1">
      <c r="A83" s="114"/>
      <c r="B83" s="535">
        <v>1</v>
      </c>
      <c r="C83" s="535"/>
      <c r="D83" s="535"/>
      <c r="E83" s="536" t="str">
        <f>Calcu!E45</f>
        <v/>
      </c>
      <c r="F83" s="537"/>
      <c r="G83" s="537"/>
      <c r="H83" s="538"/>
      <c r="I83" s="536" t="str">
        <f>Calcu!F45</f>
        <v/>
      </c>
      <c r="J83" s="537"/>
      <c r="K83" s="537"/>
      <c r="L83" s="538"/>
      <c r="M83" s="539" t="str">
        <f>Calcu!G45</f>
        <v/>
      </c>
      <c r="N83" s="540"/>
      <c r="O83" s="540"/>
      <c r="P83" s="540"/>
      <c r="Q83" s="541"/>
      <c r="R83" s="542" t="str">
        <f>Calcu!H45</f>
        <v/>
      </c>
      <c r="S83" s="540"/>
      <c r="T83" s="540"/>
      <c r="U83" s="541"/>
      <c r="V83" s="539" t="str">
        <f>Calcu!I45</f>
        <v/>
      </c>
      <c r="W83" s="540"/>
      <c r="X83" s="540"/>
      <c r="Y83" s="540"/>
      <c r="Z83" s="541"/>
      <c r="AA83" s="539" t="str">
        <f>Calcu!K45</f>
        <v/>
      </c>
      <c r="AB83" s="540"/>
      <c r="AC83" s="540"/>
      <c r="AD83" s="540"/>
      <c r="AE83" s="541"/>
      <c r="AF83" s="539" t="str">
        <f>Calcu!L45</f>
        <v/>
      </c>
      <c r="AG83" s="540"/>
      <c r="AH83" s="540"/>
      <c r="AI83" s="540"/>
      <c r="AJ83" s="541"/>
      <c r="AK83" s="542" t="str">
        <f>Calcu!N45</f>
        <v/>
      </c>
      <c r="AL83" s="540"/>
      <c r="AM83" s="540"/>
      <c r="AN83" s="540"/>
      <c r="AO83" s="541"/>
      <c r="AP83" s="539" t="str">
        <f ca="1">IF(AN47="","",Calcu!M45)</f>
        <v/>
      </c>
      <c r="AQ83" s="540"/>
      <c r="AR83" s="540"/>
      <c r="AS83" s="540"/>
      <c r="AT83" s="541"/>
    </row>
    <row r="84" spans="1:46" s="83" customFormat="1" ht="18.75" customHeight="1">
      <c r="A84" s="114"/>
      <c r="B84" s="522">
        <v>2</v>
      </c>
      <c r="C84" s="522"/>
      <c r="D84" s="522"/>
      <c r="E84" s="667" t="str">
        <f>Calcu!E46</f>
        <v/>
      </c>
      <c r="F84" s="668"/>
      <c r="G84" s="668"/>
      <c r="H84" s="669"/>
      <c r="I84" s="667" t="str">
        <f>Calcu!F46</f>
        <v/>
      </c>
      <c r="J84" s="668"/>
      <c r="K84" s="668"/>
      <c r="L84" s="669"/>
      <c r="M84" s="670" t="str">
        <f>Calcu!G46</f>
        <v/>
      </c>
      <c r="N84" s="620"/>
      <c r="O84" s="620"/>
      <c r="P84" s="620"/>
      <c r="Q84" s="671"/>
      <c r="R84" s="543" t="str">
        <f>Calcu!H46</f>
        <v/>
      </c>
      <c r="S84" s="620"/>
      <c r="T84" s="620"/>
      <c r="U84" s="671"/>
      <c r="V84" s="670" t="str">
        <f>Calcu!I46</f>
        <v/>
      </c>
      <c r="W84" s="620"/>
      <c r="X84" s="620"/>
      <c r="Y84" s="620"/>
      <c r="Z84" s="671"/>
      <c r="AA84" s="670" t="str">
        <f>Calcu!K46</f>
        <v/>
      </c>
      <c r="AB84" s="620"/>
      <c r="AC84" s="620"/>
      <c r="AD84" s="620"/>
      <c r="AE84" s="671"/>
      <c r="AF84" s="670" t="str">
        <f>Calcu!L46</f>
        <v/>
      </c>
      <c r="AG84" s="620"/>
      <c r="AH84" s="620"/>
      <c r="AI84" s="620"/>
      <c r="AJ84" s="671"/>
      <c r="AK84" s="543" t="str">
        <f>Calcu!N46</f>
        <v/>
      </c>
      <c r="AL84" s="620"/>
      <c r="AM84" s="620"/>
      <c r="AN84" s="620"/>
      <c r="AO84" s="671"/>
      <c r="AP84" s="670" t="str">
        <f ca="1">IF(AN48="","",Calcu!M46)</f>
        <v/>
      </c>
      <c r="AQ84" s="620"/>
      <c r="AR84" s="620"/>
      <c r="AS84" s="620"/>
      <c r="AT84" s="671"/>
    </row>
    <row r="85" spans="1:46" s="83" customFormat="1" ht="18.75" customHeight="1">
      <c r="A85" s="114"/>
      <c r="B85" s="522">
        <v>3</v>
      </c>
      <c r="C85" s="522"/>
      <c r="D85" s="522"/>
      <c r="E85" s="667" t="str">
        <f>Calcu!E47</f>
        <v/>
      </c>
      <c r="F85" s="668"/>
      <c r="G85" s="668"/>
      <c r="H85" s="669"/>
      <c r="I85" s="667" t="str">
        <f>Calcu!F47</f>
        <v/>
      </c>
      <c r="J85" s="668"/>
      <c r="K85" s="668"/>
      <c r="L85" s="669"/>
      <c r="M85" s="670" t="str">
        <f>Calcu!G47</f>
        <v/>
      </c>
      <c r="N85" s="620"/>
      <c r="O85" s="620"/>
      <c r="P85" s="620"/>
      <c r="Q85" s="671"/>
      <c r="R85" s="543" t="str">
        <f>Calcu!H47</f>
        <v/>
      </c>
      <c r="S85" s="620"/>
      <c r="T85" s="620"/>
      <c r="U85" s="671"/>
      <c r="V85" s="670" t="str">
        <f>Calcu!I47</f>
        <v/>
      </c>
      <c r="W85" s="620"/>
      <c r="X85" s="620"/>
      <c r="Y85" s="620"/>
      <c r="Z85" s="671"/>
      <c r="AA85" s="670" t="str">
        <f>Calcu!K47</f>
        <v/>
      </c>
      <c r="AB85" s="620"/>
      <c r="AC85" s="620"/>
      <c r="AD85" s="620"/>
      <c r="AE85" s="671"/>
      <c r="AF85" s="670" t="str">
        <f>Calcu!L47</f>
        <v/>
      </c>
      <c r="AG85" s="620"/>
      <c r="AH85" s="620"/>
      <c r="AI85" s="620"/>
      <c r="AJ85" s="671"/>
      <c r="AK85" s="543" t="str">
        <f>Calcu!N47</f>
        <v/>
      </c>
      <c r="AL85" s="620"/>
      <c r="AM85" s="620"/>
      <c r="AN85" s="620"/>
      <c r="AO85" s="671"/>
      <c r="AP85" s="670" t="str">
        <f ca="1">IF(AN49="","",Calcu!M47)</f>
        <v/>
      </c>
      <c r="AQ85" s="620"/>
      <c r="AR85" s="620"/>
      <c r="AS85" s="620"/>
      <c r="AT85" s="671"/>
    </row>
    <row r="86" spans="1:46" s="83" customFormat="1" ht="18.75" customHeight="1">
      <c r="A86" s="114"/>
      <c r="B86" s="522">
        <v>4</v>
      </c>
      <c r="C86" s="522"/>
      <c r="D86" s="522"/>
      <c r="E86" s="667" t="str">
        <f>Calcu!E48</f>
        <v/>
      </c>
      <c r="F86" s="668"/>
      <c r="G86" s="668"/>
      <c r="H86" s="669"/>
      <c r="I86" s="667" t="str">
        <f>Calcu!F48</f>
        <v/>
      </c>
      <c r="J86" s="668"/>
      <c r="K86" s="668"/>
      <c r="L86" s="669"/>
      <c r="M86" s="670" t="str">
        <f>Calcu!G48</f>
        <v/>
      </c>
      <c r="N86" s="620"/>
      <c r="O86" s="620"/>
      <c r="P86" s="620"/>
      <c r="Q86" s="671"/>
      <c r="R86" s="543" t="str">
        <f>Calcu!H48</f>
        <v/>
      </c>
      <c r="S86" s="620"/>
      <c r="T86" s="620"/>
      <c r="U86" s="671"/>
      <c r="V86" s="670" t="str">
        <f>Calcu!I48</f>
        <v/>
      </c>
      <c r="W86" s="620"/>
      <c r="X86" s="620"/>
      <c r="Y86" s="620"/>
      <c r="Z86" s="671"/>
      <c r="AA86" s="670" t="str">
        <f>Calcu!K48</f>
        <v/>
      </c>
      <c r="AB86" s="620"/>
      <c r="AC86" s="620"/>
      <c r="AD86" s="620"/>
      <c r="AE86" s="671"/>
      <c r="AF86" s="670" t="str">
        <f>Calcu!L48</f>
        <v/>
      </c>
      <c r="AG86" s="620"/>
      <c r="AH86" s="620"/>
      <c r="AI86" s="620"/>
      <c r="AJ86" s="671"/>
      <c r="AK86" s="543" t="str">
        <f>Calcu!N48</f>
        <v/>
      </c>
      <c r="AL86" s="620"/>
      <c r="AM86" s="620"/>
      <c r="AN86" s="620"/>
      <c r="AO86" s="671"/>
      <c r="AP86" s="670" t="str">
        <f ca="1">IF(AN50="","",Calcu!M48)</f>
        <v/>
      </c>
      <c r="AQ86" s="620"/>
      <c r="AR86" s="620"/>
      <c r="AS86" s="620"/>
      <c r="AT86" s="671"/>
    </row>
    <row r="87" spans="1:46" s="83" customFormat="1" ht="18.75" customHeight="1">
      <c r="A87" s="114"/>
      <c r="B87" s="522">
        <v>5</v>
      </c>
      <c r="C87" s="522"/>
      <c r="D87" s="522"/>
      <c r="E87" s="667" t="str">
        <f>Calcu!E49</f>
        <v/>
      </c>
      <c r="F87" s="668"/>
      <c r="G87" s="668"/>
      <c r="H87" s="669"/>
      <c r="I87" s="667" t="str">
        <f>Calcu!F49</f>
        <v/>
      </c>
      <c r="J87" s="668"/>
      <c r="K87" s="668"/>
      <c r="L87" s="669"/>
      <c r="M87" s="670" t="str">
        <f>Calcu!G49</f>
        <v/>
      </c>
      <c r="N87" s="620"/>
      <c r="O87" s="620"/>
      <c r="P87" s="620"/>
      <c r="Q87" s="671"/>
      <c r="R87" s="543" t="str">
        <f>Calcu!H49</f>
        <v/>
      </c>
      <c r="S87" s="620"/>
      <c r="T87" s="620"/>
      <c r="U87" s="671"/>
      <c r="V87" s="670" t="str">
        <f>Calcu!I49</f>
        <v/>
      </c>
      <c r="W87" s="620"/>
      <c r="X87" s="620"/>
      <c r="Y87" s="620"/>
      <c r="Z87" s="671"/>
      <c r="AA87" s="670" t="str">
        <f>Calcu!K49</f>
        <v/>
      </c>
      <c r="AB87" s="620"/>
      <c r="AC87" s="620"/>
      <c r="AD87" s="620"/>
      <c r="AE87" s="671"/>
      <c r="AF87" s="670" t="str">
        <f>Calcu!L49</f>
        <v/>
      </c>
      <c r="AG87" s="620"/>
      <c r="AH87" s="620"/>
      <c r="AI87" s="620"/>
      <c r="AJ87" s="671"/>
      <c r="AK87" s="543" t="str">
        <f>Calcu!N49</f>
        <v/>
      </c>
      <c r="AL87" s="620"/>
      <c r="AM87" s="620"/>
      <c r="AN87" s="620"/>
      <c r="AO87" s="671"/>
      <c r="AP87" s="670" t="str">
        <f ca="1">IF(AN51="","",Calcu!M49)</f>
        <v/>
      </c>
      <c r="AQ87" s="620"/>
      <c r="AR87" s="620"/>
      <c r="AS87" s="620"/>
      <c r="AT87" s="671"/>
    </row>
    <row r="88" spans="1:46" s="83" customFormat="1" ht="18.75" customHeight="1">
      <c r="A88" s="114"/>
      <c r="B88" s="522">
        <v>6</v>
      </c>
      <c r="C88" s="522"/>
      <c r="D88" s="522"/>
      <c r="E88" s="667" t="str">
        <f>Calcu!E50</f>
        <v/>
      </c>
      <c r="F88" s="668"/>
      <c r="G88" s="668"/>
      <c r="H88" s="669"/>
      <c r="I88" s="667" t="str">
        <f>Calcu!F50</f>
        <v/>
      </c>
      <c r="J88" s="668"/>
      <c r="K88" s="668"/>
      <c r="L88" s="669"/>
      <c r="M88" s="670" t="str">
        <f>Calcu!G50</f>
        <v/>
      </c>
      <c r="N88" s="620"/>
      <c r="O88" s="620"/>
      <c r="P88" s="620"/>
      <c r="Q88" s="671"/>
      <c r="R88" s="543" t="str">
        <f>Calcu!H50</f>
        <v/>
      </c>
      <c r="S88" s="620"/>
      <c r="T88" s="620"/>
      <c r="U88" s="671"/>
      <c r="V88" s="670" t="str">
        <f>Calcu!I50</f>
        <v/>
      </c>
      <c r="W88" s="620"/>
      <c r="X88" s="620"/>
      <c r="Y88" s="620"/>
      <c r="Z88" s="671"/>
      <c r="AA88" s="670" t="str">
        <f>Calcu!K50</f>
        <v/>
      </c>
      <c r="AB88" s="620"/>
      <c r="AC88" s="620"/>
      <c r="AD88" s="620"/>
      <c r="AE88" s="671"/>
      <c r="AF88" s="670" t="str">
        <f>Calcu!L50</f>
        <v/>
      </c>
      <c r="AG88" s="620"/>
      <c r="AH88" s="620"/>
      <c r="AI88" s="620"/>
      <c r="AJ88" s="671"/>
      <c r="AK88" s="543" t="str">
        <f>Calcu!N50</f>
        <v/>
      </c>
      <c r="AL88" s="620"/>
      <c r="AM88" s="620"/>
      <c r="AN88" s="620"/>
      <c r="AO88" s="671"/>
      <c r="AP88" s="670" t="str">
        <f ca="1">IF(AN52="","",Calcu!M50)</f>
        <v/>
      </c>
      <c r="AQ88" s="620"/>
      <c r="AR88" s="620"/>
      <c r="AS88" s="620"/>
      <c r="AT88" s="671"/>
    </row>
    <row r="89" spans="1:46" s="83" customFormat="1" ht="18.75" customHeight="1">
      <c r="A89" s="114"/>
      <c r="B89" s="522">
        <v>7</v>
      </c>
      <c r="C89" s="522"/>
      <c r="D89" s="522"/>
      <c r="E89" s="667" t="str">
        <f>Calcu!E51</f>
        <v/>
      </c>
      <c r="F89" s="668"/>
      <c r="G89" s="668"/>
      <c r="H89" s="669"/>
      <c r="I89" s="667" t="str">
        <f>Calcu!F51</f>
        <v/>
      </c>
      <c r="J89" s="668"/>
      <c r="K89" s="668"/>
      <c r="L89" s="669"/>
      <c r="M89" s="670" t="str">
        <f>Calcu!G51</f>
        <v/>
      </c>
      <c r="N89" s="620"/>
      <c r="O89" s="620"/>
      <c r="P89" s="620"/>
      <c r="Q89" s="671"/>
      <c r="R89" s="543" t="str">
        <f>Calcu!H51</f>
        <v/>
      </c>
      <c r="S89" s="620"/>
      <c r="T89" s="620"/>
      <c r="U89" s="671"/>
      <c r="V89" s="670" t="str">
        <f>Calcu!I51</f>
        <v/>
      </c>
      <c r="W89" s="620"/>
      <c r="X89" s="620"/>
      <c r="Y89" s="620"/>
      <c r="Z89" s="671"/>
      <c r="AA89" s="670" t="str">
        <f>Calcu!K51</f>
        <v/>
      </c>
      <c r="AB89" s="620"/>
      <c r="AC89" s="620"/>
      <c r="AD89" s="620"/>
      <c r="AE89" s="671"/>
      <c r="AF89" s="670" t="str">
        <f>Calcu!L51</f>
        <v/>
      </c>
      <c r="AG89" s="620"/>
      <c r="AH89" s="620"/>
      <c r="AI89" s="620"/>
      <c r="AJ89" s="671"/>
      <c r="AK89" s="543" t="str">
        <f>Calcu!N51</f>
        <v/>
      </c>
      <c r="AL89" s="620"/>
      <c r="AM89" s="620"/>
      <c r="AN89" s="620"/>
      <c r="AO89" s="671"/>
      <c r="AP89" s="670" t="str">
        <f ca="1">IF(AN53="","",Calcu!M51)</f>
        <v/>
      </c>
      <c r="AQ89" s="620"/>
      <c r="AR89" s="620"/>
      <c r="AS89" s="620"/>
      <c r="AT89" s="671"/>
    </row>
    <row r="90" spans="1:46" s="83" customFormat="1" ht="18.75" customHeight="1">
      <c r="A90" s="114"/>
      <c r="B90" s="522">
        <v>8</v>
      </c>
      <c r="C90" s="522"/>
      <c r="D90" s="522"/>
      <c r="E90" s="667" t="str">
        <f>Calcu!E52</f>
        <v/>
      </c>
      <c r="F90" s="668"/>
      <c r="G90" s="668"/>
      <c r="H90" s="669"/>
      <c r="I90" s="667" t="str">
        <f>Calcu!F52</f>
        <v/>
      </c>
      <c r="J90" s="668"/>
      <c r="K90" s="668"/>
      <c r="L90" s="669"/>
      <c r="M90" s="670" t="str">
        <f>Calcu!G52</f>
        <v/>
      </c>
      <c r="N90" s="620"/>
      <c r="O90" s="620"/>
      <c r="P90" s="620"/>
      <c r="Q90" s="671"/>
      <c r="R90" s="543" t="str">
        <f>Calcu!H52</f>
        <v/>
      </c>
      <c r="S90" s="620"/>
      <c r="T90" s="620"/>
      <c r="U90" s="671"/>
      <c r="V90" s="670" t="str">
        <f>Calcu!I52</f>
        <v/>
      </c>
      <c r="W90" s="620"/>
      <c r="X90" s="620"/>
      <c r="Y90" s="620"/>
      <c r="Z90" s="671"/>
      <c r="AA90" s="670" t="str">
        <f>Calcu!K52</f>
        <v/>
      </c>
      <c r="AB90" s="620"/>
      <c r="AC90" s="620"/>
      <c r="AD90" s="620"/>
      <c r="AE90" s="671"/>
      <c r="AF90" s="670" t="str">
        <f>Calcu!L52</f>
        <v/>
      </c>
      <c r="AG90" s="620"/>
      <c r="AH90" s="620"/>
      <c r="AI90" s="620"/>
      <c r="AJ90" s="671"/>
      <c r="AK90" s="543" t="str">
        <f>Calcu!N52</f>
        <v/>
      </c>
      <c r="AL90" s="620"/>
      <c r="AM90" s="620"/>
      <c r="AN90" s="620"/>
      <c r="AO90" s="671"/>
      <c r="AP90" s="670" t="str">
        <f ca="1">IF(AN54="","",Calcu!M52)</f>
        <v/>
      </c>
      <c r="AQ90" s="620"/>
      <c r="AR90" s="620"/>
      <c r="AS90" s="620"/>
      <c r="AT90" s="671"/>
    </row>
    <row r="91" spans="1:46" s="83" customFormat="1" ht="18.75" customHeight="1">
      <c r="A91" s="114"/>
      <c r="B91" s="522">
        <v>9</v>
      </c>
      <c r="C91" s="522"/>
      <c r="D91" s="522"/>
      <c r="E91" s="667" t="str">
        <f>Calcu!E53</f>
        <v/>
      </c>
      <c r="F91" s="668"/>
      <c r="G91" s="668"/>
      <c r="H91" s="669"/>
      <c r="I91" s="667" t="str">
        <f>Calcu!F53</f>
        <v/>
      </c>
      <c r="J91" s="668"/>
      <c r="K91" s="668"/>
      <c r="L91" s="669"/>
      <c r="M91" s="670" t="str">
        <f>Calcu!G53</f>
        <v/>
      </c>
      <c r="N91" s="620"/>
      <c r="O91" s="620"/>
      <c r="P91" s="620"/>
      <c r="Q91" s="671"/>
      <c r="R91" s="543" t="str">
        <f>Calcu!H53</f>
        <v/>
      </c>
      <c r="S91" s="620"/>
      <c r="T91" s="620"/>
      <c r="U91" s="671"/>
      <c r="V91" s="670" t="str">
        <f>Calcu!I53</f>
        <v/>
      </c>
      <c r="W91" s="620"/>
      <c r="X91" s="620"/>
      <c r="Y91" s="620"/>
      <c r="Z91" s="671"/>
      <c r="AA91" s="670" t="str">
        <f>Calcu!K53</f>
        <v/>
      </c>
      <c r="AB91" s="620"/>
      <c r="AC91" s="620"/>
      <c r="AD91" s="620"/>
      <c r="AE91" s="671"/>
      <c r="AF91" s="670" t="str">
        <f>Calcu!L53</f>
        <v/>
      </c>
      <c r="AG91" s="620"/>
      <c r="AH91" s="620"/>
      <c r="AI91" s="620"/>
      <c r="AJ91" s="671"/>
      <c r="AK91" s="543" t="str">
        <f>Calcu!N53</f>
        <v/>
      </c>
      <c r="AL91" s="620"/>
      <c r="AM91" s="620"/>
      <c r="AN91" s="620"/>
      <c r="AO91" s="671"/>
      <c r="AP91" s="670" t="str">
        <f ca="1">IF(AN55="","",Calcu!M53)</f>
        <v/>
      </c>
      <c r="AQ91" s="620"/>
      <c r="AR91" s="620"/>
      <c r="AS91" s="620"/>
      <c r="AT91" s="671"/>
    </row>
    <row r="92" spans="1:46" s="83" customFormat="1" ht="18.75" customHeight="1">
      <c r="A92" s="114"/>
      <c r="B92" s="522">
        <v>10</v>
      </c>
      <c r="C92" s="522"/>
      <c r="D92" s="522"/>
      <c r="E92" s="667" t="str">
        <f>Calcu!E54</f>
        <v/>
      </c>
      <c r="F92" s="668"/>
      <c r="G92" s="668"/>
      <c r="H92" s="669"/>
      <c r="I92" s="667" t="str">
        <f>Calcu!F54</f>
        <v/>
      </c>
      <c r="J92" s="668"/>
      <c r="K92" s="668"/>
      <c r="L92" s="669"/>
      <c r="M92" s="670" t="str">
        <f>Calcu!G54</f>
        <v/>
      </c>
      <c r="N92" s="620"/>
      <c r="O92" s="620"/>
      <c r="P92" s="620"/>
      <c r="Q92" s="671"/>
      <c r="R92" s="543" t="str">
        <f>Calcu!H54</f>
        <v/>
      </c>
      <c r="S92" s="620"/>
      <c r="T92" s="620"/>
      <c r="U92" s="671"/>
      <c r="V92" s="670" t="str">
        <f>Calcu!I54</f>
        <v/>
      </c>
      <c r="W92" s="620"/>
      <c r="X92" s="620"/>
      <c r="Y92" s="620"/>
      <c r="Z92" s="671"/>
      <c r="AA92" s="670" t="str">
        <f>Calcu!K54</f>
        <v/>
      </c>
      <c r="AB92" s="620"/>
      <c r="AC92" s="620"/>
      <c r="AD92" s="620"/>
      <c r="AE92" s="671"/>
      <c r="AF92" s="670" t="str">
        <f>Calcu!L54</f>
        <v/>
      </c>
      <c r="AG92" s="620"/>
      <c r="AH92" s="620"/>
      <c r="AI92" s="620"/>
      <c r="AJ92" s="671"/>
      <c r="AK92" s="543" t="str">
        <f>Calcu!N54</f>
        <v/>
      </c>
      <c r="AL92" s="620"/>
      <c r="AM92" s="620"/>
      <c r="AN92" s="620"/>
      <c r="AO92" s="671"/>
      <c r="AP92" s="670" t="str">
        <f ca="1">IF(AN56="","",Calcu!M54)</f>
        <v/>
      </c>
      <c r="AQ92" s="620"/>
      <c r="AR92" s="620"/>
      <c r="AS92" s="620"/>
      <c r="AT92" s="671"/>
    </row>
    <row r="93" spans="1:46" s="83" customFormat="1" ht="18.75" customHeight="1">
      <c r="A93" s="114"/>
      <c r="B93" s="522">
        <v>11</v>
      </c>
      <c r="C93" s="522"/>
      <c r="D93" s="522"/>
      <c r="E93" s="667" t="str">
        <f>Calcu!E55</f>
        <v/>
      </c>
      <c r="F93" s="668"/>
      <c r="G93" s="668"/>
      <c r="H93" s="669"/>
      <c r="I93" s="667" t="str">
        <f>Calcu!F55</f>
        <v/>
      </c>
      <c r="J93" s="668"/>
      <c r="K93" s="668"/>
      <c r="L93" s="669"/>
      <c r="M93" s="670" t="str">
        <f>Calcu!G55</f>
        <v/>
      </c>
      <c r="N93" s="620"/>
      <c r="O93" s="620"/>
      <c r="P93" s="620"/>
      <c r="Q93" s="671"/>
      <c r="R93" s="543" t="str">
        <f>Calcu!H55</f>
        <v/>
      </c>
      <c r="S93" s="620"/>
      <c r="T93" s="620"/>
      <c r="U93" s="671"/>
      <c r="V93" s="670" t="str">
        <f>Calcu!I55</f>
        <v/>
      </c>
      <c r="W93" s="620"/>
      <c r="X93" s="620"/>
      <c r="Y93" s="620"/>
      <c r="Z93" s="671"/>
      <c r="AA93" s="670" t="str">
        <f>Calcu!K55</f>
        <v/>
      </c>
      <c r="AB93" s="620"/>
      <c r="AC93" s="620"/>
      <c r="AD93" s="620"/>
      <c r="AE93" s="671"/>
      <c r="AF93" s="670" t="str">
        <f>Calcu!L55</f>
        <v/>
      </c>
      <c r="AG93" s="620"/>
      <c r="AH93" s="620"/>
      <c r="AI93" s="620"/>
      <c r="AJ93" s="671"/>
      <c r="AK93" s="543" t="str">
        <f>Calcu!N55</f>
        <v/>
      </c>
      <c r="AL93" s="620"/>
      <c r="AM93" s="620"/>
      <c r="AN93" s="620"/>
      <c r="AO93" s="671"/>
      <c r="AP93" s="670" t="str">
        <f ca="1">IF(AN57="","",Calcu!M55)</f>
        <v/>
      </c>
      <c r="AQ93" s="620"/>
      <c r="AR93" s="620"/>
      <c r="AS93" s="620"/>
      <c r="AT93" s="671"/>
    </row>
    <row r="94" spans="1:46" s="83" customFormat="1" ht="18.75" customHeight="1">
      <c r="A94" s="114"/>
      <c r="B94" s="522">
        <v>12</v>
      </c>
      <c r="C94" s="522"/>
      <c r="D94" s="522"/>
      <c r="E94" s="667" t="str">
        <f>Calcu!E56</f>
        <v/>
      </c>
      <c r="F94" s="668"/>
      <c r="G94" s="668"/>
      <c r="H94" s="669"/>
      <c r="I94" s="667" t="str">
        <f>Calcu!F56</f>
        <v/>
      </c>
      <c r="J94" s="668"/>
      <c r="K94" s="668"/>
      <c r="L94" s="669"/>
      <c r="M94" s="670" t="str">
        <f>Calcu!G56</f>
        <v/>
      </c>
      <c r="N94" s="620"/>
      <c r="O94" s="620"/>
      <c r="P94" s="620"/>
      <c r="Q94" s="671"/>
      <c r="R94" s="543" t="str">
        <f>Calcu!H56</f>
        <v/>
      </c>
      <c r="S94" s="620"/>
      <c r="T94" s="620"/>
      <c r="U94" s="671"/>
      <c r="V94" s="670" t="str">
        <f>Calcu!I56</f>
        <v/>
      </c>
      <c r="W94" s="620"/>
      <c r="X94" s="620"/>
      <c r="Y94" s="620"/>
      <c r="Z94" s="671"/>
      <c r="AA94" s="670" t="str">
        <f>Calcu!K56</f>
        <v/>
      </c>
      <c r="AB94" s="620"/>
      <c r="AC94" s="620"/>
      <c r="AD94" s="620"/>
      <c r="AE94" s="671"/>
      <c r="AF94" s="670" t="str">
        <f>Calcu!L56</f>
        <v/>
      </c>
      <c r="AG94" s="620"/>
      <c r="AH94" s="620"/>
      <c r="AI94" s="620"/>
      <c r="AJ94" s="671"/>
      <c r="AK94" s="543" t="str">
        <f>Calcu!N56</f>
        <v/>
      </c>
      <c r="AL94" s="620"/>
      <c r="AM94" s="620"/>
      <c r="AN94" s="620"/>
      <c r="AO94" s="671"/>
      <c r="AP94" s="670" t="str">
        <f ca="1">IF(AN58="","",Calcu!M56)</f>
        <v/>
      </c>
      <c r="AQ94" s="620"/>
      <c r="AR94" s="620"/>
      <c r="AS94" s="620"/>
      <c r="AT94" s="671"/>
    </row>
    <row r="95" spans="1:46" s="83" customFormat="1" ht="18.75" customHeight="1">
      <c r="A95" s="114"/>
      <c r="B95" s="522">
        <v>13</v>
      </c>
      <c r="C95" s="522"/>
      <c r="D95" s="522"/>
      <c r="E95" s="667" t="str">
        <f>Calcu!E57</f>
        <v/>
      </c>
      <c r="F95" s="668"/>
      <c r="G95" s="668"/>
      <c r="H95" s="669"/>
      <c r="I95" s="667" t="str">
        <f>Calcu!F57</f>
        <v/>
      </c>
      <c r="J95" s="668"/>
      <c r="K95" s="668"/>
      <c r="L95" s="669"/>
      <c r="M95" s="670" t="str">
        <f>Calcu!G57</f>
        <v/>
      </c>
      <c r="N95" s="620"/>
      <c r="O95" s="620"/>
      <c r="P95" s="620"/>
      <c r="Q95" s="671"/>
      <c r="R95" s="543" t="str">
        <f>Calcu!H57</f>
        <v/>
      </c>
      <c r="S95" s="620"/>
      <c r="T95" s="620"/>
      <c r="U95" s="671"/>
      <c r="V95" s="670" t="str">
        <f>Calcu!I57</f>
        <v/>
      </c>
      <c r="W95" s="620"/>
      <c r="X95" s="620"/>
      <c r="Y95" s="620"/>
      <c r="Z95" s="671"/>
      <c r="AA95" s="670" t="str">
        <f>Calcu!K57</f>
        <v/>
      </c>
      <c r="AB95" s="620"/>
      <c r="AC95" s="620"/>
      <c r="AD95" s="620"/>
      <c r="AE95" s="671"/>
      <c r="AF95" s="670" t="str">
        <f>Calcu!L57</f>
        <v/>
      </c>
      <c r="AG95" s="620"/>
      <c r="AH95" s="620"/>
      <c r="AI95" s="620"/>
      <c r="AJ95" s="671"/>
      <c r="AK95" s="543" t="str">
        <f>Calcu!N57</f>
        <v/>
      </c>
      <c r="AL95" s="620"/>
      <c r="AM95" s="620"/>
      <c r="AN95" s="620"/>
      <c r="AO95" s="671"/>
      <c r="AP95" s="670" t="str">
        <f ca="1">IF(AN59="","",Calcu!M57)</f>
        <v/>
      </c>
      <c r="AQ95" s="620"/>
      <c r="AR95" s="620"/>
      <c r="AS95" s="620"/>
      <c r="AT95" s="671"/>
    </row>
    <row r="96" spans="1:46" s="83" customFormat="1" ht="18.75" customHeight="1">
      <c r="A96" s="114"/>
      <c r="B96" s="522">
        <v>14</v>
      </c>
      <c r="C96" s="522"/>
      <c r="D96" s="522"/>
      <c r="E96" s="667" t="str">
        <f>Calcu!E58</f>
        <v/>
      </c>
      <c r="F96" s="668"/>
      <c r="G96" s="668"/>
      <c r="H96" s="669"/>
      <c r="I96" s="667" t="str">
        <f>Calcu!F58</f>
        <v/>
      </c>
      <c r="J96" s="668"/>
      <c r="K96" s="668"/>
      <c r="L96" s="669"/>
      <c r="M96" s="670" t="str">
        <f>Calcu!G58</f>
        <v/>
      </c>
      <c r="N96" s="620"/>
      <c r="O96" s="620"/>
      <c r="P96" s="620"/>
      <c r="Q96" s="671"/>
      <c r="R96" s="543" t="str">
        <f>Calcu!H58</f>
        <v/>
      </c>
      <c r="S96" s="620"/>
      <c r="T96" s="620"/>
      <c r="U96" s="671"/>
      <c r="V96" s="670" t="str">
        <f>Calcu!I58</f>
        <v/>
      </c>
      <c r="W96" s="620"/>
      <c r="X96" s="620"/>
      <c r="Y96" s="620"/>
      <c r="Z96" s="671"/>
      <c r="AA96" s="670" t="str">
        <f>Calcu!K58</f>
        <v/>
      </c>
      <c r="AB96" s="620"/>
      <c r="AC96" s="620"/>
      <c r="AD96" s="620"/>
      <c r="AE96" s="671"/>
      <c r="AF96" s="670" t="str">
        <f>Calcu!L58</f>
        <v/>
      </c>
      <c r="AG96" s="620"/>
      <c r="AH96" s="620"/>
      <c r="AI96" s="620"/>
      <c r="AJ96" s="671"/>
      <c r="AK96" s="543" t="str">
        <f>Calcu!N58</f>
        <v/>
      </c>
      <c r="AL96" s="620"/>
      <c r="AM96" s="620"/>
      <c r="AN96" s="620"/>
      <c r="AO96" s="671"/>
      <c r="AP96" s="670" t="str">
        <f ca="1">IF(AN60="","",Calcu!M58)</f>
        <v/>
      </c>
      <c r="AQ96" s="620"/>
      <c r="AR96" s="620"/>
      <c r="AS96" s="620"/>
      <c r="AT96" s="671"/>
    </row>
    <row r="97" spans="1:46" s="83" customFormat="1" ht="18.75" customHeight="1">
      <c r="A97" s="114"/>
      <c r="B97" s="522">
        <v>15</v>
      </c>
      <c r="C97" s="522"/>
      <c r="D97" s="522"/>
      <c r="E97" s="672" t="str">
        <f>Calcu!E59</f>
        <v/>
      </c>
      <c r="F97" s="673"/>
      <c r="G97" s="673"/>
      <c r="H97" s="674"/>
      <c r="I97" s="672" t="str">
        <f>Calcu!F59</f>
        <v/>
      </c>
      <c r="J97" s="673"/>
      <c r="K97" s="673"/>
      <c r="L97" s="674"/>
      <c r="M97" s="675" t="str">
        <f>Calcu!G59</f>
        <v/>
      </c>
      <c r="N97" s="676"/>
      <c r="O97" s="676"/>
      <c r="P97" s="676"/>
      <c r="Q97" s="677"/>
      <c r="R97" s="623" t="str">
        <f>Calcu!H59</f>
        <v/>
      </c>
      <c r="S97" s="676"/>
      <c r="T97" s="676"/>
      <c r="U97" s="677"/>
      <c r="V97" s="675" t="str">
        <f>Calcu!I59</f>
        <v/>
      </c>
      <c r="W97" s="676"/>
      <c r="X97" s="676"/>
      <c r="Y97" s="676"/>
      <c r="Z97" s="677"/>
      <c r="AA97" s="675" t="str">
        <f>Calcu!K59</f>
        <v/>
      </c>
      <c r="AB97" s="676"/>
      <c r="AC97" s="676"/>
      <c r="AD97" s="676"/>
      <c r="AE97" s="677"/>
      <c r="AF97" s="675" t="str">
        <f>Calcu!L59</f>
        <v/>
      </c>
      <c r="AG97" s="676"/>
      <c r="AH97" s="676"/>
      <c r="AI97" s="676"/>
      <c r="AJ97" s="677"/>
      <c r="AK97" s="623" t="str">
        <f>Calcu!N59</f>
        <v/>
      </c>
      <c r="AL97" s="676"/>
      <c r="AM97" s="676"/>
      <c r="AN97" s="676"/>
      <c r="AO97" s="677"/>
      <c r="AP97" s="675" t="str">
        <f ca="1">IF(AN61="","",Calcu!M59)</f>
        <v/>
      </c>
      <c r="AQ97" s="676"/>
      <c r="AR97" s="676"/>
      <c r="AS97" s="676"/>
      <c r="AT97" s="677"/>
    </row>
    <row r="98" spans="1:46" s="83" customFormat="1" ht="18.75" customHeight="1">
      <c r="A98" s="114"/>
      <c r="B98" s="347"/>
      <c r="C98" s="347"/>
      <c r="D98" s="347"/>
      <c r="E98" s="347"/>
      <c r="F98" s="347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7"/>
      <c r="V98" s="347"/>
      <c r="W98" s="347"/>
      <c r="X98" s="347"/>
      <c r="Y98" s="347"/>
      <c r="Z98" s="347"/>
      <c r="AA98" s="347"/>
      <c r="AB98" s="347"/>
      <c r="AC98" s="347"/>
      <c r="AD98" s="347"/>
      <c r="AE98" s="347"/>
      <c r="AF98" s="347"/>
      <c r="AG98" s="347"/>
      <c r="AH98" s="347"/>
      <c r="AI98" s="347"/>
      <c r="AJ98" s="347"/>
      <c r="AK98" s="347"/>
      <c r="AL98" s="347"/>
      <c r="AM98" s="347"/>
      <c r="AN98" s="347"/>
      <c r="AO98" s="347"/>
      <c r="AP98" s="347"/>
      <c r="AQ98" s="347"/>
      <c r="AR98" s="347"/>
      <c r="AS98" s="347"/>
      <c r="AT98" s="347"/>
    </row>
    <row r="99" spans="1:46" s="83" customFormat="1" ht="18.75" customHeight="1">
      <c r="A99" s="90" t="s">
        <v>603</v>
      </c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</row>
    <row r="100" spans="1:46" s="83" customFormat="1" ht="18.75" customHeight="1">
      <c r="A100" s="114"/>
      <c r="B100" s="626" t="s">
        <v>604</v>
      </c>
      <c r="C100" s="627"/>
      <c r="D100" s="628"/>
      <c r="E100" s="635" t="s">
        <v>586</v>
      </c>
      <c r="F100" s="636"/>
      <c r="G100" s="636"/>
      <c r="H100" s="636"/>
      <c r="I100" s="636"/>
      <c r="J100" s="636"/>
      <c r="K100" s="636"/>
      <c r="L100" s="636"/>
      <c r="M100" s="636"/>
      <c r="N100" s="636"/>
      <c r="O100" s="636"/>
      <c r="P100" s="636"/>
      <c r="Q100" s="636"/>
      <c r="R100" s="636"/>
      <c r="S100" s="636"/>
      <c r="T100" s="636"/>
      <c r="U100" s="636"/>
      <c r="V100" s="637"/>
      <c r="W100" s="635" t="s">
        <v>605</v>
      </c>
      <c r="X100" s="636"/>
      <c r="Y100" s="636"/>
      <c r="Z100" s="636"/>
      <c r="AA100" s="636"/>
      <c r="AB100" s="636"/>
      <c r="AC100" s="636"/>
      <c r="AD100" s="636"/>
      <c r="AE100" s="636"/>
      <c r="AF100" s="636"/>
      <c r="AG100" s="636"/>
      <c r="AH100" s="636"/>
      <c r="AI100" s="636"/>
      <c r="AJ100" s="636"/>
      <c r="AK100" s="636"/>
      <c r="AL100" s="636"/>
      <c r="AM100" s="636"/>
      <c r="AN100" s="636"/>
      <c r="AO100" s="636"/>
      <c r="AP100" s="636"/>
      <c r="AQ100" s="636"/>
      <c r="AR100" s="636"/>
      <c r="AS100" s="636"/>
      <c r="AT100" s="637"/>
    </row>
    <row r="101" spans="1:46" s="83" customFormat="1" ht="18.75" customHeight="1">
      <c r="A101" s="114"/>
      <c r="B101" s="629"/>
      <c r="C101" s="630"/>
      <c r="D101" s="631"/>
      <c r="E101" s="626" t="s">
        <v>606</v>
      </c>
      <c r="F101" s="627"/>
      <c r="G101" s="627"/>
      <c r="H101" s="627"/>
      <c r="I101" s="627"/>
      <c r="J101" s="628"/>
      <c r="K101" s="626" t="str">
        <f>Calcu!Q42</f>
        <v>0밀도</v>
      </c>
      <c r="L101" s="627"/>
      <c r="M101" s="627"/>
      <c r="N101" s="627"/>
      <c r="O101" s="627"/>
      <c r="P101" s="628"/>
      <c r="Q101" s="626" t="s">
        <v>607</v>
      </c>
      <c r="R101" s="627"/>
      <c r="S101" s="627"/>
      <c r="T101" s="627"/>
      <c r="U101" s="627"/>
      <c r="V101" s="628"/>
      <c r="W101" s="678" t="s">
        <v>608</v>
      </c>
      <c r="X101" s="679"/>
      <c r="Y101" s="679"/>
      <c r="Z101" s="679"/>
      <c r="AA101" s="679"/>
      <c r="AB101" s="679"/>
      <c r="AC101" s="679"/>
      <c r="AD101" s="679"/>
      <c r="AE101" s="679"/>
      <c r="AF101" s="679"/>
      <c r="AG101" s="679"/>
      <c r="AH101" s="679"/>
      <c r="AI101" s="679"/>
      <c r="AJ101" s="679"/>
      <c r="AK101" s="679"/>
      <c r="AL101" s="679"/>
      <c r="AM101" s="679"/>
      <c r="AN101" s="679"/>
      <c r="AO101" s="679"/>
      <c r="AP101" s="679"/>
      <c r="AQ101" s="679"/>
      <c r="AR101" s="679"/>
      <c r="AS101" s="679"/>
      <c r="AT101" s="680"/>
    </row>
    <row r="102" spans="1:46" s="83" customFormat="1" ht="18.75" customHeight="1">
      <c r="A102" s="114"/>
      <c r="B102" s="629"/>
      <c r="C102" s="630"/>
      <c r="D102" s="631"/>
      <c r="E102" s="632"/>
      <c r="F102" s="633"/>
      <c r="G102" s="633"/>
      <c r="H102" s="633"/>
      <c r="I102" s="633"/>
      <c r="J102" s="634"/>
      <c r="K102" s="632"/>
      <c r="L102" s="633"/>
      <c r="M102" s="633"/>
      <c r="N102" s="633"/>
      <c r="O102" s="633"/>
      <c r="P102" s="634"/>
      <c r="Q102" s="632"/>
      <c r="R102" s="633"/>
      <c r="S102" s="633"/>
      <c r="T102" s="633"/>
      <c r="U102" s="633"/>
      <c r="V102" s="634"/>
      <c r="W102" s="681" t="s">
        <v>609</v>
      </c>
      <c r="X102" s="681"/>
      <c r="Y102" s="681"/>
      <c r="Z102" s="681"/>
      <c r="AA102" s="681"/>
      <c r="AB102" s="681"/>
      <c r="AC102" s="681" t="s">
        <v>610</v>
      </c>
      <c r="AD102" s="681"/>
      <c r="AE102" s="681"/>
      <c r="AF102" s="681"/>
      <c r="AG102" s="681"/>
      <c r="AH102" s="681"/>
      <c r="AI102" s="681" t="s">
        <v>600</v>
      </c>
      <c r="AJ102" s="681"/>
      <c r="AK102" s="681"/>
      <c r="AL102" s="681"/>
      <c r="AM102" s="681"/>
      <c r="AN102" s="681"/>
      <c r="AO102" s="681" t="s">
        <v>611</v>
      </c>
      <c r="AP102" s="681"/>
      <c r="AQ102" s="681"/>
      <c r="AR102" s="681"/>
      <c r="AS102" s="681"/>
      <c r="AT102" s="681"/>
    </row>
    <row r="103" spans="1:46" s="83" customFormat="1" ht="18.75" customHeight="1">
      <c r="A103" s="114"/>
      <c r="B103" s="632"/>
      <c r="C103" s="633"/>
      <c r="D103" s="634"/>
      <c r="E103" s="638" t="str">
        <f>Calcu!P44</f>
        <v>Pa</v>
      </c>
      <c r="F103" s="639"/>
      <c r="G103" s="639"/>
      <c r="H103" s="639"/>
      <c r="I103" s="639"/>
      <c r="J103" s="640"/>
      <c r="K103" s="638" t="str">
        <f>Calcu!R44</f>
        <v>kg/㎥</v>
      </c>
      <c r="L103" s="639"/>
      <c r="M103" s="639"/>
      <c r="N103" s="639"/>
      <c r="O103" s="639"/>
      <c r="P103" s="640"/>
      <c r="Q103" s="638" t="str">
        <f>Calcu!T44</f>
        <v>m/s2</v>
      </c>
      <c r="R103" s="639"/>
      <c r="S103" s="639"/>
      <c r="T103" s="639"/>
      <c r="U103" s="639"/>
      <c r="V103" s="640"/>
      <c r="W103" s="638" t="str">
        <f>Calcu!W44</f>
        <v>m</v>
      </c>
      <c r="X103" s="639"/>
      <c r="Y103" s="639"/>
      <c r="Z103" s="639"/>
      <c r="AA103" s="639"/>
      <c r="AB103" s="640"/>
      <c r="AC103" s="638" t="str">
        <f>Calcu!X44</f>
        <v>m</v>
      </c>
      <c r="AD103" s="639"/>
      <c r="AE103" s="639"/>
      <c r="AF103" s="639"/>
      <c r="AG103" s="639"/>
      <c r="AH103" s="640"/>
      <c r="AI103" s="638" t="str">
        <f>Calcu!Y44</f>
        <v>m</v>
      </c>
      <c r="AJ103" s="639"/>
      <c r="AK103" s="639"/>
      <c r="AL103" s="639"/>
      <c r="AM103" s="639"/>
      <c r="AN103" s="640"/>
      <c r="AO103" s="638" t="str">
        <f>Calcu!Z44</f>
        <v>m</v>
      </c>
      <c r="AP103" s="639"/>
      <c r="AQ103" s="639"/>
      <c r="AR103" s="639"/>
      <c r="AS103" s="639"/>
      <c r="AT103" s="640"/>
    </row>
    <row r="104" spans="1:46" s="83" customFormat="1" ht="18.75" customHeight="1">
      <c r="A104" s="114"/>
      <c r="B104" s="535">
        <v>1</v>
      </c>
      <c r="C104" s="535"/>
      <c r="D104" s="535"/>
      <c r="E104" s="682" t="str">
        <f>Calcu!P45</f>
        <v/>
      </c>
      <c r="F104" s="683"/>
      <c r="G104" s="683"/>
      <c r="H104" s="683"/>
      <c r="I104" s="683"/>
      <c r="J104" s="684"/>
      <c r="K104" s="682" t="str">
        <f>Calcu!R45</f>
        <v/>
      </c>
      <c r="L104" s="683"/>
      <c r="M104" s="683"/>
      <c r="N104" s="683"/>
      <c r="O104" s="683"/>
      <c r="P104" s="684"/>
      <c r="Q104" s="682" t="str">
        <f>Calcu!T45</f>
        <v/>
      </c>
      <c r="R104" s="683"/>
      <c r="S104" s="683"/>
      <c r="T104" s="683"/>
      <c r="U104" s="683"/>
      <c r="V104" s="684"/>
      <c r="W104" s="682" t="str">
        <f>Calcu!W45</f>
        <v/>
      </c>
      <c r="X104" s="683"/>
      <c r="Y104" s="683"/>
      <c r="Z104" s="683"/>
      <c r="AA104" s="683"/>
      <c r="AB104" s="684"/>
      <c r="AC104" s="682" t="str">
        <f>Calcu!X45</f>
        <v/>
      </c>
      <c r="AD104" s="683"/>
      <c r="AE104" s="683"/>
      <c r="AF104" s="683"/>
      <c r="AG104" s="683"/>
      <c r="AH104" s="684"/>
      <c r="AI104" s="682" t="str">
        <f>Calcu!Y45</f>
        <v/>
      </c>
      <c r="AJ104" s="683"/>
      <c r="AK104" s="683"/>
      <c r="AL104" s="683"/>
      <c r="AM104" s="683"/>
      <c r="AN104" s="684"/>
      <c r="AO104" s="682" t="str">
        <f>Calcu!Z45</f>
        <v/>
      </c>
      <c r="AP104" s="683"/>
      <c r="AQ104" s="683"/>
      <c r="AR104" s="683"/>
      <c r="AS104" s="683"/>
      <c r="AT104" s="684"/>
    </row>
    <row r="105" spans="1:46" s="83" customFormat="1" ht="18.75" customHeight="1">
      <c r="A105" s="114"/>
      <c r="B105" s="522">
        <v>2</v>
      </c>
      <c r="C105" s="522"/>
      <c r="D105" s="522"/>
      <c r="E105" s="523" t="str">
        <f>Calcu!P46</f>
        <v/>
      </c>
      <c r="F105" s="524"/>
      <c r="G105" s="524"/>
      <c r="H105" s="524"/>
      <c r="I105" s="524"/>
      <c r="J105" s="525"/>
      <c r="K105" s="523" t="str">
        <f>Calcu!R46</f>
        <v/>
      </c>
      <c r="L105" s="524"/>
      <c r="M105" s="524"/>
      <c r="N105" s="524"/>
      <c r="O105" s="524"/>
      <c r="P105" s="525"/>
      <c r="Q105" s="523" t="str">
        <f>Calcu!T46</f>
        <v/>
      </c>
      <c r="R105" s="524"/>
      <c r="S105" s="524"/>
      <c r="T105" s="524"/>
      <c r="U105" s="524"/>
      <c r="V105" s="525"/>
      <c r="W105" s="523" t="str">
        <f>Calcu!W46</f>
        <v/>
      </c>
      <c r="X105" s="524"/>
      <c r="Y105" s="524"/>
      <c r="Z105" s="524"/>
      <c r="AA105" s="524"/>
      <c r="AB105" s="525"/>
      <c r="AC105" s="523" t="str">
        <f>Calcu!X46</f>
        <v/>
      </c>
      <c r="AD105" s="524"/>
      <c r="AE105" s="524"/>
      <c r="AF105" s="524"/>
      <c r="AG105" s="524"/>
      <c r="AH105" s="525"/>
      <c r="AI105" s="523" t="str">
        <f>Calcu!Y46</f>
        <v/>
      </c>
      <c r="AJ105" s="524"/>
      <c r="AK105" s="524"/>
      <c r="AL105" s="524"/>
      <c r="AM105" s="524"/>
      <c r="AN105" s="525"/>
      <c r="AO105" s="523" t="str">
        <f>Calcu!Z46</f>
        <v/>
      </c>
      <c r="AP105" s="524"/>
      <c r="AQ105" s="524"/>
      <c r="AR105" s="524"/>
      <c r="AS105" s="524"/>
      <c r="AT105" s="525"/>
    </row>
    <row r="106" spans="1:46" s="83" customFormat="1" ht="18.75" customHeight="1">
      <c r="A106" s="114"/>
      <c r="B106" s="522">
        <v>3</v>
      </c>
      <c r="C106" s="522"/>
      <c r="D106" s="522"/>
      <c r="E106" s="523" t="str">
        <f>Calcu!P47</f>
        <v/>
      </c>
      <c r="F106" s="524"/>
      <c r="G106" s="524"/>
      <c r="H106" s="524"/>
      <c r="I106" s="524"/>
      <c r="J106" s="525"/>
      <c r="K106" s="523" t="str">
        <f>Calcu!R47</f>
        <v/>
      </c>
      <c r="L106" s="524"/>
      <c r="M106" s="524"/>
      <c r="N106" s="524"/>
      <c r="O106" s="524"/>
      <c r="P106" s="525"/>
      <c r="Q106" s="523" t="str">
        <f>Calcu!T47</f>
        <v/>
      </c>
      <c r="R106" s="524"/>
      <c r="S106" s="524"/>
      <c r="T106" s="524"/>
      <c r="U106" s="524"/>
      <c r="V106" s="525"/>
      <c r="W106" s="523" t="str">
        <f>Calcu!W47</f>
        <v/>
      </c>
      <c r="X106" s="524"/>
      <c r="Y106" s="524"/>
      <c r="Z106" s="524"/>
      <c r="AA106" s="524"/>
      <c r="AB106" s="525"/>
      <c r="AC106" s="523" t="str">
        <f>Calcu!X47</f>
        <v/>
      </c>
      <c r="AD106" s="524"/>
      <c r="AE106" s="524"/>
      <c r="AF106" s="524"/>
      <c r="AG106" s="524"/>
      <c r="AH106" s="525"/>
      <c r="AI106" s="523" t="str">
        <f>Calcu!Y47</f>
        <v/>
      </c>
      <c r="AJ106" s="524"/>
      <c r="AK106" s="524"/>
      <c r="AL106" s="524"/>
      <c r="AM106" s="524"/>
      <c r="AN106" s="525"/>
      <c r="AO106" s="523" t="str">
        <f>Calcu!Z47</f>
        <v/>
      </c>
      <c r="AP106" s="524"/>
      <c r="AQ106" s="524"/>
      <c r="AR106" s="524"/>
      <c r="AS106" s="524"/>
      <c r="AT106" s="525"/>
    </row>
    <row r="107" spans="1:46" s="83" customFormat="1" ht="18.75" customHeight="1">
      <c r="A107" s="114"/>
      <c r="B107" s="522">
        <v>4</v>
      </c>
      <c r="C107" s="522"/>
      <c r="D107" s="522"/>
      <c r="E107" s="523" t="str">
        <f>Calcu!P48</f>
        <v/>
      </c>
      <c r="F107" s="524"/>
      <c r="G107" s="524"/>
      <c r="H107" s="524"/>
      <c r="I107" s="524"/>
      <c r="J107" s="525"/>
      <c r="K107" s="523" t="str">
        <f>Calcu!R48</f>
        <v/>
      </c>
      <c r="L107" s="524"/>
      <c r="M107" s="524"/>
      <c r="N107" s="524"/>
      <c r="O107" s="524"/>
      <c r="P107" s="525"/>
      <c r="Q107" s="523" t="str">
        <f>Calcu!T48</f>
        <v/>
      </c>
      <c r="R107" s="524"/>
      <c r="S107" s="524"/>
      <c r="T107" s="524"/>
      <c r="U107" s="524"/>
      <c r="V107" s="525"/>
      <c r="W107" s="523" t="str">
        <f>Calcu!W48</f>
        <v/>
      </c>
      <c r="X107" s="524"/>
      <c r="Y107" s="524"/>
      <c r="Z107" s="524"/>
      <c r="AA107" s="524"/>
      <c r="AB107" s="525"/>
      <c r="AC107" s="523" t="str">
        <f>Calcu!X48</f>
        <v/>
      </c>
      <c r="AD107" s="524"/>
      <c r="AE107" s="524"/>
      <c r="AF107" s="524"/>
      <c r="AG107" s="524"/>
      <c r="AH107" s="525"/>
      <c r="AI107" s="523" t="str">
        <f>Calcu!Y48</f>
        <v/>
      </c>
      <c r="AJ107" s="524"/>
      <c r="AK107" s="524"/>
      <c r="AL107" s="524"/>
      <c r="AM107" s="524"/>
      <c r="AN107" s="525"/>
      <c r="AO107" s="523" t="str">
        <f>Calcu!Z48</f>
        <v/>
      </c>
      <c r="AP107" s="524"/>
      <c r="AQ107" s="524"/>
      <c r="AR107" s="524"/>
      <c r="AS107" s="524"/>
      <c r="AT107" s="525"/>
    </row>
    <row r="108" spans="1:46" s="83" customFormat="1" ht="18.75" customHeight="1">
      <c r="A108" s="114"/>
      <c r="B108" s="522">
        <v>5</v>
      </c>
      <c r="C108" s="522"/>
      <c r="D108" s="522"/>
      <c r="E108" s="523" t="str">
        <f>Calcu!P49</f>
        <v/>
      </c>
      <c r="F108" s="524"/>
      <c r="G108" s="524"/>
      <c r="H108" s="524"/>
      <c r="I108" s="524"/>
      <c r="J108" s="525"/>
      <c r="K108" s="523" t="str">
        <f>Calcu!R49</f>
        <v/>
      </c>
      <c r="L108" s="524"/>
      <c r="M108" s="524"/>
      <c r="N108" s="524"/>
      <c r="O108" s="524"/>
      <c r="P108" s="525"/>
      <c r="Q108" s="523" t="str">
        <f>Calcu!T49</f>
        <v/>
      </c>
      <c r="R108" s="524"/>
      <c r="S108" s="524"/>
      <c r="T108" s="524"/>
      <c r="U108" s="524"/>
      <c r="V108" s="525"/>
      <c r="W108" s="523" t="str">
        <f>Calcu!W49</f>
        <v/>
      </c>
      <c r="X108" s="524"/>
      <c r="Y108" s="524"/>
      <c r="Z108" s="524"/>
      <c r="AA108" s="524"/>
      <c r="AB108" s="525"/>
      <c r="AC108" s="523" t="str">
        <f>Calcu!X49</f>
        <v/>
      </c>
      <c r="AD108" s="524"/>
      <c r="AE108" s="524"/>
      <c r="AF108" s="524"/>
      <c r="AG108" s="524"/>
      <c r="AH108" s="525"/>
      <c r="AI108" s="523" t="str">
        <f>Calcu!Y49</f>
        <v/>
      </c>
      <c r="AJ108" s="524"/>
      <c r="AK108" s="524"/>
      <c r="AL108" s="524"/>
      <c r="AM108" s="524"/>
      <c r="AN108" s="525"/>
      <c r="AO108" s="523" t="str">
        <f>Calcu!Z49</f>
        <v/>
      </c>
      <c r="AP108" s="524"/>
      <c r="AQ108" s="524"/>
      <c r="AR108" s="524"/>
      <c r="AS108" s="524"/>
      <c r="AT108" s="525"/>
    </row>
    <row r="109" spans="1:46" s="83" customFormat="1" ht="18.75" customHeight="1">
      <c r="A109" s="114"/>
      <c r="B109" s="522">
        <v>6</v>
      </c>
      <c r="C109" s="522"/>
      <c r="D109" s="522"/>
      <c r="E109" s="523" t="str">
        <f>Calcu!P50</f>
        <v/>
      </c>
      <c r="F109" s="524"/>
      <c r="G109" s="524"/>
      <c r="H109" s="524"/>
      <c r="I109" s="524"/>
      <c r="J109" s="525"/>
      <c r="K109" s="523" t="str">
        <f>Calcu!R50</f>
        <v/>
      </c>
      <c r="L109" s="524"/>
      <c r="M109" s="524"/>
      <c r="N109" s="524"/>
      <c r="O109" s="524"/>
      <c r="P109" s="525"/>
      <c r="Q109" s="523" t="str">
        <f>Calcu!T50</f>
        <v/>
      </c>
      <c r="R109" s="524"/>
      <c r="S109" s="524"/>
      <c r="T109" s="524"/>
      <c r="U109" s="524"/>
      <c r="V109" s="525"/>
      <c r="W109" s="523" t="str">
        <f>Calcu!W50</f>
        <v/>
      </c>
      <c r="X109" s="524"/>
      <c r="Y109" s="524"/>
      <c r="Z109" s="524"/>
      <c r="AA109" s="524"/>
      <c r="AB109" s="525"/>
      <c r="AC109" s="523" t="str">
        <f>Calcu!X50</f>
        <v/>
      </c>
      <c r="AD109" s="524"/>
      <c r="AE109" s="524"/>
      <c r="AF109" s="524"/>
      <c r="AG109" s="524"/>
      <c r="AH109" s="525"/>
      <c r="AI109" s="523" t="str">
        <f>Calcu!Y50</f>
        <v/>
      </c>
      <c r="AJ109" s="524"/>
      <c r="AK109" s="524"/>
      <c r="AL109" s="524"/>
      <c r="AM109" s="524"/>
      <c r="AN109" s="525"/>
      <c r="AO109" s="523" t="str">
        <f>Calcu!Z50</f>
        <v/>
      </c>
      <c r="AP109" s="524"/>
      <c r="AQ109" s="524"/>
      <c r="AR109" s="524"/>
      <c r="AS109" s="524"/>
      <c r="AT109" s="525"/>
    </row>
    <row r="110" spans="1:46" s="83" customFormat="1" ht="18.75" customHeight="1">
      <c r="A110" s="114"/>
      <c r="B110" s="522">
        <v>7</v>
      </c>
      <c r="C110" s="522"/>
      <c r="D110" s="522"/>
      <c r="E110" s="523" t="str">
        <f>Calcu!P51</f>
        <v/>
      </c>
      <c r="F110" s="524"/>
      <c r="G110" s="524"/>
      <c r="H110" s="524"/>
      <c r="I110" s="524"/>
      <c r="J110" s="525"/>
      <c r="K110" s="523" t="str">
        <f>Calcu!R51</f>
        <v/>
      </c>
      <c r="L110" s="524"/>
      <c r="M110" s="524"/>
      <c r="N110" s="524"/>
      <c r="O110" s="524"/>
      <c r="P110" s="525"/>
      <c r="Q110" s="523" t="str">
        <f>Calcu!T51</f>
        <v/>
      </c>
      <c r="R110" s="524"/>
      <c r="S110" s="524"/>
      <c r="T110" s="524"/>
      <c r="U110" s="524"/>
      <c r="V110" s="525"/>
      <c r="W110" s="523" t="str">
        <f>Calcu!W51</f>
        <v/>
      </c>
      <c r="X110" s="524"/>
      <c r="Y110" s="524"/>
      <c r="Z110" s="524"/>
      <c r="AA110" s="524"/>
      <c r="AB110" s="525"/>
      <c r="AC110" s="523" t="str">
        <f>Calcu!X51</f>
        <v/>
      </c>
      <c r="AD110" s="524"/>
      <c r="AE110" s="524"/>
      <c r="AF110" s="524"/>
      <c r="AG110" s="524"/>
      <c r="AH110" s="525"/>
      <c r="AI110" s="523" t="str">
        <f>Calcu!Y51</f>
        <v/>
      </c>
      <c r="AJ110" s="524"/>
      <c r="AK110" s="524"/>
      <c r="AL110" s="524"/>
      <c r="AM110" s="524"/>
      <c r="AN110" s="525"/>
      <c r="AO110" s="523" t="str">
        <f>Calcu!Z51</f>
        <v/>
      </c>
      <c r="AP110" s="524"/>
      <c r="AQ110" s="524"/>
      <c r="AR110" s="524"/>
      <c r="AS110" s="524"/>
      <c r="AT110" s="525"/>
    </row>
    <row r="111" spans="1:46" s="83" customFormat="1" ht="18.75" customHeight="1">
      <c r="A111" s="114"/>
      <c r="B111" s="522">
        <v>8</v>
      </c>
      <c r="C111" s="522"/>
      <c r="D111" s="522"/>
      <c r="E111" s="523" t="str">
        <f>Calcu!P52</f>
        <v/>
      </c>
      <c r="F111" s="524"/>
      <c r="G111" s="524"/>
      <c r="H111" s="524"/>
      <c r="I111" s="524"/>
      <c r="J111" s="525"/>
      <c r="K111" s="523" t="str">
        <f>Calcu!R52</f>
        <v/>
      </c>
      <c r="L111" s="524"/>
      <c r="M111" s="524"/>
      <c r="N111" s="524"/>
      <c r="O111" s="524"/>
      <c r="P111" s="525"/>
      <c r="Q111" s="523" t="str">
        <f>Calcu!T52</f>
        <v/>
      </c>
      <c r="R111" s="524"/>
      <c r="S111" s="524"/>
      <c r="T111" s="524"/>
      <c r="U111" s="524"/>
      <c r="V111" s="525"/>
      <c r="W111" s="523" t="str">
        <f>Calcu!W52</f>
        <v/>
      </c>
      <c r="X111" s="524"/>
      <c r="Y111" s="524"/>
      <c r="Z111" s="524"/>
      <c r="AA111" s="524"/>
      <c r="AB111" s="525"/>
      <c r="AC111" s="523" t="str">
        <f>Calcu!X52</f>
        <v/>
      </c>
      <c r="AD111" s="524"/>
      <c r="AE111" s="524"/>
      <c r="AF111" s="524"/>
      <c r="AG111" s="524"/>
      <c r="AH111" s="525"/>
      <c r="AI111" s="523" t="str">
        <f>Calcu!Y52</f>
        <v/>
      </c>
      <c r="AJ111" s="524"/>
      <c r="AK111" s="524"/>
      <c r="AL111" s="524"/>
      <c r="AM111" s="524"/>
      <c r="AN111" s="525"/>
      <c r="AO111" s="523" t="str">
        <f>Calcu!Z52</f>
        <v/>
      </c>
      <c r="AP111" s="524"/>
      <c r="AQ111" s="524"/>
      <c r="AR111" s="524"/>
      <c r="AS111" s="524"/>
      <c r="AT111" s="525"/>
    </row>
    <row r="112" spans="1:46" s="83" customFormat="1" ht="18.75" customHeight="1">
      <c r="A112" s="114"/>
      <c r="B112" s="522">
        <v>9</v>
      </c>
      <c r="C112" s="522"/>
      <c r="D112" s="522"/>
      <c r="E112" s="523" t="str">
        <f>Calcu!P53</f>
        <v/>
      </c>
      <c r="F112" s="524"/>
      <c r="G112" s="524"/>
      <c r="H112" s="524"/>
      <c r="I112" s="524"/>
      <c r="J112" s="525"/>
      <c r="K112" s="523" t="str">
        <f>Calcu!R53</f>
        <v/>
      </c>
      <c r="L112" s="524"/>
      <c r="M112" s="524"/>
      <c r="N112" s="524"/>
      <c r="O112" s="524"/>
      <c r="P112" s="525"/>
      <c r="Q112" s="523" t="str">
        <f>Calcu!T53</f>
        <v/>
      </c>
      <c r="R112" s="524"/>
      <c r="S112" s="524"/>
      <c r="T112" s="524"/>
      <c r="U112" s="524"/>
      <c r="V112" s="525"/>
      <c r="W112" s="523" t="str">
        <f>Calcu!W53</f>
        <v/>
      </c>
      <c r="X112" s="524"/>
      <c r="Y112" s="524"/>
      <c r="Z112" s="524"/>
      <c r="AA112" s="524"/>
      <c r="AB112" s="525"/>
      <c r="AC112" s="523" t="str">
        <f>Calcu!X53</f>
        <v/>
      </c>
      <c r="AD112" s="524"/>
      <c r="AE112" s="524"/>
      <c r="AF112" s="524"/>
      <c r="AG112" s="524"/>
      <c r="AH112" s="525"/>
      <c r="AI112" s="523" t="str">
        <f>Calcu!Y53</f>
        <v/>
      </c>
      <c r="AJ112" s="524"/>
      <c r="AK112" s="524"/>
      <c r="AL112" s="524"/>
      <c r="AM112" s="524"/>
      <c r="AN112" s="525"/>
      <c r="AO112" s="523" t="str">
        <f>Calcu!Z53</f>
        <v/>
      </c>
      <c r="AP112" s="524"/>
      <c r="AQ112" s="524"/>
      <c r="AR112" s="524"/>
      <c r="AS112" s="524"/>
      <c r="AT112" s="525"/>
    </row>
    <row r="113" spans="1:46" s="83" customFormat="1" ht="18.75" customHeight="1">
      <c r="A113" s="114"/>
      <c r="B113" s="522">
        <v>10</v>
      </c>
      <c r="C113" s="522"/>
      <c r="D113" s="522"/>
      <c r="E113" s="523" t="str">
        <f>Calcu!P54</f>
        <v/>
      </c>
      <c r="F113" s="524"/>
      <c r="G113" s="524"/>
      <c r="H113" s="524"/>
      <c r="I113" s="524"/>
      <c r="J113" s="525"/>
      <c r="K113" s="523" t="str">
        <f>Calcu!R54</f>
        <v/>
      </c>
      <c r="L113" s="524"/>
      <c r="M113" s="524"/>
      <c r="N113" s="524"/>
      <c r="O113" s="524"/>
      <c r="P113" s="525"/>
      <c r="Q113" s="523" t="str">
        <f>Calcu!T54</f>
        <v/>
      </c>
      <c r="R113" s="524"/>
      <c r="S113" s="524"/>
      <c r="T113" s="524"/>
      <c r="U113" s="524"/>
      <c r="V113" s="525"/>
      <c r="W113" s="523" t="str">
        <f>Calcu!W54</f>
        <v/>
      </c>
      <c r="X113" s="524"/>
      <c r="Y113" s="524"/>
      <c r="Z113" s="524"/>
      <c r="AA113" s="524"/>
      <c r="AB113" s="525"/>
      <c r="AC113" s="523" t="str">
        <f>Calcu!X54</f>
        <v/>
      </c>
      <c r="AD113" s="524"/>
      <c r="AE113" s="524"/>
      <c r="AF113" s="524"/>
      <c r="AG113" s="524"/>
      <c r="AH113" s="525"/>
      <c r="AI113" s="523" t="str">
        <f>Calcu!Y54</f>
        <v/>
      </c>
      <c r="AJ113" s="524"/>
      <c r="AK113" s="524"/>
      <c r="AL113" s="524"/>
      <c r="AM113" s="524"/>
      <c r="AN113" s="525"/>
      <c r="AO113" s="523" t="str">
        <f>Calcu!Z54</f>
        <v/>
      </c>
      <c r="AP113" s="524"/>
      <c r="AQ113" s="524"/>
      <c r="AR113" s="524"/>
      <c r="AS113" s="524"/>
      <c r="AT113" s="525"/>
    </row>
    <row r="114" spans="1:46" s="83" customFormat="1" ht="18.75" customHeight="1">
      <c r="A114" s="114"/>
      <c r="B114" s="522">
        <v>11</v>
      </c>
      <c r="C114" s="522"/>
      <c r="D114" s="522"/>
      <c r="E114" s="523" t="str">
        <f>Calcu!P55</f>
        <v/>
      </c>
      <c r="F114" s="524"/>
      <c r="G114" s="524"/>
      <c r="H114" s="524"/>
      <c r="I114" s="524"/>
      <c r="J114" s="525"/>
      <c r="K114" s="523" t="str">
        <f>Calcu!R55</f>
        <v/>
      </c>
      <c r="L114" s="524"/>
      <c r="M114" s="524"/>
      <c r="N114" s="524"/>
      <c r="O114" s="524"/>
      <c r="P114" s="525"/>
      <c r="Q114" s="523" t="str">
        <f>Calcu!T55</f>
        <v/>
      </c>
      <c r="R114" s="524"/>
      <c r="S114" s="524"/>
      <c r="T114" s="524"/>
      <c r="U114" s="524"/>
      <c r="V114" s="525"/>
      <c r="W114" s="523" t="str">
        <f>Calcu!W55</f>
        <v/>
      </c>
      <c r="X114" s="524"/>
      <c r="Y114" s="524"/>
      <c r="Z114" s="524"/>
      <c r="AA114" s="524"/>
      <c r="AB114" s="525"/>
      <c r="AC114" s="523" t="str">
        <f>Calcu!X55</f>
        <v/>
      </c>
      <c r="AD114" s="524"/>
      <c r="AE114" s="524"/>
      <c r="AF114" s="524"/>
      <c r="AG114" s="524"/>
      <c r="AH114" s="525"/>
      <c r="AI114" s="523" t="str">
        <f>Calcu!Y55</f>
        <v/>
      </c>
      <c r="AJ114" s="524"/>
      <c r="AK114" s="524"/>
      <c r="AL114" s="524"/>
      <c r="AM114" s="524"/>
      <c r="AN114" s="525"/>
      <c r="AO114" s="523" t="str">
        <f>Calcu!Z55</f>
        <v/>
      </c>
      <c r="AP114" s="524"/>
      <c r="AQ114" s="524"/>
      <c r="AR114" s="524"/>
      <c r="AS114" s="524"/>
      <c r="AT114" s="525"/>
    </row>
    <row r="115" spans="1:46" s="83" customFormat="1" ht="18.75" customHeight="1">
      <c r="A115" s="114"/>
      <c r="B115" s="522">
        <v>12</v>
      </c>
      <c r="C115" s="522"/>
      <c r="D115" s="522"/>
      <c r="E115" s="523" t="str">
        <f>Calcu!P56</f>
        <v/>
      </c>
      <c r="F115" s="524"/>
      <c r="G115" s="524"/>
      <c r="H115" s="524"/>
      <c r="I115" s="524"/>
      <c r="J115" s="525"/>
      <c r="K115" s="523" t="str">
        <f>Calcu!R56</f>
        <v/>
      </c>
      <c r="L115" s="524"/>
      <c r="M115" s="524"/>
      <c r="N115" s="524"/>
      <c r="O115" s="524"/>
      <c r="P115" s="525"/>
      <c r="Q115" s="523" t="str">
        <f>Calcu!T56</f>
        <v/>
      </c>
      <c r="R115" s="524"/>
      <c r="S115" s="524"/>
      <c r="T115" s="524"/>
      <c r="U115" s="524"/>
      <c r="V115" s="525"/>
      <c r="W115" s="523" t="str">
        <f>Calcu!W56</f>
        <v/>
      </c>
      <c r="X115" s="524"/>
      <c r="Y115" s="524"/>
      <c r="Z115" s="524"/>
      <c r="AA115" s="524"/>
      <c r="AB115" s="525"/>
      <c r="AC115" s="523" t="str">
        <f>Calcu!X56</f>
        <v/>
      </c>
      <c r="AD115" s="524"/>
      <c r="AE115" s="524"/>
      <c r="AF115" s="524"/>
      <c r="AG115" s="524"/>
      <c r="AH115" s="525"/>
      <c r="AI115" s="523" t="str">
        <f>Calcu!Y56</f>
        <v/>
      </c>
      <c r="AJ115" s="524"/>
      <c r="AK115" s="524"/>
      <c r="AL115" s="524"/>
      <c r="AM115" s="524"/>
      <c r="AN115" s="525"/>
      <c r="AO115" s="523" t="str">
        <f>Calcu!Z56</f>
        <v/>
      </c>
      <c r="AP115" s="524"/>
      <c r="AQ115" s="524"/>
      <c r="AR115" s="524"/>
      <c r="AS115" s="524"/>
      <c r="AT115" s="525"/>
    </row>
    <row r="116" spans="1:46" s="83" customFormat="1" ht="18.75" customHeight="1">
      <c r="A116" s="114"/>
      <c r="B116" s="522">
        <v>13</v>
      </c>
      <c r="C116" s="522"/>
      <c r="D116" s="522"/>
      <c r="E116" s="523" t="str">
        <f>Calcu!P57</f>
        <v/>
      </c>
      <c r="F116" s="524"/>
      <c r="G116" s="524"/>
      <c r="H116" s="524"/>
      <c r="I116" s="524"/>
      <c r="J116" s="525"/>
      <c r="K116" s="523" t="str">
        <f>Calcu!R57</f>
        <v/>
      </c>
      <c r="L116" s="524"/>
      <c r="M116" s="524"/>
      <c r="N116" s="524"/>
      <c r="O116" s="524"/>
      <c r="P116" s="525"/>
      <c r="Q116" s="523" t="str">
        <f>Calcu!T57</f>
        <v/>
      </c>
      <c r="R116" s="524"/>
      <c r="S116" s="524"/>
      <c r="T116" s="524"/>
      <c r="U116" s="524"/>
      <c r="V116" s="525"/>
      <c r="W116" s="523" t="str">
        <f>Calcu!W57</f>
        <v/>
      </c>
      <c r="X116" s="524"/>
      <c r="Y116" s="524"/>
      <c r="Z116" s="524"/>
      <c r="AA116" s="524"/>
      <c r="AB116" s="525"/>
      <c r="AC116" s="523" t="str">
        <f>Calcu!X57</f>
        <v/>
      </c>
      <c r="AD116" s="524"/>
      <c r="AE116" s="524"/>
      <c r="AF116" s="524"/>
      <c r="AG116" s="524"/>
      <c r="AH116" s="525"/>
      <c r="AI116" s="523" t="str">
        <f>Calcu!Y57</f>
        <v/>
      </c>
      <c r="AJ116" s="524"/>
      <c r="AK116" s="524"/>
      <c r="AL116" s="524"/>
      <c r="AM116" s="524"/>
      <c r="AN116" s="525"/>
      <c r="AO116" s="523" t="str">
        <f>Calcu!Z57</f>
        <v/>
      </c>
      <c r="AP116" s="524"/>
      <c r="AQ116" s="524"/>
      <c r="AR116" s="524"/>
      <c r="AS116" s="524"/>
      <c r="AT116" s="525"/>
    </row>
    <row r="117" spans="1:46" s="83" customFormat="1" ht="18.75" customHeight="1">
      <c r="A117" s="114"/>
      <c r="B117" s="522">
        <v>14</v>
      </c>
      <c r="C117" s="522"/>
      <c r="D117" s="522"/>
      <c r="E117" s="523" t="str">
        <f>Calcu!P58</f>
        <v/>
      </c>
      <c r="F117" s="524"/>
      <c r="G117" s="524"/>
      <c r="H117" s="524"/>
      <c r="I117" s="524"/>
      <c r="J117" s="525"/>
      <c r="K117" s="523" t="str">
        <f>Calcu!R58</f>
        <v/>
      </c>
      <c r="L117" s="524"/>
      <c r="M117" s="524"/>
      <c r="N117" s="524"/>
      <c r="O117" s="524"/>
      <c r="P117" s="525"/>
      <c r="Q117" s="523" t="str">
        <f>Calcu!T58</f>
        <v/>
      </c>
      <c r="R117" s="524"/>
      <c r="S117" s="524"/>
      <c r="T117" s="524"/>
      <c r="U117" s="524"/>
      <c r="V117" s="525"/>
      <c r="W117" s="523" t="str">
        <f>Calcu!W58</f>
        <v/>
      </c>
      <c r="X117" s="524"/>
      <c r="Y117" s="524"/>
      <c r="Z117" s="524"/>
      <c r="AA117" s="524"/>
      <c r="AB117" s="525"/>
      <c r="AC117" s="523" t="str">
        <f>Calcu!X58</f>
        <v/>
      </c>
      <c r="AD117" s="524"/>
      <c r="AE117" s="524"/>
      <c r="AF117" s="524"/>
      <c r="AG117" s="524"/>
      <c r="AH117" s="525"/>
      <c r="AI117" s="523" t="str">
        <f>Calcu!Y58</f>
        <v/>
      </c>
      <c r="AJ117" s="524"/>
      <c r="AK117" s="524"/>
      <c r="AL117" s="524"/>
      <c r="AM117" s="524"/>
      <c r="AN117" s="525"/>
      <c r="AO117" s="523" t="str">
        <f>Calcu!Z58</f>
        <v/>
      </c>
      <c r="AP117" s="524"/>
      <c r="AQ117" s="524"/>
      <c r="AR117" s="524"/>
      <c r="AS117" s="524"/>
      <c r="AT117" s="525"/>
    </row>
    <row r="118" spans="1:46" s="83" customFormat="1" ht="18.75" customHeight="1">
      <c r="A118" s="114"/>
      <c r="B118" s="522">
        <v>15</v>
      </c>
      <c r="C118" s="522"/>
      <c r="D118" s="522"/>
      <c r="E118" s="685" t="str">
        <f>Calcu!P59</f>
        <v/>
      </c>
      <c r="F118" s="686"/>
      <c r="G118" s="686"/>
      <c r="H118" s="686"/>
      <c r="I118" s="686"/>
      <c r="J118" s="687"/>
      <c r="K118" s="685" t="str">
        <f>Calcu!R59</f>
        <v/>
      </c>
      <c r="L118" s="686"/>
      <c r="M118" s="686"/>
      <c r="N118" s="686"/>
      <c r="O118" s="686"/>
      <c r="P118" s="687"/>
      <c r="Q118" s="685" t="str">
        <f>Calcu!T59</f>
        <v/>
      </c>
      <c r="R118" s="686"/>
      <c r="S118" s="686"/>
      <c r="T118" s="686"/>
      <c r="U118" s="686"/>
      <c r="V118" s="687"/>
      <c r="W118" s="685" t="str">
        <f>Calcu!W59</f>
        <v/>
      </c>
      <c r="X118" s="686"/>
      <c r="Y118" s="686"/>
      <c r="Z118" s="686"/>
      <c r="AA118" s="686"/>
      <c r="AB118" s="687"/>
      <c r="AC118" s="685" t="str">
        <f>Calcu!X59</f>
        <v/>
      </c>
      <c r="AD118" s="686"/>
      <c r="AE118" s="686"/>
      <c r="AF118" s="686"/>
      <c r="AG118" s="686"/>
      <c r="AH118" s="687"/>
      <c r="AI118" s="685" t="str">
        <f>Calcu!Y59</f>
        <v/>
      </c>
      <c r="AJ118" s="686"/>
      <c r="AK118" s="686"/>
      <c r="AL118" s="686"/>
      <c r="AM118" s="686"/>
      <c r="AN118" s="687"/>
      <c r="AO118" s="685" t="str">
        <f>Calcu!Z59</f>
        <v/>
      </c>
      <c r="AP118" s="686"/>
      <c r="AQ118" s="686"/>
      <c r="AR118" s="686"/>
      <c r="AS118" s="686"/>
      <c r="AT118" s="687"/>
    </row>
    <row r="119" spans="1:46" s="83" customFormat="1" ht="18.75" customHeight="1">
      <c r="A119" s="114"/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47"/>
      <c r="P119" s="347"/>
      <c r="Q119" s="347"/>
      <c r="R119" s="347"/>
      <c r="S119" s="347"/>
      <c r="T119" s="347"/>
      <c r="U119" s="347"/>
      <c r="V119" s="347"/>
      <c r="W119" s="347"/>
      <c r="X119" s="347"/>
      <c r="Y119" s="347"/>
      <c r="Z119" s="347"/>
      <c r="AA119" s="347"/>
      <c r="AB119" s="347"/>
      <c r="AC119" s="347"/>
      <c r="AD119" s="347"/>
      <c r="AE119" s="347"/>
      <c r="AF119" s="347"/>
      <c r="AG119" s="347"/>
      <c r="AH119" s="347"/>
      <c r="AI119" s="347"/>
      <c r="AJ119" s="347"/>
      <c r="AK119" s="347"/>
      <c r="AL119" s="347"/>
      <c r="AM119" s="347"/>
      <c r="AN119" s="347"/>
      <c r="AO119" s="347"/>
      <c r="AP119" s="347"/>
      <c r="AQ119" s="347"/>
      <c r="AR119" s="347"/>
      <c r="AS119" s="347"/>
      <c r="AT119" s="347"/>
    </row>
    <row r="120" spans="1:46" ht="18" customHeight="1">
      <c r="A120" s="113" t="s">
        <v>612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36"/>
      <c r="Z120" s="336"/>
      <c r="AA120" s="336"/>
      <c r="AB120" s="336"/>
      <c r="AC120" s="336"/>
      <c r="AD120" s="336"/>
      <c r="AE120" s="336"/>
      <c r="AF120" s="336"/>
      <c r="AG120" s="336"/>
      <c r="AH120" s="336"/>
      <c r="AI120" s="336"/>
      <c r="AJ120" s="336"/>
      <c r="AK120" s="336"/>
      <c r="AL120" s="336"/>
      <c r="AM120" s="336"/>
      <c r="AN120" s="336"/>
      <c r="AO120" s="336"/>
      <c r="AP120" s="336"/>
      <c r="AQ120" s="336"/>
      <c r="AR120" s="336"/>
      <c r="AS120" s="336"/>
      <c r="AT120" s="336"/>
    </row>
    <row r="121" spans="1:46" ht="18" customHeight="1">
      <c r="A121" s="336"/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  <c r="W121" s="336"/>
      <c r="X121" s="336"/>
      <c r="Y121" s="336"/>
      <c r="Z121" s="336"/>
      <c r="AA121" s="336"/>
      <c r="AB121" s="336"/>
      <c r="AC121" s="336"/>
      <c r="AD121" s="336"/>
      <c r="AE121" s="336"/>
      <c r="AF121" s="336"/>
      <c r="AG121" s="237"/>
      <c r="AH121" s="336"/>
      <c r="AI121" s="336"/>
      <c r="AJ121" s="336"/>
      <c r="AK121" s="336"/>
      <c r="AL121" s="336"/>
      <c r="AM121" s="336"/>
      <c r="AN121" s="336"/>
      <c r="AO121" s="336"/>
      <c r="AP121" s="336"/>
      <c r="AQ121" s="336"/>
      <c r="AR121" s="336"/>
      <c r="AS121" s="336"/>
      <c r="AT121" s="336"/>
    </row>
    <row r="122" spans="1:46" ht="18" customHeight="1">
      <c r="A122" s="336"/>
      <c r="B122" s="336"/>
      <c r="C122" s="336"/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36"/>
      <c r="Z122" s="336"/>
      <c r="AA122" s="336"/>
      <c r="AB122" s="336"/>
      <c r="AC122" s="336"/>
      <c r="AD122" s="336"/>
      <c r="AE122" s="336"/>
      <c r="AF122" s="336"/>
      <c r="AG122" s="336"/>
      <c r="AH122" s="336"/>
      <c r="AI122" s="336"/>
      <c r="AJ122" s="336"/>
      <c r="AK122" s="336"/>
      <c r="AL122" s="336"/>
      <c r="AM122" s="336"/>
      <c r="AN122" s="336"/>
      <c r="AO122" s="336"/>
      <c r="AP122" s="336"/>
      <c r="AQ122" s="336"/>
      <c r="AR122" s="336"/>
      <c r="AS122" s="336"/>
      <c r="AT122" s="336"/>
    </row>
    <row r="123" spans="1:46" ht="18" customHeight="1">
      <c r="A123" s="336"/>
      <c r="B123" s="336"/>
      <c r="C123" s="336"/>
      <c r="D123" s="336"/>
      <c r="E123" s="336"/>
      <c r="F123" s="336"/>
      <c r="G123" s="336"/>
      <c r="H123" s="336"/>
      <c r="I123" s="336"/>
      <c r="J123" s="336"/>
      <c r="K123" s="336"/>
      <c r="L123" s="336"/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36"/>
      <c r="X123" s="336"/>
      <c r="Y123" s="336"/>
      <c r="Z123" s="336"/>
      <c r="AA123" s="336"/>
      <c r="AB123" s="336"/>
      <c r="AC123" s="336"/>
      <c r="AD123" s="336"/>
      <c r="AE123" s="336"/>
      <c r="AF123" s="336"/>
      <c r="AG123" s="336"/>
      <c r="AH123" s="336"/>
      <c r="AI123" s="336"/>
      <c r="AJ123" s="336"/>
      <c r="AK123" s="336"/>
      <c r="AL123" s="336"/>
      <c r="AM123" s="336"/>
      <c r="AN123" s="336"/>
      <c r="AO123" s="336"/>
      <c r="AP123" s="336"/>
      <c r="AQ123" s="336"/>
      <c r="AR123" s="336"/>
      <c r="AS123" s="336"/>
      <c r="AT123" s="336"/>
    </row>
    <row r="124" spans="1:46" ht="18" customHeight="1">
      <c r="A124" s="336"/>
      <c r="B124" s="336"/>
      <c r="C124" s="81" t="s">
        <v>613</v>
      </c>
      <c r="D124" s="336"/>
      <c r="E124" s="336"/>
      <c r="F124" s="336"/>
      <c r="G124" s="337" t="s">
        <v>614</v>
      </c>
      <c r="H124" s="79" t="s">
        <v>615</v>
      </c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336"/>
      <c r="Y124" s="336"/>
      <c r="Z124" s="336"/>
      <c r="AA124" s="336"/>
      <c r="AB124" s="336"/>
      <c r="AC124" s="336"/>
      <c r="AD124" s="336"/>
      <c r="AE124" s="336"/>
      <c r="AF124" s="336"/>
      <c r="AG124" s="336"/>
      <c r="AH124" s="336"/>
      <c r="AI124" s="336"/>
      <c r="AJ124" s="336"/>
      <c r="AK124" s="336"/>
      <c r="AL124" s="336"/>
      <c r="AM124" s="336"/>
      <c r="AN124" s="336"/>
      <c r="AO124" s="336"/>
      <c r="AP124" s="336"/>
      <c r="AQ124" s="336"/>
      <c r="AR124" s="336"/>
      <c r="AS124" s="336"/>
      <c r="AT124" s="336"/>
    </row>
    <row r="125" spans="1:46" ht="18" customHeight="1">
      <c r="A125" s="336"/>
      <c r="B125" s="336"/>
      <c r="C125" s="81" t="s">
        <v>617</v>
      </c>
      <c r="D125" s="336"/>
      <c r="E125" s="336"/>
      <c r="F125" s="336"/>
      <c r="G125" s="337" t="s">
        <v>614</v>
      </c>
      <c r="H125" s="336" t="s">
        <v>618</v>
      </c>
      <c r="I125" s="336"/>
      <c r="J125" s="336"/>
      <c r="K125" s="336"/>
      <c r="L125" s="336"/>
      <c r="M125" s="336"/>
      <c r="N125" s="336"/>
      <c r="O125" s="336"/>
      <c r="P125" s="336"/>
      <c r="Q125" s="336"/>
      <c r="R125" s="336"/>
      <c r="S125" s="336"/>
      <c r="T125" s="336"/>
      <c r="U125" s="336"/>
      <c r="V125" s="336"/>
      <c r="W125" s="336"/>
      <c r="X125" s="336"/>
      <c r="Y125" s="336"/>
      <c r="Z125" s="336"/>
      <c r="AA125" s="336"/>
      <c r="AB125" s="336"/>
      <c r="AC125" s="336"/>
      <c r="AD125" s="336"/>
      <c r="AE125" s="336"/>
      <c r="AF125" s="336"/>
      <c r="AG125" s="336"/>
      <c r="AH125" s="336"/>
      <c r="AI125" s="336"/>
      <c r="AJ125" s="336"/>
      <c r="AK125" s="336"/>
      <c r="AL125" s="336"/>
      <c r="AM125" s="336"/>
      <c r="AN125" s="336"/>
      <c r="AO125" s="336"/>
      <c r="AP125" s="336"/>
      <c r="AQ125" s="336"/>
      <c r="AR125" s="336"/>
      <c r="AS125" s="336"/>
      <c r="AT125" s="336"/>
    </row>
    <row r="126" spans="1:46" ht="18" customHeight="1">
      <c r="A126" s="336"/>
      <c r="B126" s="336"/>
      <c r="C126" s="81" t="s">
        <v>619</v>
      </c>
      <c r="D126" s="336"/>
      <c r="E126" s="336"/>
      <c r="F126" s="336"/>
      <c r="G126" s="337" t="s">
        <v>239</v>
      </c>
      <c r="H126" s="336" t="s">
        <v>620</v>
      </c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336"/>
      <c r="Y126" s="336"/>
      <c r="Z126" s="336"/>
      <c r="AA126" s="336"/>
      <c r="AB126" s="336"/>
      <c r="AC126" s="336"/>
      <c r="AD126" s="336"/>
      <c r="AE126" s="336"/>
      <c r="AF126" s="336"/>
      <c r="AG126" s="336"/>
      <c r="AH126" s="336"/>
      <c r="AI126" s="336"/>
      <c r="AJ126" s="336"/>
      <c r="AK126" s="336"/>
      <c r="AL126" s="336"/>
      <c r="AM126" s="336"/>
      <c r="AN126" s="336"/>
      <c r="AO126" s="336"/>
      <c r="AP126" s="336"/>
      <c r="AQ126" s="336"/>
      <c r="AR126" s="336"/>
      <c r="AS126" s="336"/>
      <c r="AT126" s="336"/>
    </row>
    <row r="127" spans="1:46" ht="18" customHeight="1">
      <c r="A127" s="336"/>
      <c r="B127" s="336"/>
      <c r="C127" s="81" t="s">
        <v>621</v>
      </c>
      <c r="D127" s="336"/>
      <c r="E127" s="336"/>
      <c r="F127" s="336"/>
      <c r="G127" s="337" t="s">
        <v>622</v>
      </c>
      <c r="H127" s="336" t="s">
        <v>623</v>
      </c>
      <c r="I127" s="336"/>
      <c r="J127" s="336"/>
      <c r="K127" s="336"/>
      <c r="L127" s="336"/>
      <c r="M127" s="336"/>
      <c r="N127" s="336"/>
      <c r="O127" s="336"/>
      <c r="P127" s="336"/>
      <c r="Q127" s="336"/>
      <c r="R127" s="336"/>
      <c r="S127" s="336"/>
      <c r="T127" s="336"/>
      <c r="U127" s="336"/>
      <c r="V127" s="336"/>
      <c r="W127" s="336"/>
      <c r="X127" s="336"/>
      <c r="Y127" s="336"/>
      <c r="Z127" s="336"/>
      <c r="AA127" s="336"/>
      <c r="AB127" s="336"/>
      <c r="AC127" s="336"/>
      <c r="AD127" s="336"/>
      <c r="AE127" s="336"/>
      <c r="AF127" s="336"/>
      <c r="AG127" s="336"/>
      <c r="AH127" s="336"/>
      <c r="AI127" s="336"/>
      <c r="AJ127" s="336"/>
      <c r="AK127" s="336"/>
      <c r="AL127" s="336"/>
      <c r="AM127" s="336"/>
      <c r="AN127" s="336"/>
      <c r="AO127" s="336"/>
      <c r="AP127" s="336"/>
      <c r="AQ127" s="336"/>
      <c r="AR127" s="336"/>
      <c r="AS127" s="336"/>
      <c r="AT127" s="336"/>
    </row>
    <row r="128" spans="1:46" ht="18" customHeight="1">
      <c r="A128" s="336"/>
      <c r="B128" s="336"/>
      <c r="C128" s="81" t="s">
        <v>624</v>
      </c>
      <c r="D128" s="336"/>
      <c r="E128" s="336"/>
      <c r="F128" s="336"/>
      <c r="G128" s="337" t="s">
        <v>622</v>
      </c>
      <c r="H128" s="336" t="s">
        <v>625</v>
      </c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36"/>
      <c r="Z128" s="336"/>
      <c r="AA128" s="336"/>
      <c r="AB128" s="336"/>
      <c r="AC128" s="336"/>
      <c r="AD128" s="336"/>
      <c r="AE128" s="336"/>
      <c r="AF128" s="336"/>
      <c r="AG128" s="336"/>
      <c r="AH128" s="336"/>
      <c r="AI128" s="336"/>
      <c r="AJ128" s="336"/>
      <c r="AK128" s="336"/>
      <c r="AL128" s="336"/>
      <c r="AM128" s="336"/>
      <c r="AN128" s="336"/>
      <c r="AO128" s="336"/>
      <c r="AP128" s="336"/>
      <c r="AQ128" s="336"/>
      <c r="AR128" s="336"/>
      <c r="AS128" s="336"/>
      <c r="AT128" s="336"/>
    </row>
    <row r="129" spans="1:46" ht="18" customHeight="1">
      <c r="A129" s="336"/>
      <c r="B129" s="336"/>
      <c r="C129" s="81" t="s">
        <v>626</v>
      </c>
      <c r="D129" s="336"/>
      <c r="E129" s="336"/>
      <c r="F129" s="336"/>
      <c r="G129" s="337" t="s">
        <v>614</v>
      </c>
      <c r="H129" s="336" t="s">
        <v>627</v>
      </c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36"/>
      <c r="Z129" s="336"/>
      <c r="AA129" s="336"/>
      <c r="AB129" s="336"/>
      <c r="AC129" s="336"/>
      <c r="AD129" s="336"/>
      <c r="AE129" s="336"/>
      <c r="AF129" s="336"/>
      <c r="AG129" s="336"/>
      <c r="AH129" s="336"/>
      <c r="AI129" s="336"/>
      <c r="AJ129" s="336"/>
      <c r="AK129" s="336"/>
      <c r="AL129" s="336"/>
      <c r="AM129" s="336"/>
      <c r="AN129" s="336"/>
      <c r="AO129" s="336"/>
      <c r="AP129" s="336"/>
      <c r="AQ129" s="336"/>
      <c r="AR129" s="336"/>
      <c r="AS129" s="336"/>
      <c r="AT129" s="336"/>
    </row>
    <row r="130" spans="1:46" ht="18" customHeight="1">
      <c r="A130" s="336"/>
      <c r="B130" s="336"/>
      <c r="C130" s="81"/>
      <c r="D130" s="336"/>
      <c r="E130" s="336"/>
      <c r="F130" s="336"/>
      <c r="G130" s="336"/>
      <c r="H130" s="336"/>
      <c r="I130" s="336"/>
      <c r="J130" s="336"/>
      <c r="K130" s="336"/>
      <c r="L130" s="336"/>
      <c r="M130" s="336"/>
      <c r="N130" s="336"/>
      <c r="O130" s="336"/>
      <c r="P130" s="336"/>
      <c r="Q130" s="336"/>
      <c r="R130" s="336"/>
      <c r="S130" s="336"/>
      <c r="T130" s="336"/>
      <c r="U130" s="336"/>
      <c r="V130" s="336"/>
      <c r="W130" s="336"/>
      <c r="X130" s="336"/>
      <c r="Y130" s="336"/>
      <c r="Z130" s="336"/>
      <c r="AA130" s="336"/>
      <c r="AB130" s="336"/>
      <c r="AC130" s="336"/>
      <c r="AD130" s="336"/>
      <c r="AE130" s="336"/>
      <c r="AF130" s="336"/>
      <c r="AG130" s="336"/>
      <c r="AH130" s="336"/>
      <c r="AI130" s="336"/>
      <c r="AJ130" s="336"/>
      <c r="AK130" s="336"/>
      <c r="AL130" s="336"/>
      <c r="AM130" s="336"/>
      <c r="AN130" s="336"/>
      <c r="AO130" s="336"/>
      <c r="AP130" s="336"/>
      <c r="AQ130" s="336"/>
      <c r="AR130" s="336"/>
      <c r="AS130" s="336"/>
      <c r="AT130" s="336"/>
    </row>
    <row r="131" spans="1:46" s="83" customFormat="1" ht="18.75" customHeight="1">
      <c r="A131" s="90" t="s">
        <v>628</v>
      </c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</row>
    <row r="132" spans="1:46" s="83" customFormat="1" ht="18.75" customHeight="1">
      <c r="A132" s="90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</row>
    <row r="133" spans="1:46" s="83" customFormat="1" ht="18.75" customHeight="1">
      <c r="A133" s="90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</row>
    <row r="134" spans="1:46" s="83" customFormat="1" ht="18.75" customHeight="1">
      <c r="A134" s="90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</row>
    <row r="135" spans="1:46" s="83" customFormat="1" ht="18.75" customHeight="1">
      <c r="A135" s="90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</row>
    <row r="136" spans="1:46" s="83" customFormat="1" ht="18.75" customHeight="1">
      <c r="A136" s="90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</row>
    <row r="137" spans="1:46" s="83" customFormat="1" ht="18.75" customHeight="1">
      <c r="A137" s="90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</row>
    <row r="138" spans="1:46" s="83" customFormat="1" ht="18.75" customHeight="1">
      <c r="A138" s="114"/>
      <c r="B138" s="82"/>
      <c r="C138" s="82" t="s">
        <v>629</v>
      </c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</row>
    <row r="139" spans="1:46" s="83" customFormat="1" ht="18.75" customHeight="1">
      <c r="A139" s="114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</row>
    <row r="140" spans="1:46" s="83" customFormat="1" ht="18.75" customHeight="1">
      <c r="A140" s="114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</row>
    <row r="141" spans="1:46" s="83" customFormat="1" ht="18.75" customHeight="1">
      <c r="A141" s="114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</row>
    <row r="142" spans="1:46" s="83" customFormat="1" ht="18.75" customHeight="1">
      <c r="A142" s="114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</row>
    <row r="143" spans="1:46" s="83" customFormat="1" ht="18.75" customHeight="1">
      <c r="A143" s="114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</row>
    <row r="144" spans="1:46" ht="18" customHeight="1">
      <c r="A144" s="113" t="s">
        <v>630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36"/>
      <c r="Z144" s="336"/>
      <c r="AA144" s="336"/>
      <c r="AB144" s="336"/>
      <c r="AC144" s="336"/>
      <c r="AD144" s="336"/>
      <c r="AE144" s="336"/>
      <c r="AF144" s="336"/>
      <c r="AG144" s="336"/>
      <c r="AH144" s="336"/>
      <c r="AI144" s="336"/>
      <c r="AJ144" s="336"/>
      <c r="AK144" s="336"/>
      <c r="AL144" s="336"/>
      <c r="AM144" s="336"/>
      <c r="AN144" s="336"/>
      <c r="AO144" s="336"/>
      <c r="AP144" s="336"/>
      <c r="AQ144" s="336"/>
      <c r="AR144" s="336"/>
      <c r="AS144" s="336"/>
      <c r="AT144" s="336"/>
    </row>
    <row r="145" spans="1:92" ht="18" customHeight="1">
      <c r="A145" s="336"/>
      <c r="B145" s="688"/>
      <c r="C145" s="689"/>
      <c r="D145" s="585"/>
      <c r="E145" s="586"/>
      <c r="F145" s="586"/>
      <c r="G145" s="586"/>
      <c r="H145" s="587"/>
      <c r="I145" s="585">
        <v>1</v>
      </c>
      <c r="J145" s="586"/>
      <c r="K145" s="586"/>
      <c r="L145" s="586"/>
      <c r="M145" s="586"/>
      <c r="N145" s="586"/>
      <c r="O145" s="586"/>
      <c r="P145" s="587"/>
      <c r="Q145" s="585">
        <v>2</v>
      </c>
      <c r="R145" s="586"/>
      <c r="S145" s="586"/>
      <c r="T145" s="586"/>
      <c r="U145" s="586"/>
      <c r="V145" s="586"/>
      <c r="W145" s="586"/>
      <c r="X145" s="587"/>
      <c r="Y145" s="585">
        <v>3</v>
      </c>
      <c r="Z145" s="692"/>
      <c r="AA145" s="692"/>
      <c r="AB145" s="692"/>
      <c r="AC145" s="693"/>
      <c r="AD145" s="585">
        <v>4</v>
      </c>
      <c r="AE145" s="586"/>
      <c r="AF145" s="586"/>
      <c r="AG145" s="586"/>
      <c r="AH145" s="586"/>
      <c r="AI145" s="586"/>
      <c r="AJ145" s="586"/>
      <c r="AK145" s="587"/>
      <c r="AL145" s="585">
        <v>5</v>
      </c>
      <c r="AM145" s="586"/>
      <c r="AN145" s="586"/>
      <c r="AO145" s="586"/>
      <c r="AP145" s="586"/>
      <c r="AQ145" s="586"/>
      <c r="AR145" s="586"/>
      <c r="AS145" s="587"/>
      <c r="AT145" s="585">
        <v>6</v>
      </c>
      <c r="AU145" s="694"/>
      <c r="AV145" s="694"/>
      <c r="AW145" s="693"/>
    </row>
    <row r="146" spans="1:92" ht="18" customHeight="1">
      <c r="A146" s="336"/>
      <c r="B146" s="690"/>
      <c r="C146" s="691"/>
      <c r="D146" s="695" t="s">
        <v>631</v>
      </c>
      <c r="E146" s="696"/>
      <c r="F146" s="696"/>
      <c r="G146" s="696"/>
      <c r="H146" s="697"/>
      <c r="I146" s="695" t="s">
        <v>632</v>
      </c>
      <c r="J146" s="696"/>
      <c r="K146" s="696"/>
      <c r="L146" s="696"/>
      <c r="M146" s="696"/>
      <c r="N146" s="696"/>
      <c r="O146" s="696"/>
      <c r="P146" s="697"/>
      <c r="Q146" s="695" t="s">
        <v>633</v>
      </c>
      <c r="R146" s="696"/>
      <c r="S146" s="696"/>
      <c r="T146" s="696"/>
      <c r="U146" s="696"/>
      <c r="V146" s="696"/>
      <c r="W146" s="696"/>
      <c r="X146" s="697"/>
      <c r="Y146" s="695" t="s">
        <v>634</v>
      </c>
      <c r="Z146" s="698"/>
      <c r="AA146" s="698"/>
      <c r="AB146" s="698"/>
      <c r="AC146" s="699"/>
      <c r="AD146" s="695" t="s">
        <v>635</v>
      </c>
      <c r="AE146" s="696"/>
      <c r="AF146" s="696"/>
      <c r="AG146" s="696"/>
      <c r="AH146" s="696"/>
      <c r="AI146" s="696"/>
      <c r="AJ146" s="696"/>
      <c r="AK146" s="697"/>
      <c r="AL146" s="695" t="s">
        <v>636</v>
      </c>
      <c r="AM146" s="696"/>
      <c r="AN146" s="696"/>
      <c r="AO146" s="696"/>
      <c r="AP146" s="696"/>
      <c r="AQ146" s="696"/>
      <c r="AR146" s="696"/>
      <c r="AS146" s="697"/>
      <c r="AT146" s="695" t="s">
        <v>637</v>
      </c>
      <c r="AU146" s="700"/>
      <c r="AV146" s="700"/>
      <c r="AW146" s="699"/>
    </row>
    <row r="147" spans="1:92" ht="18" customHeight="1">
      <c r="A147" s="336"/>
      <c r="B147" s="690"/>
      <c r="C147" s="691"/>
      <c r="D147" s="701" t="s">
        <v>638</v>
      </c>
      <c r="E147" s="702"/>
      <c r="F147" s="702"/>
      <c r="G147" s="702"/>
      <c r="H147" s="703"/>
      <c r="I147" s="526" t="s">
        <v>639</v>
      </c>
      <c r="J147" s="527"/>
      <c r="K147" s="527"/>
      <c r="L147" s="527"/>
      <c r="M147" s="527"/>
      <c r="N147" s="527"/>
      <c r="O147" s="527"/>
      <c r="P147" s="528"/>
      <c r="Q147" s="526" t="s">
        <v>640</v>
      </c>
      <c r="R147" s="527"/>
      <c r="S147" s="527"/>
      <c r="T147" s="527"/>
      <c r="U147" s="527"/>
      <c r="V147" s="527"/>
      <c r="W147" s="527"/>
      <c r="X147" s="528"/>
      <c r="Y147" s="529"/>
      <c r="Z147" s="530"/>
      <c r="AA147" s="530"/>
      <c r="AB147" s="530"/>
      <c r="AC147" s="531"/>
      <c r="AD147" s="526" t="s">
        <v>641</v>
      </c>
      <c r="AE147" s="527"/>
      <c r="AF147" s="527"/>
      <c r="AG147" s="527"/>
      <c r="AH147" s="527"/>
      <c r="AI147" s="527"/>
      <c r="AJ147" s="527"/>
      <c r="AK147" s="528"/>
      <c r="AL147" s="532" t="s">
        <v>642</v>
      </c>
      <c r="AM147" s="533"/>
      <c r="AN147" s="533"/>
      <c r="AO147" s="533"/>
      <c r="AP147" s="533"/>
      <c r="AQ147" s="533"/>
      <c r="AR147" s="533"/>
      <c r="AS147" s="534"/>
      <c r="AT147" s="529"/>
      <c r="AU147" s="704"/>
      <c r="AV147" s="704"/>
      <c r="AW147" s="531"/>
    </row>
    <row r="148" spans="1:92" ht="18" customHeight="1">
      <c r="A148" s="336"/>
      <c r="B148" s="705" t="s">
        <v>643</v>
      </c>
      <c r="C148" s="706"/>
      <c r="D148" s="707" t="s">
        <v>616</v>
      </c>
      <c r="E148" s="708"/>
      <c r="F148" s="708"/>
      <c r="G148" s="708"/>
      <c r="H148" s="709"/>
      <c r="I148" s="710">
        <f ca="1">OFFSET(Calcu!F44,$AL$5,0)</f>
        <v>0</v>
      </c>
      <c r="J148" s="595"/>
      <c r="K148" s="595"/>
      <c r="L148" s="595">
        <f>Calcu!F44</f>
        <v>0</v>
      </c>
      <c r="M148" s="595"/>
      <c r="N148" s="595"/>
      <c r="O148" s="595"/>
      <c r="P148" s="596"/>
      <c r="Q148" s="711" t="str">
        <f ca="1">OFFSET(Calcu!U44,$AL$5,0)</f>
        <v>m</v>
      </c>
      <c r="R148" s="712"/>
      <c r="S148" s="712"/>
      <c r="T148" s="712"/>
      <c r="U148" s="595" t="str">
        <f>Calcu!U44</f>
        <v>m</v>
      </c>
      <c r="V148" s="595"/>
      <c r="W148" s="595"/>
      <c r="X148" s="596"/>
      <c r="Y148" s="713" t="s">
        <v>644</v>
      </c>
      <c r="Z148" s="714"/>
      <c r="AA148" s="714"/>
      <c r="AB148" s="714"/>
      <c r="AC148" s="715"/>
      <c r="AD148" s="716">
        <v>1</v>
      </c>
      <c r="AE148" s="717"/>
      <c r="AF148" s="717"/>
      <c r="AG148" s="717"/>
      <c r="AH148" s="717"/>
      <c r="AI148" s="717"/>
      <c r="AJ148" s="717"/>
      <c r="AK148" s="718"/>
      <c r="AL148" s="711" t="e">
        <f ca="1">ABS(Q148*AD148)</f>
        <v>#VALUE!</v>
      </c>
      <c r="AM148" s="712"/>
      <c r="AN148" s="712"/>
      <c r="AO148" s="712"/>
      <c r="AP148" s="595" t="str">
        <f>U148</f>
        <v>m</v>
      </c>
      <c r="AQ148" s="595"/>
      <c r="AR148" s="595"/>
      <c r="AS148" s="596"/>
      <c r="AT148" s="713">
        <f ca="1">OFFSET(Calcu!V44,$AL$5,0)</f>
        <v>0</v>
      </c>
      <c r="AU148" s="714"/>
      <c r="AV148" s="714"/>
      <c r="AW148" s="715"/>
    </row>
    <row r="149" spans="1:92" ht="18" customHeight="1">
      <c r="A149" s="336"/>
      <c r="B149" s="588" t="s">
        <v>645</v>
      </c>
      <c r="C149" s="589"/>
      <c r="D149" s="590" t="s">
        <v>621</v>
      </c>
      <c r="E149" s="591"/>
      <c r="F149" s="591"/>
      <c r="G149" s="591"/>
      <c r="H149" s="592"/>
      <c r="I149" s="593">
        <f ca="1">OFFSET(Calcu!E44,$AL$5,0)</f>
        <v>0</v>
      </c>
      <c r="J149" s="594"/>
      <c r="K149" s="594"/>
      <c r="L149" s="594"/>
      <c r="M149" s="594"/>
      <c r="N149" s="595">
        <f>Calcu!E44</f>
        <v>0</v>
      </c>
      <c r="O149" s="595"/>
      <c r="P149" s="596"/>
      <c r="Q149" s="597" t="str">
        <f ca="1">OFFSET(Calcu!P44,$AL$5,0)</f>
        <v>Pa</v>
      </c>
      <c r="R149" s="598"/>
      <c r="S149" s="598"/>
      <c r="T149" s="598"/>
      <c r="U149" s="598"/>
      <c r="V149" s="595" t="str">
        <f>Calcu!P44</f>
        <v>Pa</v>
      </c>
      <c r="W149" s="595"/>
      <c r="X149" s="596"/>
      <c r="Y149" s="719" t="s">
        <v>646</v>
      </c>
      <c r="Z149" s="720"/>
      <c r="AA149" s="720"/>
      <c r="AB149" s="720"/>
      <c r="AC149" s="721"/>
      <c r="AD149" s="710" t="str">
        <f ca="1">OFFSET(Calcu!O44,$AL$5,0)</f>
        <v>m2·s2/kg</v>
      </c>
      <c r="AE149" s="595"/>
      <c r="AF149" s="595"/>
      <c r="AG149" s="595"/>
      <c r="AH149" s="722" t="s">
        <v>648</v>
      </c>
      <c r="AI149" s="722"/>
      <c r="AJ149" s="722"/>
      <c r="AK149" s="723"/>
      <c r="AL149" s="724" t="e">
        <f ca="1">ABS(Q149*AD149)</f>
        <v>#VALUE!</v>
      </c>
      <c r="AM149" s="725"/>
      <c r="AN149" s="725"/>
      <c r="AO149" s="725"/>
      <c r="AP149" s="725"/>
      <c r="AQ149" s="595" t="s">
        <v>649</v>
      </c>
      <c r="AR149" s="595"/>
      <c r="AS149" s="596"/>
      <c r="AT149" s="719" t="s">
        <v>650</v>
      </c>
      <c r="AU149" s="720"/>
      <c r="AV149" s="720"/>
      <c r="AW149" s="721"/>
    </row>
    <row r="150" spans="1:92" ht="18" customHeight="1">
      <c r="A150" s="336"/>
      <c r="B150" s="705" t="s">
        <v>651</v>
      </c>
      <c r="C150" s="706"/>
      <c r="D150" s="590" t="s">
        <v>652</v>
      </c>
      <c r="E150" s="591"/>
      <c r="F150" s="591"/>
      <c r="G150" s="591"/>
      <c r="H150" s="592"/>
      <c r="I150" s="593" t="str">
        <f ca="1">OFFSET(Calcu!E8,$AL$5,0)</f>
        <v>kg/㎥</v>
      </c>
      <c r="J150" s="594"/>
      <c r="K150" s="594"/>
      <c r="L150" s="594"/>
      <c r="M150" s="594"/>
      <c r="N150" s="595" t="str">
        <f>Calcu!E8</f>
        <v>kg/㎥</v>
      </c>
      <c r="O150" s="595"/>
      <c r="P150" s="596"/>
      <c r="Q150" s="726" t="str">
        <f ca="1">OFFSET(Calcu!R44,$AL$5,0)</f>
        <v>kg/㎥</v>
      </c>
      <c r="R150" s="727"/>
      <c r="S150" s="727"/>
      <c r="T150" s="727"/>
      <c r="U150" s="727"/>
      <c r="V150" s="595" t="str">
        <f>Calcu!R44</f>
        <v>kg/㎥</v>
      </c>
      <c r="W150" s="595"/>
      <c r="X150" s="596"/>
      <c r="Y150" s="719" t="s">
        <v>654</v>
      </c>
      <c r="Z150" s="720"/>
      <c r="AA150" s="720"/>
      <c r="AB150" s="720"/>
      <c r="AC150" s="721"/>
      <c r="AD150" s="710" t="str">
        <f ca="1">OFFSET(Calcu!Q44,$AL$5,0)</f>
        <v>m4/kg</v>
      </c>
      <c r="AE150" s="595"/>
      <c r="AF150" s="595"/>
      <c r="AG150" s="595"/>
      <c r="AH150" s="722" t="s">
        <v>656</v>
      </c>
      <c r="AI150" s="722"/>
      <c r="AJ150" s="722"/>
      <c r="AK150" s="723"/>
      <c r="AL150" s="724" t="e">
        <f t="shared" ref="AL150:AL151" ca="1" si="8">ABS(Q150*AD150)</f>
        <v>#VALUE!</v>
      </c>
      <c r="AM150" s="725"/>
      <c r="AN150" s="725"/>
      <c r="AO150" s="725"/>
      <c r="AP150" s="725"/>
      <c r="AQ150" s="595" t="s">
        <v>657</v>
      </c>
      <c r="AR150" s="595"/>
      <c r="AS150" s="596"/>
      <c r="AT150" s="719">
        <v>12.5</v>
      </c>
      <c r="AU150" s="720"/>
      <c r="AV150" s="720"/>
      <c r="AW150" s="721"/>
    </row>
    <row r="151" spans="1:92" ht="18" customHeight="1">
      <c r="A151" s="336"/>
      <c r="B151" s="705" t="s">
        <v>658</v>
      </c>
      <c r="C151" s="706"/>
      <c r="D151" s="590" t="s">
        <v>659</v>
      </c>
      <c r="E151" s="591"/>
      <c r="F151" s="591"/>
      <c r="G151" s="591"/>
      <c r="H151" s="592"/>
      <c r="I151" s="710">
        <f>Calcu!E3</f>
        <v>9.8066499999999994</v>
      </c>
      <c r="J151" s="595"/>
      <c r="K151" s="595"/>
      <c r="L151" s="595"/>
      <c r="M151" s="595"/>
      <c r="N151" s="595" t="s">
        <v>661</v>
      </c>
      <c r="O151" s="595"/>
      <c r="P151" s="596"/>
      <c r="Q151" s="728" t="str">
        <f ca="1">OFFSET(Calcu!T44,$AL$5,0)</f>
        <v>m/s2</v>
      </c>
      <c r="R151" s="729"/>
      <c r="S151" s="729"/>
      <c r="T151" s="729"/>
      <c r="U151" s="729"/>
      <c r="V151" s="595" t="s">
        <v>662</v>
      </c>
      <c r="W151" s="595"/>
      <c r="X151" s="596"/>
      <c r="Y151" s="719" t="s">
        <v>654</v>
      </c>
      <c r="Z151" s="720"/>
      <c r="AA151" s="720"/>
      <c r="AB151" s="720"/>
      <c r="AC151" s="721"/>
      <c r="AD151" s="710" t="str">
        <f ca="1">OFFSET(Calcu!S44,$AL$5,0)</f>
        <v>s2</v>
      </c>
      <c r="AE151" s="595"/>
      <c r="AF151" s="595"/>
      <c r="AG151" s="595"/>
      <c r="AH151" s="722" t="s">
        <v>663</v>
      </c>
      <c r="AI151" s="722"/>
      <c r="AJ151" s="722"/>
      <c r="AK151" s="723"/>
      <c r="AL151" s="724" t="e">
        <f t="shared" ca="1" si="8"/>
        <v>#VALUE!</v>
      </c>
      <c r="AM151" s="725"/>
      <c r="AN151" s="725"/>
      <c r="AO151" s="725"/>
      <c r="AP151" s="725"/>
      <c r="AQ151" s="595" t="s">
        <v>657</v>
      </c>
      <c r="AR151" s="595"/>
      <c r="AS151" s="596"/>
      <c r="AT151" s="719">
        <v>12.5</v>
      </c>
      <c r="AU151" s="720"/>
      <c r="AV151" s="720"/>
      <c r="AW151" s="721"/>
    </row>
    <row r="152" spans="1:92" ht="18" customHeight="1">
      <c r="A152" s="336"/>
      <c r="B152" s="705" t="s">
        <v>664</v>
      </c>
      <c r="C152" s="706"/>
      <c r="D152" s="707" t="s">
        <v>619</v>
      </c>
      <c r="E152" s="708"/>
      <c r="F152" s="708"/>
      <c r="G152" s="708"/>
      <c r="H152" s="709"/>
      <c r="I152" s="710">
        <f ca="1">OFFSET(Calcu!K44,$AL$5,0)</f>
        <v>0</v>
      </c>
      <c r="J152" s="595"/>
      <c r="K152" s="595"/>
      <c r="L152" s="595">
        <f>Calcu!K44</f>
        <v>0</v>
      </c>
      <c r="M152" s="595"/>
      <c r="N152" s="595"/>
      <c r="O152" s="595"/>
      <c r="P152" s="596"/>
      <c r="Q152" s="711" t="str">
        <f ca="1">OFFSET(Calcu!AA44,$AL$5,0)</f>
        <v>m</v>
      </c>
      <c r="R152" s="712"/>
      <c r="S152" s="712"/>
      <c r="T152" s="712"/>
      <c r="U152" s="595" t="str">
        <f>Calcu!AA44</f>
        <v>m</v>
      </c>
      <c r="V152" s="595"/>
      <c r="W152" s="595"/>
      <c r="X152" s="596"/>
      <c r="Y152" s="713" t="s">
        <v>654</v>
      </c>
      <c r="Z152" s="714"/>
      <c r="AA152" s="714"/>
      <c r="AB152" s="714"/>
      <c r="AC152" s="715"/>
      <c r="AD152" s="716">
        <v>-1</v>
      </c>
      <c r="AE152" s="717"/>
      <c r="AF152" s="717"/>
      <c r="AG152" s="717"/>
      <c r="AH152" s="717"/>
      <c r="AI152" s="717"/>
      <c r="AJ152" s="717"/>
      <c r="AK152" s="718"/>
      <c r="AL152" s="711" t="e">
        <f ca="1">ABS(Q152*AD152)</f>
        <v>#VALUE!</v>
      </c>
      <c r="AM152" s="712"/>
      <c r="AN152" s="712"/>
      <c r="AO152" s="712"/>
      <c r="AP152" s="595" t="str">
        <f>U152</f>
        <v>m</v>
      </c>
      <c r="AQ152" s="595"/>
      <c r="AR152" s="595"/>
      <c r="AS152" s="596"/>
      <c r="AT152" s="713">
        <f ca="1">OFFSET(Calcu!AB44,$AL$5,0)</f>
        <v>0</v>
      </c>
      <c r="AU152" s="714"/>
      <c r="AV152" s="714"/>
      <c r="AW152" s="715"/>
    </row>
    <row r="153" spans="1:92" ht="18" customHeight="1">
      <c r="A153" s="336"/>
      <c r="B153" s="705" t="s">
        <v>665</v>
      </c>
      <c r="C153" s="706"/>
      <c r="D153" s="730" t="s">
        <v>666</v>
      </c>
      <c r="E153" s="731"/>
      <c r="F153" s="731"/>
      <c r="G153" s="731"/>
      <c r="H153" s="732"/>
      <c r="I153" s="733" t="s">
        <v>668</v>
      </c>
      <c r="J153" s="734"/>
      <c r="K153" s="734"/>
      <c r="L153" s="734"/>
      <c r="M153" s="734"/>
      <c r="N153" s="734"/>
      <c r="O153" s="734"/>
      <c r="P153" s="735"/>
      <c r="Q153" s="724" t="str">
        <f ca="1">OFFSET(Calcu!W44,$AL$5,0)</f>
        <v>m</v>
      </c>
      <c r="R153" s="725"/>
      <c r="S153" s="725"/>
      <c r="T153" s="725"/>
      <c r="U153" s="725"/>
      <c r="V153" s="595" t="str">
        <f>Calcu!W44</f>
        <v>m</v>
      </c>
      <c r="W153" s="595"/>
      <c r="X153" s="596"/>
      <c r="Y153" s="719" t="s">
        <v>654</v>
      </c>
      <c r="Z153" s="720"/>
      <c r="AA153" s="720"/>
      <c r="AB153" s="720"/>
      <c r="AC153" s="721"/>
      <c r="AD153" s="736">
        <v>1</v>
      </c>
      <c r="AE153" s="737"/>
      <c r="AF153" s="737"/>
      <c r="AG153" s="737"/>
      <c r="AH153" s="737"/>
      <c r="AI153" s="737"/>
      <c r="AJ153" s="737"/>
      <c r="AK153" s="738"/>
      <c r="AL153" s="724" t="e">
        <f ca="1">ABS(Q153*AD153)</f>
        <v>#VALUE!</v>
      </c>
      <c r="AM153" s="725"/>
      <c r="AN153" s="725"/>
      <c r="AO153" s="725"/>
      <c r="AP153" s="725"/>
      <c r="AQ153" s="595" t="s">
        <v>546</v>
      </c>
      <c r="AR153" s="595"/>
      <c r="AS153" s="596"/>
      <c r="AT153" s="719" t="s">
        <v>669</v>
      </c>
      <c r="AU153" s="720"/>
      <c r="AV153" s="720"/>
      <c r="AW153" s="721"/>
    </row>
    <row r="154" spans="1:92" ht="18" customHeight="1">
      <c r="A154" s="336"/>
      <c r="B154" s="705" t="s">
        <v>670</v>
      </c>
      <c r="C154" s="706"/>
      <c r="D154" s="730" t="s">
        <v>671</v>
      </c>
      <c r="E154" s="731"/>
      <c r="F154" s="731"/>
      <c r="G154" s="731"/>
      <c r="H154" s="732"/>
      <c r="I154" s="733" t="s">
        <v>667</v>
      </c>
      <c r="J154" s="734"/>
      <c r="K154" s="734"/>
      <c r="L154" s="734"/>
      <c r="M154" s="734"/>
      <c r="N154" s="734"/>
      <c r="O154" s="734"/>
      <c r="P154" s="735"/>
      <c r="Q154" s="724" t="str">
        <f ca="1">OFFSET(Calcu!X44,$AL$5,0)</f>
        <v>m</v>
      </c>
      <c r="R154" s="725"/>
      <c r="S154" s="725"/>
      <c r="T154" s="725"/>
      <c r="U154" s="725"/>
      <c r="V154" s="595" t="str">
        <f>Calcu!X44</f>
        <v>m</v>
      </c>
      <c r="W154" s="595"/>
      <c r="X154" s="596"/>
      <c r="Y154" s="719" t="s">
        <v>653</v>
      </c>
      <c r="Z154" s="720"/>
      <c r="AA154" s="720"/>
      <c r="AB154" s="720"/>
      <c r="AC154" s="721"/>
      <c r="AD154" s="736">
        <v>1</v>
      </c>
      <c r="AE154" s="737"/>
      <c r="AF154" s="737"/>
      <c r="AG154" s="737"/>
      <c r="AH154" s="737"/>
      <c r="AI154" s="737"/>
      <c r="AJ154" s="737"/>
      <c r="AK154" s="738"/>
      <c r="AL154" s="724" t="e">
        <f ca="1">ABS(Q154*AD154)</f>
        <v>#VALUE!</v>
      </c>
      <c r="AM154" s="725"/>
      <c r="AN154" s="725"/>
      <c r="AO154" s="725"/>
      <c r="AP154" s="725"/>
      <c r="AQ154" s="595" t="s">
        <v>546</v>
      </c>
      <c r="AR154" s="595"/>
      <c r="AS154" s="596"/>
      <c r="AT154" s="719">
        <v>12.5</v>
      </c>
      <c r="AU154" s="720"/>
      <c r="AV154" s="720"/>
      <c r="AW154" s="721"/>
    </row>
    <row r="155" spans="1:92" ht="18" customHeight="1">
      <c r="A155" s="336"/>
      <c r="B155" s="705" t="s">
        <v>672</v>
      </c>
      <c r="C155" s="706"/>
      <c r="D155" s="730" t="s">
        <v>673</v>
      </c>
      <c r="E155" s="731"/>
      <c r="F155" s="731"/>
      <c r="G155" s="731"/>
      <c r="H155" s="732"/>
      <c r="I155" s="733" t="s">
        <v>667</v>
      </c>
      <c r="J155" s="734"/>
      <c r="K155" s="734"/>
      <c r="L155" s="734"/>
      <c r="M155" s="734"/>
      <c r="N155" s="734"/>
      <c r="O155" s="734"/>
      <c r="P155" s="735"/>
      <c r="Q155" s="724" t="str">
        <f ca="1">OFFSET(Calcu!Y44,$AL$5,0)</f>
        <v>m</v>
      </c>
      <c r="R155" s="725"/>
      <c r="S155" s="725"/>
      <c r="T155" s="725"/>
      <c r="U155" s="725"/>
      <c r="V155" s="595" t="str">
        <f>Calcu!Y44</f>
        <v>m</v>
      </c>
      <c r="W155" s="595"/>
      <c r="X155" s="596"/>
      <c r="Y155" s="719" t="s">
        <v>653</v>
      </c>
      <c r="Z155" s="720"/>
      <c r="AA155" s="720"/>
      <c r="AB155" s="720"/>
      <c r="AC155" s="721"/>
      <c r="AD155" s="736">
        <v>1</v>
      </c>
      <c r="AE155" s="737"/>
      <c r="AF155" s="737"/>
      <c r="AG155" s="737"/>
      <c r="AH155" s="737"/>
      <c r="AI155" s="737"/>
      <c r="AJ155" s="737"/>
      <c r="AK155" s="738"/>
      <c r="AL155" s="724" t="e">
        <f ca="1">ABS(Q155*AD155)</f>
        <v>#VALUE!</v>
      </c>
      <c r="AM155" s="725"/>
      <c r="AN155" s="725"/>
      <c r="AO155" s="725"/>
      <c r="AP155" s="725"/>
      <c r="AQ155" s="595" t="s">
        <v>674</v>
      </c>
      <c r="AR155" s="595"/>
      <c r="AS155" s="596"/>
      <c r="AT155" s="719">
        <v>12.5</v>
      </c>
      <c r="AU155" s="720"/>
      <c r="AV155" s="720"/>
      <c r="AW155" s="721"/>
    </row>
    <row r="156" spans="1:92" ht="18" customHeight="1">
      <c r="A156" s="336"/>
      <c r="B156" s="705" t="s">
        <v>675</v>
      </c>
      <c r="C156" s="706"/>
      <c r="D156" s="730" t="s">
        <v>676</v>
      </c>
      <c r="E156" s="731"/>
      <c r="F156" s="731"/>
      <c r="G156" s="731"/>
      <c r="H156" s="732"/>
      <c r="I156" s="733" t="s">
        <v>668</v>
      </c>
      <c r="J156" s="734"/>
      <c r="K156" s="734"/>
      <c r="L156" s="734"/>
      <c r="M156" s="734"/>
      <c r="N156" s="734"/>
      <c r="O156" s="734"/>
      <c r="P156" s="735"/>
      <c r="Q156" s="724" t="str">
        <f ca="1">OFFSET(Calcu!Z44,$AL$5,0)</f>
        <v>m</v>
      </c>
      <c r="R156" s="725"/>
      <c r="S156" s="725"/>
      <c r="T156" s="725"/>
      <c r="U156" s="725"/>
      <c r="V156" s="595" t="str">
        <f>Calcu!Z44</f>
        <v>m</v>
      </c>
      <c r="W156" s="595"/>
      <c r="X156" s="596"/>
      <c r="Y156" s="719" t="s">
        <v>677</v>
      </c>
      <c r="Z156" s="720"/>
      <c r="AA156" s="720"/>
      <c r="AB156" s="720"/>
      <c r="AC156" s="721"/>
      <c r="AD156" s="736">
        <v>1</v>
      </c>
      <c r="AE156" s="737"/>
      <c r="AF156" s="737"/>
      <c r="AG156" s="737"/>
      <c r="AH156" s="737"/>
      <c r="AI156" s="737"/>
      <c r="AJ156" s="737"/>
      <c r="AK156" s="738"/>
      <c r="AL156" s="724" t="e">
        <f ca="1">ABS(Q156*AD156)</f>
        <v>#VALUE!</v>
      </c>
      <c r="AM156" s="725"/>
      <c r="AN156" s="725"/>
      <c r="AO156" s="725"/>
      <c r="AP156" s="725"/>
      <c r="AQ156" s="595" t="s">
        <v>546</v>
      </c>
      <c r="AR156" s="595"/>
      <c r="AS156" s="596"/>
      <c r="AT156" s="719">
        <v>2</v>
      </c>
      <c r="AU156" s="720"/>
      <c r="AV156" s="720"/>
      <c r="AW156" s="721"/>
    </row>
    <row r="157" spans="1:92" ht="18" customHeight="1">
      <c r="A157" s="336"/>
      <c r="B157" s="705" t="s">
        <v>678</v>
      </c>
      <c r="C157" s="706"/>
      <c r="D157" s="707" t="s">
        <v>679</v>
      </c>
      <c r="E157" s="708"/>
      <c r="F157" s="708"/>
      <c r="G157" s="708"/>
      <c r="H157" s="709"/>
      <c r="I157" s="710">
        <f ca="1">OFFSET(Calcu!L44,$AL$5,0)</f>
        <v>0</v>
      </c>
      <c r="J157" s="595"/>
      <c r="K157" s="595"/>
      <c r="L157" s="595">
        <f>Calcu!L44</f>
        <v>0</v>
      </c>
      <c r="M157" s="595"/>
      <c r="N157" s="595"/>
      <c r="O157" s="595"/>
      <c r="P157" s="596"/>
      <c r="Q157" s="736" t="s">
        <v>680</v>
      </c>
      <c r="R157" s="737"/>
      <c r="S157" s="737"/>
      <c r="T157" s="737"/>
      <c r="U157" s="737"/>
      <c r="V157" s="737"/>
      <c r="W157" s="737"/>
      <c r="X157" s="738"/>
      <c r="Y157" s="736" t="s">
        <v>680</v>
      </c>
      <c r="Z157" s="737"/>
      <c r="AA157" s="737"/>
      <c r="AB157" s="737"/>
      <c r="AC157" s="738"/>
      <c r="AD157" s="736" t="s">
        <v>667</v>
      </c>
      <c r="AE157" s="737"/>
      <c r="AF157" s="737"/>
      <c r="AG157" s="737"/>
      <c r="AH157" s="737"/>
      <c r="AI157" s="737"/>
      <c r="AJ157" s="737"/>
      <c r="AK157" s="738"/>
      <c r="AL157" s="711" t="e">
        <f ca="1">SQRT(SUMSQ(AL148,AL152))</f>
        <v>#VALUE!</v>
      </c>
      <c r="AM157" s="712"/>
      <c r="AN157" s="712"/>
      <c r="AO157" s="712"/>
      <c r="AP157" s="595" t="str">
        <f>AP152</f>
        <v>m</v>
      </c>
      <c r="AQ157" s="595"/>
      <c r="AR157" s="595"/>
      <c r="AS157" s="596"/>
      <c r="AT157" s="713">
        <f ca="1">OFFSET(Calcu!AD44,$AL$5,0)</f>
        <v>0</v>
      </c>
      <c r="AU157" s="714"/>
      <c r="AV157" s="714"/>
      <c r="AW157" s="715"/>
      <c r="BD157" s="84"/>
      <c r="BE157" s="84"/>
      <c r="BF157" s="84"/>
      <c r="BG157" s="84"/>
      <c r="BH157" s="85"/>
      <c r="BI157" s="86"/>
      <c r="BJ157" s="86"/>
      <c r="BK157" s="87"/>
      <c r="BL157" s="87"/>
      <c r="BM157" s="87"/>
      <c r="BN157" s="87"/>
      <c r="BO157" s="87"/>
      <c r="BP157" s="87"/>
      <c r="BQ157" s="87"/>
      <c r="BR157" s="87"/>
      <c r="BS157" s="88"/>
      <c r="BT157" s="236"/>
      <c r="BU157" s="236"/>
      <c r="BV157" s="236"/>
      <c r="BW157" s="235"/>
      <c r="BX157" s="89"/>
      <c r="BY157" s="89"/>
      <c r="BZ157" s="89"/>
      <c r="CA157" s="89"/>
      <c r="CB157" s="89"/>
      <c r="CC157" s="238"/>
      <c r="CD157" s="238"/>
      <c r="CE157" s="238"/>
      <c r="CF157" s="238"/>
      <c r="CG157" s="238"/>
      <c r="CH157" s="85"/>
      <c r="CI157" s="86"/>
      <c r="CJ157" s="86"/>
      <c r="CK157" s="88"/>
      <c r="CL157" s="236"/>
      <c r="CM157" s="236"/>
      <c r="CN157" s="235"/>
    </row>
    <row r="158" spans="1:92" ht="18" customHeight="1">
      <c r="A158" s="336"/>
      <c r="B158" s="336"/>
      <c r="C158" s="336"/>
      <c r="D158" s="336"/>
      <c r="E158" s="336"/>
      <c r="F158" s="336"/>
      <c r="G158" s="336"/>
      <c r="H158" s="336"/>
      <c r="I158" s="336"/>
      <c r="J158" s="336"/>
      <c r="K158" s="336"/>
      <c r="L158" s="336"/>
      <c r="M158" s="336"/>
      <c r="N158" s="336"/>
      <c r="O158" s="336"/>
      <c r="P158" s="336"/>
      <c r="Q158" s="336"/>
      <c r="R158" s="336"/>
      <c r="S158" s="336"/>
      <c r="T158" s="336"/>
      <c r="U158" s="336"/>
      <c r="V158" s="336"/>
      <c r="W158" s="336"/>
      <c r="X158" s="336"/>
      <c r="Y158" s="336"/>
      <c r="Z158" s="336"/>
      <c r="AA158" s="336"/>
      <c r="AB158" s="336"/>
      <c r="AC158" s="336"/>
      <c r="AD158" s="336"/>
      <c r="AE158" s="336"/>
      <c r="AF158" s="336"/>
      <c r="AG158" s="336"/>
      <c r="AH158" s="336"/>
      <c r="AI158" s="336"/>
      <c r="AJ158" s="336"/>
      <c r="AK158" s="336"/>
      <c r="AL158" s="336"/>
      <c r="AM158" s="336"/>
      <c r="AN158" s="336"/>
      <c r="AO158" s="336"/>
      <c r="AP158" s="336"/>
      <c r="AQ158" s="336"/>
      <c r="AR158" s="336"/>
      <c r="AS158" s="336"/>
      <c r="AT158" s="336"/>
    </row>
    <row r="159" spans="1:92" ht="18" customHeight="1">
      <c r="A159" s="90" t="s">
        <v>681</v>
      </c>
      <c r="B159" s="336"/>
      <c r="C159" s="336"/>
      <c r="D159" s="336"/>
      <c r="E159" s="336"/>
      <c r="F159" s="336"/>
      <c r="G159" s="336"/>
      <c r="H159" s="336"/>
      <c r="I159" s="336"/>
      <c r="J159" s="336"/>
      <c r="K159" s="336"/>
      <c r="L159" s="336"/>
      <c r="M159" s="336"/>
      <c r="N159" s="336"/>
      <c r="O159" s="336"/>
      <c r="P159" s="336"/>
      <c r="Q159" s="336"/>
      <c r="R159" s="336"/>
      <c r="S159" s="336"/>
      <c r="T159" s="336"/>
      <c r="U159" s="336"/>
      <c r="V159" s="336"/>
      <c r="W159" s="336"/>
      <c r="X159" s="336"/>
      <c r="Y159" s="336"/>
      <c r="Z159" s="336"/>
      <c r="AA159" s="336"/>
      <c r="AB159" s="336"/>
      <c r="AC159" s="336"/>
      <c r="AD159" s="336"/>
      <c r="AE159" s="336"/>
      <c r="AF159" s="336"/>
      <c r="AG159" s="336"/>
      <c r="AH159" s="336"/>
      <c r="AI159" s="336"/>
      <c r="AJ159" s="336"/>
      <c r="AK159" s="336"/>
      <c r="AL159" s="336"/>
      <c r="AM159" s="336"/>
      <c r="AN159" s="336"/>
      <c r="AO159" s="336"/>
      <c r="AP159" s="336"/>
      <c r="AQ159" s="336"/>
      <c r="AR159" s="336"/>
      <c r="AS159" s="336"/>
      <c r="AT159" s="336"/>
    </row>
    <row r="160" spans="1:92" ht="18" customHeight="1">
      <c r="A160" s="90"/>
      <c r="B160" s="90" t="s">
        <v>682</v>
      </c>
      <c r="D160" s="336"/>
      <c r="E160" s="336"/>
      <c r="F160" s="336"/>
      <c r="G160" s="336"/>
      <c r="H160" s="336"/>
      <c r="I160" s="336"/>
      <c r="J160" s="336"/>
      <c r="K160" s="336"/>
      <c r="L160" s="336"/>
      <c r="M160" s="336"/>
      <c r="N160" s="336"/>
      <c r="O160" s="336"/>
      <c r="P160" s="336"/>
      <c r="Q160" s="336"/>
      <c r="R160" s="336"/>
      <c r="S160" s="336"/>
      <c r="T160" s="348" t="s">
        <v>683</v>
      </c>
      <c r="U160" s="336"/>
      <c r="V160" s="336"/>
      <c r="W160" s="336"/>
      <c r="X160" s="336"/>
      <c r="Y160" s="336"/>
      <c r="Z160" s="336"/>
      <c r="AA160" s="336"/>
      <c r="AB160" s="336"/>
      <c r="AC160" s="336"/>
      <c r="AD160" s="336"/>
      <c r="AE160" s="336"/>
      <c r="AF160" s="336"/>
      <c r="AG160" s="336"/>
      <c r="AH160" s="336"/>
      <c r="AI160" s="336"/>
      <c r="AJ160" s="336"/>
      <c r="AK160" s="336"/>
      <c r="AL160" s="336"/>
      <c r="AM160" s="336"/>
      <c r="AN160" s="336"/>
      <c r="AO160" s="336"/>
      <c r="AP160" s="336"/>
      <c r="AQ160" s="336"/>
      <c r="AR160" s="336"/>
      <c r="AS160" s="336"/>
      <c r="AT160" s="336"/>
    </row>
    <row r="161" spans="1:47" ht="18" customHeight="1">
      <c r="A161" s="90"/>
      <c r="B161" s="336" t="s">
        <v>684</v>
      </c>
      <c r="C161" s="336"/>
      <c r="E161" s="336"/>
      <c r="F161" s="336"/>
      <c r="G161" s="336"/>
      <c r="H161" s="336"/>
      <c r="I161" s="336"/>
      <c r="J161" s="336"/>
      <c r="K161" s="336"/>
      <c r="L161" s="336"/>
      <c r="M161" s="336"/>
      <c r="N161" s="336"/>
      <c r="O161" s="336"/>
      <c r="P161" s="336"/>
      <c r="Q161" s="336"/>
      <c r="R161" s="336"/>
      <c r="S161" s="336"/>
      <c r="T161" s="348"/>
      <c r="U161" s="336"/>
      <c r="V161" s="336"/>
      <c r="W161" s="336"/>
      <c r="X161" s="336"/>
      <c r="Y161" s="336"/>
      <c r="Z161" s="336"/>
      <c r="AA161" s="336"/>
      <c r="AB161" s="336"/>
      <c r="AC161" s="336"/>
      <c r="AD161" s="336"/>
      <c r="AE161" s="336"/>
      <c r="AF161" s="336"/>
      <c r="AG161" s="336"/>
      <c r="AH161" s="336"/>
      <c r="AI161" s="336"/>
      <c r="AJ161" s="336"/>
      <c r="AK161" s="336"/>
      <c r="AL161" s="336"/>
      <c r="AM161" s="336"/>
      <c r="AN161" s="336"/>
      <c r="AO161" s="336"/>
      <c r="AP161" s="336"/>
      <c r="AQ161" s="336"/>
      <c r="AR161" s="336"/>
      <c r="AS161" s="336"/>
      <c r="AT161" s="336"/>
    </row>
    <row r="162" spans="1:47" ht="18" customHeight="1">
      <c r="A162" s="90"/>
      <c r="B162" s="336"/>
      <c r="C162" s="336" t="s">
        <v>685</v>
      </c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48"/>
      <c r="U162" s="336"/>
      <c r="V162" s="336"/>
      <c r="W162" s="336"/>
      <c r="X162" s="336"/>
      <c r="Y162" s="336"/>
      <c r="Z162" s="336"/>
      <c r="AA162" s="336"/>
      <c r="AB162" s="336"/>
      <c r="AC162" s="336"/>
      <c r="AD162" s="336"/>
      <c r="AE162" s="336"/>
      <c r="AF162" s="336"/>
      <c r="AG162" s="336"/>
      <c r="AH162" s="336"/>
      <c r="AI162" s="336"/>
      <c r="AJ162" s="336"/>
      <c r="AK162" s="336"/>
      <c r="AL162" s="336"/>
      <c r="AM162" s="336"/>
      <c r="AN162" s="336"/>
      <c r="AO162" s="336"/>
      <c r="AP162" s="336"/>
      <c r="AQ162" s="336"/>
      <c r="AR162" s="336"/>
      <c r="AS162" s="336"/>
      <c r="AT162" s="336"/>
    </row>
    <row r="163" spans="1:47" ht="18" customHeight="1">
      <c r="A163" s="90"/>
      <c r="B163" s="336" t="s">
        <v>686</v>
      </c>
      <c r="C163" s="336"/>
      <c r="D163" s="336"/>
      <c r="E163" s="336"/>
      <c r="F163" s="336"/>
      <c r="G163" s="505">
        <f ca="1">I148</f>
        <v>0</v>
      </c>
      <c r="H163" s="505"/>
      <c r="I163" s="505"/>
      <c r="J163" s="505"/>
      <c r="K163" s="505"/>
      <c r="L163" s="506">
        <f>L148</f>
        <v>0</v>
      </c>
      <c r="M163" s="506"/>
      <c r="N163" s="506"/>
      <c r="O163" s="506"/>
      <c r="P163" s="506"/>
      <c r="Q163" s="506"/>
      <c r="R163" s="336"/>
      <c r="S163" s="336"/>
      <c r="T163" s="336"/>
      <c r="U163" s="336"/>
      <c r="V163" s="336"/>
      <c r="W163" s="336"/>
      <c r="X163" s="336"/>
      <c r="Y163" s="336"/>
      <c r="Z163" s="336"/>
      <c r="AA163" s="336"/>
      <c r="AB163" s="336"/>
      <c r="AC163" s="336"/>
      <c r="AD163" s="336"/>
      <c r="AE163" s="336"/>
      <c r="AF163" s="336"/>
      <c r="AG163" s="336"/>
      <c r="AH163" s="336"/>
      <c r="AI163" s="336"/>
      <c r="AJ163" s="336"/>
      <c r="AK163" s="336"/>
      <c r="AL163" s="336"/>
      <c r="AM163" s="336"/>
      <c r="AN163" s="336"/>
      <c r="AO163" s="336"/>
      <c r="AP163" s="336"/>
      <c r="AQ163" s="336"/>
      <c r="AR163" s="336"/>
      <c r="AS163" s="336"/>
      <c r="AT163" s="336"/>
    </row>
    <row r="164" spans="1:47" ht="18" customHeight="1">
      <c r="A164" s="90"/>
      <c r="B164" s="336"/>
      <c r="C164" s="336"/>
      <c r="D164" s="336"/>
      <c r="E164" s="336"/>
      <c r="F164" s="336"/>
      <c r="G164" s="336" t="s">
        <v>687</v>
      </c>
      <c r="I164" s="336"/>
      <c r="J164" s="336"/>
      <c r="K164" s="336"/>
      <c r="L164" s="336"/>
      <c r="M164" s="349" t="s">
        <v>688</v>
      </c>
      <c r="N164" s="336" t="s">
        <v>690</v>
      </c>
      <c r="O164" s="507">
        <f ca="1">I149</f>
        <v>0</v>
      </c>
      <c r="P164" s="507"/>
      <c r="Q164" s="507"/>
      <c r="R164" s="507"/>
      <c r="S164" s="508">
        <f>N149</f>
        <v>0</v>
      </c>
      <c r="T164" s="508"/>
      <c r="U164" s="508"/>
      <c r="V164" s="91"/>
      <c r="W164" s="91"/>
      <c r="X164" s="91"/>
      <c r="Y164" s="336"/>
      <c r="Z164" s="92"/>
      <c r="AA164" s="92"/>
      <c r="AB164" s="234"/>
      <c r="AC164" s="234"/>
      <c r="AD164" s="234"/>
      <c r="AE164" s="234"/>
      <c r="AF164" s="334"/>
      <c r="AG164" s="334"/>
      <c r="AH164" s="334"/>
      <c r="AI164" s="336"/>
      <c r="AJ164" s="336"/>
      <c r="AK164" s="336"/>
      <c r="AL164" s="336"/>
      <c r="AM164" s="336"/>
      <c r="AN164" s="336"/>
      <c r="AO164" s="336"/>
      <c r="AP164" s="336"/>
      <c r="AQ164" s="336"/>
      <c r="AR164" s="336"/>
      <c r="AS164" s="336"/>
      <c r="AT164" s="336"/>
      <c r="AU164" s="336"/>
    </row>
    <row r="165" spans="1:47" ht="18" customHeight="1">
      <c r="A165" s="90"/>
      <c r="B165" s="336"/>
      <c r="C165" s="336"/>
      <c r="D165" s="336"/>
      <c r="E165" s="336"/>
      <c r="F165" s="336"/>
      <c r="G165" s="508" t="s">
        <v>691</v>
      </c>
      <c r="H165" s="508"/>
      <c r="I165" s="508"/>
      <c r="J165" s="508"/>
      <c r="K165" s="508"/>
      <c r="L165" s="508"/>
      <c r="M165" s="349"/>
      <c r="N165" s="336"/>
      <c r="O165" s="350"/>
      <c r="P165" s="350"/>
      <c r="Q165" s="350"/>
      <c r="R165" s="509">
        <f ca="1">O164</f>
        <v>0</v>
      </c>
      <c r="S165" s="509"/>
      <c r="T165" s="509"/>
      <c r="U165" s="509"/>
      <c r="V165" s="509"/>
      <c r="W165" s="509"/>
      <c r="X165" s="509"/>
      <c r="Y165" s="509">
        <f>S164</f>
        <v>0</v>
      </c>
      <c r="Z165" s="509"/>
      <c r="AA165" s="509"/>
      <c r="AB165" s="509"/>
      <c r="AC165" s="509"/>
      <c r="AD165" s="509"/>
      <c r="AE165" s="509"/>
      <c r="AF165" s="510" t="s">
        <v>690</v>
      </c>
      <c r="AG165" s="508">
        <f ca="1">I148</f>
        <v>0</v>
      </c>
      <c r="AH165" s="508"/>
      <c r="AI165" s="508"/>
      <c r="AJ165" s="508" t="s">
        <v>657</v>
      </c>
      <c r="AK165" s="508"/>
      <c r="AL165" s="336"/>
      <c r="AM165" s="336"/>
      <c r="AN165" s="336"/>
      <c r="AO165" s="336"/>
      <c r="AP165" s="336"/>
      <c r="AQ165" s="336"/>
      <c r="AR165" s="336"/>
      <c r="AS165" s="336"/>
      <c r="AT165" s="336"/>
      <c r="AU165" s="336"/>
    </row>
    <row r="166" spans="1:47" ht="18" customHeight="1">
      <c r="A166" s="90"/>
      <c r="B166" s="336"/>
      <c r="C166" s="336"/>
      <c r="D166" s="336"/>
      <c r="E166" s="336"/>
      <c r="F166" s="336"/>
      <c r="G166" s="508"/>
      <c r="H166" s="508"/>
      <c r="I166" s="508"/>
      <c r="J166" s="508"/>
      <c r="K166" s="508"/>
      <c r="L166" s="508"/>
      <c r="M166" s="349"/>
      <c r="N166" s="336"/>
      <c r="O166" s="350"/>
      <c r="P166" s="350"/>
      <c r="Q166" s="350"/>
      <c r="R166" s="739" t="str">
        <f ca="1">I150</f>
        <v>kg/㎥</v>
      </c>
      <c r="S166" s="739"/>
      <c r="T166" s="739"/>
      <c r="U166" s="507" t="s">
        <v>692</v>
      </c>
      <c r="V166" s="507"/>
      <c r="W166" s="507"/>
      <c r="X166" s="98" t="s">
        <v>694</v>
      </c>
      <c r="Y166" s="740">
        <f>I151</f>
        <v>9.8066499999999994</v>
      </c>
      <c r="Z166" s="740"/>
      <c r="AA166" s="740"/>
      <c r="AB166" s="740"/>
      <c r="AC166" s="507" t="s">
        <v>696</v>
      </c>
      <c r="AD166" s="507"/>
      <c r="AE166" s="507"/>
      <c r="AF166" s="510"/>
      <c r="AG166" s="508"/>
      <c r="AH166" s="508"/>
      <c r="AI166" s="508"/>
      <c r="AJ166" s="508"/>
      <c r="AK166" s="508"/>
      <c r="AL166" s="336"/>
      <c r="AM166" s="336"/>
      <c r="AN166" s="336"/>
      <c r="AO166" s="336"/>
      <c r="AP166" s="336"/>
      <c r="AQ166" s="336"/>
      <c r="AR166" s="336"/>
      <c r="AS166" s="336"/>
      <c r="AT166" s="336"/>
      <c r="AU166" s="336"/>
    </row>
    <row r="167" spans="1:47" ht="18" customHeight="1">
      <c r="A167" s="90"/>
      <c r="B167" s="508" t="s">
        <v>697</v>
      </c>
      <c r="C167" s="508"/>
      <c r="D167" s="508"/>
      <c r="E167" s="508"/>
      <c r="F167" s="508"/>
      <c r="G167" s="508"/>
      <c r="H167" s="508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3"/>
      <c r="U167" s="333"/>
      <c r="V167" s="332"/>
      <c r="W167" s="336"/>
      <c r="X167" s="333"/>
      <c r="Y167" s="336"/>
      <c r="Z167" s="336"/>
      <c r="AA167" s="336"/>
      <c r="AB167" s="336"/>
      <c r="AC167" s="336"/>
      <c r="AD167" s="336"/>
      <c r="AE167" s="336"/>
      <c r="AG167" s="336"/>
      <c r="AH167" s="336"/>
      <c r="AI167" s="336"/>
    </row>
    <row r="168" spans="1:47" ht="18" customHeight="1">
      <c r="A168" s="90"/>
      <c r="B168" s="508"/>
      <c r="C168" s="508"/>
      <c r="D168" s="508"/>
      <c r="E168" s="508"/>
      <c r="F168" s="508"/>
      <c r="G168" s="508"/>
      <c r="H168" s="508"/>
      <c r="I168" s="336"/>
      <c r="J168" s="336"/>
      <c r="K168" s="336"/>
      <c r="L168" s="336"/>
      <c r="M168" s="336"/>
      <c r="N168" s="336"/>
      <c r="O168" s="336"/>
      <c r="P168" s="336"/>
      <c r="Q168" s="336"/>
      <c r="R168" s="336"/>
      <c r="S168" s="336"/>
      <c r="T168" s="333"/>
      <c r="U168" s="333"/>
      <c r="V168" s="336"/>
      <c r="W168" s="336"/>
      <c r="X168" s="333"/>
      <c r="Y168" s="336"/>
      <c r="Z168" s="336"/>
      <c r="AA168" s="336"/>
      <c r="AB168" s="336"/>
      <c r="AC168" s="336"/>
      <c r="AD168" s="336"/>
      <c r="AE168" s="336"/>
      <c r="AF168" s="336"/>
      <c r="AG168" s="336"/>
      <c r="AH168" s="336"/>
      <c r="AI168" s="336"/>
    </row>
    <row r="169" spans="1:47" ht="18" customHeight="1">
      <c r="A169" s="90"/>
      <c r="B169" s="336"/>
      <c r="C169" s="336"/>
      <c r="D169" s="336"/>
      <c r="E169" s="336"/>
      <c r="F169" s="336"/>
      <c r="G169" s="336"/>
      <c r="H169" s="336"/>
      <c r="I169" s="336"/>
      <c r="J169" s="336"/>
      <c r="K169" s="336"/>
      <c r="L169" s="336"/>
      <c r="M169" s="336"/>
      <c r="N169" s="513" t="e">
        <f ca="1">AA187</f>
        <v>#VALUE!</v>
      </c>
      <c r="O169" s="513"/>
      <c r="P169" s="513"/>
      <c r="Q169" s="336"/>
      <c r="R169" s="336"/>
      <c r="S169" s="741" t="e">
        <f ca="1">AA201</f>
        <v>#VALUE!</v>
      </c>
      <c r="T169" s="741"/>
      <c r="U169" s="741"/>
      <c r="V169" s="336"/>
      <c r="W169" s="336"/>
      <c r="X169" s="742" t="e">
        <f ca="1">Z217</f>
        <v>#VALUE!</v>
      </c>
      <c r="Y169" s="742"/>
      <c r="Z169" s="742"/>
      <c r="AA169" s="336"/>
      <c r="AB169" s="336"/>
      <c r="AC169" s="619" t="str">
        <f ca="1">Q148</f>
        <v>m</v>
      </c>
      <c r="AD169" s="508"/>
      <c r="AE169" s="508"/>
      <c r="AF169" s="337" t="s">
        <v>546</v>
      </c>
      <c r="AG169" s="337"/>
      <c r="AH169" s="337"/>
      <c r="AI169" s="336"/>
      <c r="AK169" s="351"/>
      <c r="AL169" s="351"/>
      <c r="AM169" s="351"/>
      <c r="AP169" s="351"/>
      <c r="AQ169" s="351"/>
      <c r="AR169" s="351"/>
    </row>
    <row r="170" spans="1:47" ht="18" customHeight="1">
      <c r="A170" s="90"/>
      <c r="B170" s="336" t="s">
        <v>698</v>
      </c>
      <c r="C170" s="336"/>
      <c r="D170" s="336"/>
      <c r="E170" s="336"/>
      <c r="F170" s="336"/>
      <c r="G170" s="336"/>
      <c r="H170" s="508" t="str">
        <f>Y148</f>
        <v>정규</v>
      </c>
      <c r="I170" s="508"/>
      <c r="J170" s="508"/>
      <c r="K170" s="508"/>
      <c r="L170" s="508"/>
      <c r="M170" s="336"/>
      <c r="N170" s="336"/>
      <c r="O170" s="336"/>
      <c r="P170" s="336"/>
      <c r="Q170" s="336"/>
      <c r="R170" s="336"/>
      <c r="S170" s="336"/>
      <c r="T170" s="336"/>
      <c r="U170" s="336"/>
      <c r="V170" s="336"/>
      <c r="W170" s="336"/>
      <c r="X170" s="336"/>
      <c r="Y170" s="336"/>
      <c r="Z170" s="336"/>
      <c r="AA170" s="336"/>
      <c r="AB170" s="336"/>
      <c r="AC170" s="336"/>
      <c r="AD170" s="336"/>
      <c r="AE170" s="336"/>
      <c r="AF170" s="336"/>
      <c r="AG170" s="336"/>
      <c r="AH170" s="336"/>
      <c r="AI170" s="336"/>
      <c r="AJ170" s="336"/>
      <c r="AK170" s="336"/>
      <c r="AL170" s="336"/>
      <c r="AM170" s="336"/>
      <c r="AN170" s="336"/>
      <c r="AO170" s="336"/>
      <c r="AP170" s="336"/>
      <c r="AQ170" s="336"/>
      <c r="AR170" s="336"/>
      <c r="AS170" s="336"/>
      <c r="AT170" s="336"/>
    </row>
    <row r="171" spans="1:47" ht="18" customHeight="1">
      <c r="A171" s="90"/>
      <c r="B171" s="508" t="s">
        <v>699</v>
      </c>
      <c r="C171" s="508"/>
      <c r="D171" s="508"/>
      <c r="E171" s="508"/>
      <c r="F171" s="508"/>
      <c r="G171" s="508"/>
      <c r="H171" s="336"/>
      <c r="I171" s="336"/>
      <c r="J171" s="336"/>
      <c r="K171" s="336"/>
      <c r="L171" s="336"/>
      <c r="M171" s="743">
        <f>AD148</f>
        <v>1</v>
      </c>
      <c r="N171" s="743"/>
      <c r="O171" s="336"/>
      <c r="P171" s="336"/>
      <c r="Q171" s="336"/>
      <c r="R171" s="336"/>
      <c r="S171" s="336"/>
      <c r="T171" s="336"/>
      <c r="U171" s="336"/>
      <c r="V171" s="336"/>
      <c r="W171" s="336"/>
      <c r="X171" s="336"/>
      <c r="Y171" s="336"/>
      <c r="Z171" s="336"/>
      <c r="AA171" s="336"/>
      <c r="AB171" s="336"/>
      <c r="AC171" s="336"/>
      <c r="AD171" s="336"/>
      <c r="AE171" s="336"/>
      <c r="AF171" s="336"/>
      <c r="AG171" s="336"/>
      <c r="AH171" s="336"/>
      <c r="AI171" s="336"/>
      <c r="AJ171" s="336"/>
      <c r="AK171" s="336"/>
      <c r="AL171" s="336"/>
      <c r="AM171" s="336"/>
      <c r="AN171" s="336"/>
      <c r="AO171" s="336"/>
      <c r="AP171" s="336"/>
      <c r="AQ171" s="336"/>
      <c r="AR171" s="336"/>
      <c r="AS171" s="336"/>
      <c r="AT171" s="336"/>
    </row>
    <row r="172" spans="1:47" ht="18" customHeight="1">
      <c r="A172" s="90"/>
      <c r="B172" s="508"/>
      <c r="C172" s="508"/>
      <c r="D172" s="508"/>
      <c r="E172" s="508"/>
      <c r="F172" s="508"/>
      <c r="G172" s="508"/>
      <c r="H172" s="336"/>
      <c r="I172" s="336"/>
      <c r="J172" s="336"/>
      <c r="K172" s="336"/>
      <c r="L172" s="336"/>
      <c r="M172" s="743"/>
      <c r="N172" s="743"/>
      <c r="O172" s="336"/>
      <c r="P172" s="336"/>
      <c r="Q172" s="336"/>
      <c r="R172" s="336"/>
      <c r="S172" s="336"/>
      <c r="T172" s="336"/>
      <c r="U172" s="336"/>
      <c r="V172" s="336"/>
      <c r="W172" s="336"/>
      <c r="X172" s="336"/>
      <c r="Y172" s="336"/>
      <c r="Z172" s="336"/>
      <c r="AA172" s="336"/>
      <c r="AB172" s="336"/>
      <c r="AC172" s="336"/>
      <c r="AD172" s="336"/>
      <c r="AE172" s="336"/>
      <c r="AF172" s="336"/>
      <c r="AG172" s="336"/>
      <c r="AH172" s="336"/>
      <c r="AI172" s="336"/>
      <c r="AJ172" s="336"/>
      <c r="AK172" s="336"/>
      <c r="AL172" s="336"/>
      <c r="AM172" s="336"/>
      <c r="AN172" s="336"/>
      <c r="AO172" s="336"/>
      <c r="AP172" s="336"/>
      <c r="AQ172" s="336"/>
      <c r="AR172" s="336"/>
      <c r="AS172" s="336"/>
      <c r="AT172" s="336"/>
    </row>
    <row r="173" spans="1:47" ht="18" customHeight="1">
      <c r="A173" s="90"/>
      <c r="B173" s="336" t="s">
        <v>700</v>
      </c>
      <c r="C173" s="336"/>
      <c r="D173" s="336"/>
      <c r="E173" s="336"/>
      <c r="F173" s="336"/>
      <c r="G173" s="336"/>
      <c r="H173" s="336"/>
      <c r="I173" s="336"/>
      <c r="J173" s="337" t="s">
        <v>701</v>
      </c>
      <c r="K173" s="513">
        <f>M171</f>
        <v>1</v>
      </c>
      <c r="L173" s="513"/>
      <c r="M173" s="337" t="s">
        <v>702</v>
      </c>
      <c r="N173" s="339" t="s">
        <v>693</v>
      </c>
      <c r="O173" s="619" t="str">
        <f ca="1">AC169</f>
        <v>m</v>
      </c>
      <c r="P173" s="619"/>
      <c r="Q173" s="619"/>
      <c r="R173" s="333" t="s">
        <v>546</v>
      </c>
      <c r="S173" s="351" t="s">
        <v>689</v>
      </c>
      <c r="T173" s="619" t="str">
        <f ca="1">O173</f>
        <v>m</v>
      </c>
      <c r="U173" s="619"/>
      <c r="V173" s="619"/>
      <c r="W173" s="333" t="s">
        <v>657</v>
      </c>
      <c r="X173" s="239"/>
      <c r="Y173" s="336"/>
      <c r="Z173" s="336"/>
      <c r="AA173" s="336"/>
      <c r="AB173" s="336"/>
      <c r="AC173" s="336"/>
      <c r="AD173" s="336"/>
      <c r="AE173" s="336"/>
      <c r="AF173" s="336"/>
      <c r="AG173" s="336"/>
      <c r="AH173" s="336"/>
      <c r="AI173" s="336"/>
      <c r="AJ173" s="336"/>
      <c r="AK173" s="336"/>
      <c r="AL173" s="336"/>
      <c r="AM173" s="336"/>
      <c r="AN173" s="336"/>
      <c r="AO173" s="336"/>
      <c r="AP173" s="336"/>
      <c r="AQ173" s="336"/>
      <c r="AR173" s="336"/>
      <c r="AS173" s="336"/>
      <c r="AT173" s="336"/>
    </row>
    <row r="174" spans="1:47" ht="18" customHeight="1">
      <c r="A174" s="90"/>
      <c r="B174" s="508" t="s">
        <v>703</v>
      </c>
      <c r="C174" s="508"/>
      <c r="D174" s="508"/>
      <c r="E174" s="508"/>
      <c r="F174" s="508"/>
      <c r="G174" s="508"/>
      <c r="H174" s="336"/>
      <c r="I174" s="336"/>
      <c r="J174" s="336"/>
      <c r="K174" s="96"/>
      <c r="L174" s="336"/>
      <c r="M174" s="336"/>
      <c r="N174" s="336"/>
      <c r="O174" s="336"/>
      <c r="P174" s="336"/>
      <c r="Q174" s="336"/>
      <c r="R174" s="744" t="str">
        <f ca="1">AC169</f>
        <v>m</v>
      </c>
      <c r="S174" s="521"/>
      <c r="T174" s="521"/>
      <c r="U174" s="521"/>
      <c r="V174" s="521"/>
      <c r="W174" s="521"/>
      <c r="X174" s="521"/>
      <c r="Y174" s="521"/>
      <c r="Z174" s="521"/>
      <c r="AA174" s="521"/>
      <c r="AB174" s="521"/>
      <c r="AC174" s="521"/>
      <c r="AD174" s="521"/>
      <c r="AE174" s="521"/>
      <c r="AF174" s="513" t="s">
        <v>690</v>
      </c>
      <c r="AG174" s="743">
        <f ca="1">AT148</f>
        <v>0</v>
      </c>
      <c r="AH174" s="743"/>
      <c r="AI174" s="743"/>
      <c r="AJ174" s="743"/>
      <c r="AK174" s="336"/>
      <c r="AL174" s="336"/>
      <c r="AM174" s="336"/>
      <c r="AN174" s="336"/>
      <c r="AO174" s="336"/>
      <c r="AP174" s="336"/>
      <c r="AQ174" s="336"/>
      <c r="AR174" s="336"/>
      <c r="AS174" s="336"/>
      <c r="AT174" s="336"/>
    </row>
    <row r="175" spans="1:47" ht="18" customHeight="1">
      <c r="A175" s="90"/>
      <c r="B175" s="508"/>
      <c r="C175" s="508"/>
      <c r="D175" s="508"/>
      <c r="E175" s="508"/>
      <c r="F175" s="508"/>
      <c r="G175" s="508"/>
      <c r="H175" s="336"/>
      <c r="I175" s="336"/>
      <c r="J175" s="336"/>
      <c r="K175" s="96"/>
      <c r="L175" s="341"/>
      <c r="M175" s="341"/>
      <c r="N175" s="341"/>
      <c r="O175" s="341"/>
      <c r="P175" s="341"/>
      <c r="Q175" s="336"/>
      <c r="R175" s="744" t="e">
        <f ca="1">N169</f>
        <v>#VALUE!</v>
      </c>
      <c r="S175" s="744"/>
      <c r="T175" s="744"/>
      <c r="U175" s="744"/>
      <c r="V175" s="513" t="s">
        <v>704</v>
      </c>
      <c r="W175" s="744" t="e">
        <f ca="1">S169</f>
        <v>#VALUE!</v>
      </c>
      <c r="X175" s="744"/>
      <c r="Y175" s="744"/>
      <c r="Z175" s="744"/>
      <c r="AA175" s="513" t="s">
        <v>704</v>
      </c>
      <c r="AB175" s="744" t="e">
        <f ca="1">X169</f>
        <v>#VALUE!</v>
      </c>
      <c r="AC175" s="521"/>
      <c r="AD175" s="521"/>
      <c r="AE175" s="521"/>
      <c r="AF175" s="513"/>
      <c r="AG175" s="743"/>
      <c r="AH175" s="743"/>
      <c r="AI175" s="743"/>
      <c r="AJ175" s="743"/>
      <c r="AK175" s="336"/>
      <c r="AL175" s="336"/>
      <c r="AM175" s="336"/>
      <c r="AN175" s="336"/>
      <c r="AO175" s="336"/>
      <c r="AP175" s="336"/>
      <c r="AQ175" s="336"/>
      <c r="AR175" s="336"/>
      <c r="AS175" s="336"/>
      <c r="AT175" s="336"/>
    </row>
    <row r="176" spans="1:47" ht="18" customHeight="1">
      <c r="A176" s="90"/>
      <c r="B176" s="336"/>
      <c r="C176" s="336"/>
      <c r="D176" s="336"/>
      <c r="E176" s="336"/>
      <c r="F176" s="336"/>
      <c r="G176" s="336"/>
      <c r="H176" s="336"/>
      <c r="I176" s="336"/>
      <c r="J176" s="336"/>
      <c r="K176" s="96"/>
      <c r="L176" s="341"/>
      <c r="M176" s="341"/>
      <c r="N176" s="341"/>
      <c r="O176" s="341"/>
      <c r="P176" s="341"/>
      <c r="Q176" s="336"/>
      <c r="R176" s="520" t="str">
        <f>AT149</f>
        <v>∞</v>
      </c>
      <c r="S176" s="520"/>
      <c r="T176" s="520"/>
      <c r="U176" s="520"/>
      <c r="V176" s="513"/>
      <c r="W176" s="520">
        <f>AT150</f>
        <v>12.5</v>
      </c>
      <c r="X176" s="520"/>
      <c r="Y176" s="520"/>
      <c r="Z176" s="520"/>
      <c r="AA176" s="513"/>
      <c r="AB176" s="520">
        <f>AT151</f>
        <v>12.5</v>
      </c>
      <c r="AC176" s="520"/>
      <c r="AD176" s="520"/>
      <c r="AE176" s="520"/>
      <c r="AF176" s="336"/>
      <c r="AG176" s="336"/>
      <c r="AH176" s="336"/>
      <c r="AI176" s="336"/>
      <c r="AJ176" s="336"/>
      <c r="AK176" s="336"/>
      <c r="AL176" s="336"/>
      <c r="AM176" s="336"/>
      <c r="AN176" s="336"/>
      <c r="AO176" s="336"/>
      <c r="AP176" s="336"/>
      <c r="AQ176" s="336"/>
      <c r="AR176" s="336"/>
      <c r="AS176" s="336"/>
      <c r="AT176" s="336"/>
    </row>
    <row r="177" spans="1:46" ht="18" customHeight="1">
      <c r="A177" s="90"/>
      <c r="B177" s="336"/>
      <c r="C177" s="336"/>
      <c r="D177" s="336"/>
      <c r="E177" s="336"/>
      <c r="F177" s="336"/>
      <c r="G177" s="336"/>
      <c r="H177" s="336"/>
      <c r="I177" s="336"/>
      <c r="J177" s="336"/>
      <c r="K177" s="336"/>
      <c r="L177" s="336"/>
      <c r="M177" s="336"/>
      <c r="N177" s="336"/>
      <c r="O177" s="336"/>
      <c r="P177" s="336"/>
      <c r="Q177" s="336"/>
      <c r="R177" s="336"/>
      <c r="S177" s="336"/>
      <c r="T177" s="336"/>
      <c r="U177" s="336"/>
      <c r="V177" s="336"/>
      <c r="W177" s="336"/>
      <c r="X177" s="336"/>
      <c r="Y177" s="336"/>
      <c r="Z177" s="336"/>
      <c r="AA177" s="336"/>
      <c r="AB177" s="336"/>
      <c r="AC177" s="336"/>
      <c r="AD177" s="336"/>
      <c r="AE177" s="336"/>
      <c r="AF177" s="336"/>
      <c r="AG177" s="336"/>
      <c r="AH177" s="336"/>
      <c r="AI177" s="336"/>
      <c r="AJ177" s="336"/>
      <c r="AK177" s="336"/>
      <c r="AL177" s="336"/>
      <c r="AM177" s="336"/>
      <c r="AN177" s="336"/>
      <c r="AO177" s="336"/>
      <c r="AP177" s="336"/>
      <c r="AQ177" s="336"/>
      <c r="AR177" s="336"/>
      <c r="AS177" s="336"/>
      <c r="AT177" s="336"/>
    </row>
    <row r="178" spans="1:46" ht="18" customHeight="1">
      <c r="A178" s="90"/>
      <c r="B178" s="97" t="s">
        <v>705</v>
      </c>
      <c r="D178" s="336"/>
      <c r="E178" s="336"/>
      <c r="F178" s="336"/>
      <c r="G178" s="336"/>
      <c r="H178" s="336"/>
      <c r="I178" s="336"/>
      <c r="J178" s="336"/>
      <c r="K178" s="336"/>
      <c r="L178" s="336"/>
      <c r="M178" s="336"/>
      <c r="N178" s="336"/>
      <c r="O178" s="336"/>
      <c r="P178" s="336"/>
      <c r="Q178" s="336"/>
      <c r="R178" s="348" t="s">
        <v>706</v>
      </c>
      <c r="S178" s="336"/>
      <c r="U178" s="336"/>
      <c r="V178" s="336"/>
      <c r="W178" s="336"/>
      <c r="X178" s="336"/>
      <c r="Y178" s="336"/>
      <c r="Z178" s="336"/>
      <c r="AA178" s="336"/>
      <c r="AB178" s="336"/>
      <c r="AC178" s="336"/>
      <c r="AD178" s="336"/>
      <c r="AE178" s="336"/>
      <c r="AF178" s="336"/>
      <c r="AG178" s="336"/>
      <c r="AH178" s="336"/>
      <c r="AI178" s="336"/>
      <c r="AJ178" s="336"/>
      <c r="AK178" s="336"/>
      <c r="AL178" s="336"/>
      <c r="AM178" s="336"/>
      <c r="AN178" s="336"/>
      <c r="AO178" s="336"/>
      <c r="AP178" s="336"/>
      <c r="AQ178" s="336"/>
      <c r="AR178" s="336"/>
      <c r="AS178" s="336"/>
      <c r="AT178" s="336"/>
    </row>
    <row r="179" spans="1:46" ht="18" customHeight="1">
      <c r="A179" s="90"/>
      <c r="B179" s="85" t="s">
        <v>707</v>
      </c>
      <c r="C179" s="97"/>
      <c r="D179" s="336"/>
      <c r="E179" s="336"/>
      <c r="F179" s="336"/>
      <c r="G179" s="336"/>
      <c r="H179" s="336"/>
      <c r="I179" s="336"/>
      <c r="J179" s="336"/>
      <c r="K179" s="336"/>
      <c r="L179" s="336"/>
      <c r="M179" s="336"/>
      <c r="N179" s="336"/>
      <c r="O179" s="336"/>
      <c r="P179" s="336"/>
      <c r="Q179" s="336"/>
      <c r="R179" s="348"/>
      <c r="S179" s="336"/>
      <c r="U179" s="336"/>
      <c r="V179" s="336"/>
      <c r="W179" s="336"/>
      <c r="X179" s="336"/>
      <c r="Y179" s="336"/>
      <c r="Z179" s="336"/>
      <c r="AA179" s="336"/>
      <c r="AB179" s="336"/>
      <c r="AC179" s="336"/>
      <c r="AD179" s="336"/>
      <c r="AE179" s="336"/>
      <c r="AF179" s="336"/>
      <c r="AG179" s="336"/>
      <c r="AH179" s="336"/>
      <c r="AI179" s="336"/>
      <c r="AJ179" s="336"/>
      <c r="AK179" s="336"/>
      <c r="AL179" s="336"/>
      <c r="AM179" s="336"/>
      <c r="AN179" s="336"/>
      <c r="AO179" s="336"/>
      <c r="AP179" s="336"/>
      <c r="AQ179" s="336"/>
      <c r="AR179" s="336"/>
      <c r="AS179" s="336"/>
      <c r="AT179" s="336"/>
    </row>
    <row r="180" spans="1:46" ht="18" customHeight="1">
      <c r="A180" s="90"/>
      <c r="B180" s="336" t="s">
        <v>708</v>
      </c>
      <c r="C180" s="336"/>
      <c r="D180" s="336"/>
      <c r="E180" s="336"/>
      <c r="F180" s="336"/>
      <c r="G180" s="505">
        <f ca="1">I149</f>
        <v>0</v>
      </c>
      <c r="H180" s="505"/>
      <c r="I180" s="505"/>
      <c r="J180" s="505"/>
      <c r="K180" s="505"/>
      <c r="L180" s="506">
        <f>N149</f>
        <v>0</v>
      </c>
      <c r="M180" s="506"/>
      <c r="N180" s="506"/>
      <c r="O180" s="506"/>
      <c r="P180" s="506"/>
      <c r="Q180" s="506"/>
      <c r="R180" s="336"/>
      <c r="S180" s="336"/>
      <c r="T180" s="336"/>
      <c r="U180" s="336"/>
      <c r="V180" s="336"/>
      <c r="W180" s="336"/>
      <c r="X180" s="336"/>
      <c r="Y180" s="336"/>
      <c r="Z180" s="336"/>
      <c r="AA180" s="336"/>
      <c r="AB180" s="336"/>
      <c r="AC180" s="336"/>
      <c r="AD180" s="336"/>
      <c r="AE180" s="336"/>
      <c r="AF180" s="336"/>
      <c r="AG180" s="336"/>
      <c r="AH180" s="336"/>
      <c r="AI180" s="336"/>
      <c r="AJ180" s="336"/>
      <c r="AK180" s="336"/>
      <c r="AL180" s="336"/>
      <c r="AM180" s="336"/>
      <c r="AN180" s="336"/>
      <c r="AO180" s="336"/>
      <c r="AP180" s="336"/>
      <c r="AQ180" s="336"/>
      <c r="AR180" s="336"/>
      <c r="AS180" s="336"/>
      <c r="AT180" s="336"/>
    </row>
    <row r="181" spans="1:46" ht="18" customHeight="1">
      <c r="A181" s="90"/>
      <c r="B181" s="336" t="s">
        <v>709</v>
      </c>
      <c r="C181" s="336"/>
      <c r="D181" s="336"/>
      <c r="E181" s="336"/>
      <c r="F181" s="336"/>
      <c r="G181" s="336"/>
      <c r="H181" s="336"/>
      <c r="I181" s="336" t="str">
        <f ca="1">"※ 교정성적서에 측정불확도가 "&amp;P182&amp;" "&amp;R182&amp;" 이다."</f>
        <v>※ 교정성적서에 측정불확도가 0 0 이다.</v>
      </c>
      <c r="J181" s="336"/>
      <c r="K181" s="336"/>
      <c r="L181" s="336"/>
      <c r="M181" s="336"/>
      <c r="N181" s="336"/>
      <c r="O181" s="336"/>
      <c r="P181" s="336"/>
      <c r="Q181" s="336"/>
      <c r="R181" s="336"/>
      <c r="S181" s="336"/>
      <c r="T181" s="336"/>
      <c r="U181" s="93"/>
      <c r="V181" s="93"/>
      <c r="W181" s="93"/>
      <c r="X181" s="336"/>
      <c r="Y181" s="94"/>
      <c r="Z181" s="94"/>
      <c r="AA181" s="94"/>
      <c r="AB181" s="92" t="s">
        <v>710</v>
      </c>
      <c r="AC181" s="92"/>
      <c r="AD181" s="336"/>
      <c r="AE181" s="336"/>
      <c r="AF181" s="336"/>
      <c r="AG181" s="336"/>
      <c r="AH181" s="336"/>
      <c r="AI181" s="336"/>
      <c r="AJ181" s="336"/>
      <c r="AK181" s="336"/>
      <c r="AL181" s="336"/>
      <c r="AM181" s="336"/>
      <c r="AN181" s="336"/>
      <c r="AO181" s="336"/>
      <c r="AP181" s="336"/>
      <c r="AQ181" s="336"/>
      <c r="AR181" s="336"/>
      <c r="AS181" s="336"/>
      <c r="AT181" s="336"/>
    </row>
    <row r="182" spans="1:46" ht="18" customHeight="1">
      <c r="A182" s="90"/>
      <c r="B182" s="336"/>
      <c r="C182" s="336"/>
      <c r="D182" s="336"/>
      <c r="E182" s="336"/>
      <c r="F182" s="336"/>
      <c r="G182" s="336"/>
      <c r="H182" s="336"/>
      <c r="I182" s="512" t="s">
        <v>711</v>
      </c>
      <c r="J182" s="512"/>
      <c r="K182" s="512"/>
      <c r="L182" s="513" t="s">
        <v>689</v>
      </c>
      <c r="M182" s="514" t="s">
        <v>712</v>
      </c>
      <c r="N182" s="514"/>
      <c r="O182" s="513" t="s">
        <v>713</v>
      </c>
      <c r="P182" s="515">
        <f ca="1">OFFSET(Calcu!G44,$AL$5,0)</f>
        <v>0</v>
      </c>
      <c r="Q182" s="515"/>
      <c r="R182" s="516">
        <f>Calcu!G44</f>
        <v>0</v>
      </c>
      <c r="S182" s="516"/>
      <c r="T182" s="517" t="s">
        <v>689</v>
      </c>
      <c r="U182" s="508">
        <f ca="1">P182/P183</f>
        <v>0</v>
      </c>
      <c r="V182" s="508"/>
      <c r="W182" s="518">
        <f>R182</f>
        <v>0</v>
      </c>
      <c r="X182" s="518"/>
      <c r="Y182" s="517" t="s">
        <v>689</v>
      </c>
      <c r="Z182" s="508" t="str">
        <f ca="1">Q149</f>
        <v>Pa</v>
      </c>
      <c r="AA182" s="508"/>
      <c r="AB182" s="508"/>
      <c r="AC182" s="518" t="str">
        <f>V149</f>
        <v>Pa</v>
      </c>
      <c r="AD182" s="518"/>
      <c r="AE182" s="99"/>
      <c r="AF182" s="99"/>
      <c r="AG182" s="99"/>
      <c r="AH182" s="99"/>
      <c r="AI182" s="99"/>
      <c r="AJ182" s="99"/>
      <c r="AK182" s="99"/>
      <c r="AL182" s="336"/>
      <c r="AM182" s="336"/>
      <c r="AN182" s="336"/>
      <c r="AO182" s="336"/>
      <c r="AP182" s="336"/>
      <c r="AQ182" s="336"/>
      <c r="AR182" s="336"/>
      <c r="AS182" s="336"/>
      <c r="AT182" s="336"/>
    </row>
    <row r="183" spans="1:46" ht="18" customHeight="1">
      <c r="A183" s="90"/>
      <c r="B183" s="336"/>
      <c r="C183" s="336"/>
      <c r="D183" s="336"/>
      <c r="E183" s="336"/>
      <c r="F183" s="336"/>
      <c r="G183" s="336"/>
      <c r="H183" s="336"/>
      <c r="I183" s="512"/>
      <c r="J183" s="512"/>
      <c r="K183" s="512"/>
      <c r="L183" s="513"/>
      <c r="M183" s="519" t="s">
        <v>714</v>
      </c>
      <c r="N183" s="519"/>
      <c r="O183" s="513"/>
      <c r="P183" s="520">
        <v>2</v>
      </c>
      <c r="Q183" s="520"/>
      <c r="R183" s="520"/>
      <c r="S183" s="520"/>
      <c r="T183" s="517"/>
      <c r="U183" s="508"/>
      <c r="V183" s="508"/>
      <c r="W183" s="518"/>
      <c r="X183" s="518"/>
      <c r="Y183" s="517"/>
      <c r="Z183" s="508"/>
      <c r="AA183" s="508"/>
      <c r="AB183" s="508"/>
      <c r="AC183" s="518"/>
      <c r="AD183" s="518"/>
      <c r="AE183" s="336"/>
      <c r="AF183" s="338"/>
      <c r="AG183" s="338"/>
      <c r="AH183" s="338"/>
      <c r="AI183" s="336"/>
      <c r="AJ183" s="100"/>
      <c r="AK183" s="338"/>
      <c r="AL183" s="338"/>
      <c r="AM183" s="338"/>
      <c r="AN183" s="332"/>
      <c r="AO183" s="332"/>
      <c r="AP183" s="336"/>
      <c r="AQ183" s="336"/>
      <c r="AR183" s="336"/>
      <c r="AS183" s="336"/>
      <c r="AT183" s="336"/>
    </row>
    <row r="184" spans="1:46" ht="18" customHeight="1">
      <c r="A184" s="90"/>
      <c r="B184" s="336" t="s">
        <v>715</v>
      </c>
      <c r="C184" s="336"/>
      <c r="D184" s="336"/>
      <c r="E184" s="336"/>
      <c r="F184" s="336"/>
      <c r="G184" s="336"/>
      <c r="H184" s="508" t="str">
        <f>Y149</f>
        <v>정규</v>
      </c>
      <c r="I184" s="508"/>
      <c r="J184" s="508"/>
      <c r="K184" s="508"/>
      <c r="L184" s="508"/>
      <c r="M184" s="336"/>
      <c r="N184" s="336"/>
      <c r="O184" s="336"/>
      <c r="P184" s="336"/>
      <c r="Q184" s="336"/>
      <c r="R184" s="336"/>
      <c r="S184" s="336"/>
      <c r="T184" s="336"/>
      <c r="U184" s="336"/>
      <c r="V184" s="336"/>
      <c r="W184" s="336"/>
      <c r="X184" s="336"/>
      <c r="Y184" s="336"/>
      <c r="Z184" s="336"/>
      <c r="AA184" s="336"/>
      <c r="AB184" s="336"/>
      <c r="AC184" s="336"/>
      <c r="AD184" s="336"/>
      <c r="AE184" s="336"/>
      <c r="AF184" s="336"/>
      <c r="AG184" s="336"/>
      <c r="AH184" s="336"/>
      <c r="AI184" s="336"/>
      <c r="AJ184" s="336"/>
      <c r="AK184" s="336"/>
      <c r="AL184" s="336"/>
      <c r="AM184" s="336"/>
      <c r="AN184" s="336"/>
      <c r="AO184" s="336"/>
      <c r="AP184" s="336"/>
      <c r="AQ184" s="336"/>
      <c r="AR184" s="336"/>
      <c r="AS184" s="336"/>
      <c r="AT184" s="336"/>
    </row>
    <row r="185" spans="1:46" ht="18" customHeight="1">
      <c r="A185" s="90"/>
      <c r="B185" s="508" t="s">
        <v>716</v>
      </c>
      <c r="C185" s="508"/>
      <c r="D185" s="508"/>
      <c r="E185" s="508"/>
      <c r="F185" s="508"/>
      <c r="G185" s="508"/>
      <c r="H185" s="336"/>
      <c r="I185" s="336"/>
      <c r="J185" s="336"/>
      <c r="K185" s="336"/>
      <c r="L185" s="336"/>
      <c r="M185" s="336"/>
      <c r="N185" s="336"/>
      <c r="O185" s="336"/>
      <c r="P185" s="336"/>
      <c r="Q185" s="521">
        <v>1</v>
      </c>
      <c r="R185" s="521"/>
      <c r="S185" s="521"/>
      <c r="T185" s="521"/>
      <c r="U185" s="521"/>
      <c r="V185" s="521"/>
      <c r="W185" s="521"/>
      <c r="X185" s="521"/>
      <c r="Y185" s="521"/>
      <c r="Z185" s="521"/>
      <c r="AA185" s="521"/>
      <c r="AB185" s="521"/>
      <c r="AC185" s="521"/>
      <c r="AD185" s="521"/>
      <c r="AE185" s="513" t="s">
        <v>689</v>
      </c>
      <c r="AF185" s="745" t="e">
        <f ca="1">1/(Q186*X186)</f>
        <v>#VALUE!</v>
      </c>
      <c r="AG185" s="745"/>
      <c r="AH185" s="745"/>
      <c r="AI185" s="745"/>
      <c r="AJ185" s="511" t="s">
        <v>647</v>
      </c>
      <c r="AK185" s="511"/>
      <c r="AL185" s="511"/>
      <c r="AM185" s="511"/>
      <c r="AN185" s="336"/>
      <c r="AO185" s="336"/>
      <c r="AP185" s="336"/>
      <c r="AQ185" s="336"/>
      <c r="AR185" s="336"/>
      <c r="AS185" s="336"/>
      <c r="AT185" s="336"/>
    </row>
    <row r="186" spans="1:46" ht="18" customHeight="1">
      <c r="A186" s="90"/>
      <c r="B186" s="508"/>
      <c r="C186" s="508"/>
      <c r="D186" s="508"/>
      <c r="E186" s="508"/>
      <c r="F186" s="508"/>
      <c r="G186" s="508"/>
      <c r="H186" s="336"/>
      <c r="I186" s="336"/>
      <c r="J186" s="336"/>
      <c r="K186" s="336"/>
      <c r="L186" s="336"/>
      <c r="M186" s="336"/>
      <c r="N186" s="336"/>
      <c r="O186" s="336"/>
      <c r="P186" s="336"/>
      <c r="Q186" s="739" t="str">
        <f ca="1">I150</f>
        <v>kg/㎥</v>
      </c>
      <c r="R186" s="739"/>
      <c r="S186" s="739"/>
      <c r="T186" s="507" t="s">
        <v>692</v>
      </c>
      <c r="U186" s="507"/>
      <c r="V186" s="507"/>
      <c r="W186" s="98" t="s">
        <v>717</v>
      </c>
      <c r="X186" s="740">
        <f>I151</f>
        <v>9.8066499999999994</v>
      </c>
      <c r="Y186" s="740"/>
      <c r="Z186" s="740"/>
      <c r="AA186" s="740"/>
      <c r="AB186" s="507" t="s">
        <v>718</v>
      </c>
      <c r="AC186" s="507"/>
      <c r="AD186" s="507"/>
      <c r="AE186" s="513"/>
      <c r="AF186" s="745"/>
      <c r="AG186" s="745"/>
      <c r="AH186" s="745"/>
      <c r="AI186" s="745"/>
      <c r="AJ186" s="511"/>
      <c r="AK186" s="511"/>
      <c r="AL186" s="511"/>
      <c r="AM186" s="511"/>
      <c r="AN186" s="336"/>
      <c r="AO186" s="336"/>
      <c r="AP186" s="336"/>
      <c r="AQ186" s="336"/>
      <c r="AR186" s="336"/>
      <c r="AS186" s="336"/>
      <c r="AT186" s="336"/>
    </row>
    <row r="187" spans="1:46" ht="18" customHeight="1">
      <c r="A187" s="90"/>
      <c r="B187" s="336" t="s">
        <v>719</v>
      </c>
      <c r="C187" s="336"/>
      <c r="D187" s="336"/>
      <c r="E187" s="336"/>
      <c r="F187" s="336"/>
      <c r="G187" s="336"/>
      <c r="H187" s="336"/>
      <c r="I187" s="336"/>
      <c r="J187" s="337" t="s">
        <v>701</v>
      </c>
      <c r="K187" s="745" t="e">
        <f ca="1">AF185</f>
        <v>#VALUE!</v>
      </c>
      <c r="L187" s="745"/>
      <c r="M187" s="745"/>
      <c r="N187" s="745"/>
      <c r="O187" s="511" t="s">
        <v>720</v>
      </c>
      <c r="P187" s="511"/>
      <c r="Q187" s="511"/>
      <c r="R187" s="511"/>
      <c r="S187" s="337" t="s">
        <v>721</v>
      </c>
      <c r="T187" s="340" t="s">
        <v>694</v>
      </c>
      <c r="U187" s="508" t="str">
        <f ca="1">Z182</f>
        <v>Pa</v>
      </c>
      <c r="V187" s="508"/>
      <c r="W187" s="508"/>
      <c r="X187" s="508" t="str">
        <f>AC182</f>
        <v>Pa</v>
      </c>
      <c r="Y187" s="508"/>
      <c r="Z187" s="337" t="s">
        <v>689</v>
      </c>
      <c r="AA187" s="508" t="e">
        <f ca="1">ABS(K187*U187)</f>
        <v>#VALUE!</v>
      </c>
      <c r="AB187" s="508"/>
      <c r="AC187" s="508"/>
      <c r="AD187" s="508" t="s">
        <v>657</v>
      </c>
      <c r="AE187" s="508"/>
      <c r="AF187" s="336"/>
      <c r="AG187" s="336"/>
      <c r="AH187" s="336"/>
      <c r="AI187" s="336"/>
      <c r="AJ187" s="336"/>
      <c r="AK187" s="336"/>
      <c r="AL187" s="336"/>
      <c r="AM187" s="336"/>
      <c r="AN187" s="336"/>
      <c r="AO187" s="336"/>
      <c r="AP187" s="336"/>
      <c r="AQ187" s="336"/>
      <c r="AR187" s="336"/>
      <c r="AS187" s="336"/>
      <c r="AT187" s="336"/>
    </row>
    <row r="188" spans="1:46" ht="18" customHeight="1">
      <c r="A188" s="90"/>
      <c r="B188" s="336" t="s">
        <v>722</v>
      </c>
      <c r="C188" s="336"/>
      <c r="D188" s="336"/>
      <c r="E188" s="336"/>
      <c r="F188" s="336"/>
      <c r="G188" s="336"/>
      <c r="H188" s="336"/>
      <c r="I188" s="336"/>
      <c r="J188" s="336"/>
      <c r="K188" s="96" t="s">
        <v>723</v>
      </c>
      <c r="L188" s="508" t="str">
        <f>AT149</f>
        <v>∞</v>
      </c>
      <c r="M188" s="508"/>
      <c r="N188" s="508"/>
      <c r="O188" s="508"/>
      <c r="P188" s="508"/>
      <c r="Q188" s="336"/>
      <c r="R188" s="336"/>
      <c r="S188" s="336"/>
      <c r="T188" s="336"/>
      <c r="U188" s="336"/>
      <c r="V188" s="336"/>
      <c r="W188" s="336"/>
      <c r="X188" s="336"/>
      <c r="Y188" s="336"/>
      <c r="Z188" s="336"/>
      <c r="AA188" s="336"/>
      <c r="AB188" s="336"/>
      <c r="AC188" s="336"/>
      <c r="AD188" s="336"/>
      <c r="AE188" s="336"/>
      <c r="AF188" s="336"/>
      <c r="AG188" s="336"/>
      <c r="AH188" s="336"/>
      <c r="AI188" s="336"/>
      <c r="AJ188" s="336"/>
      <c r="AK188" s="336"/>
      <c r="AL188" s="336"/>
      <c r="AM188" s="336"/>
      <c r="AN188" s="336"/>
      <c r="AO188" s="336"/>
      <c r="AP188" s="336"/>
      <c r="AQ188" s="336"/>
      <c r="AR188" s="336"/>
      <c r="AS188" s="336"/>
      <c r="AT188" s="336"/>
    </row>
    <row r="189" spans="1:46" ht="18" customHeight="1">
      <c r="A189" s="90"/>
      <c r="B189" s="336"/>
      <c r="C189" s="336"/>
      <c r="D189" s="336"/>
      <c r="E189" s="336"/>
      <c r="F189" s="336"/>
      <c r="G189" s="336"/>
      <c r="H189" s="336"/>
      <c r="I189" s="336"/>
      <c r="J189" s="336"/>
      <c r="K189" s="336"/>
      <c r="L189" s="336"/>
      <c r="M189" s="336"/>
      <c r="N189" s="336"/>
      <c r="O189" s="336"/>
      <c r="P189" s="336"/>
      <c r="Q189" s="336"/>
      <c r="R189" s="336"/>
      <c r="S189" s="336"/>
      <c r="T189" s="336"/>
      <c r="U189" s="336"/>
      <c r="V189" s="336"/>
      <c r="W189" s="336"/>
      <c r="X189" s="336"/>
      <c r="Y189" s="336"/>
      <c r="Z189" s="336"/>
      <c r="AA189" s="336"/>
      <c r="AB189" s="336"/>
      <c r="AC189" s="336"/>
      <c r="AD189" s="336"/>
      <c r="AE189" s="336"/>
      <c r="AF189" s="336"/>
      <c r="AG189" s="336"/>
      <c r="AH189" s="336"/>
      <c r="AI189" s="336"/>
      <c r="AJ189" s="336"/>
      <c r="AK189" s="336"/>
      <c r="AL189" s="336"/>
      <c r="AM189" s="336"/>
      <c r="AN189" s="336"/>
      <c r="AO189" s="336"/>
      <c r="AP189" s="336"/>
      <c r="AQ189" s="336"/>
      <c r="AR189" s="336"/>
      <c r="AS189" s="336"/>
      <c r="AT189" s="336"/>
    </row>
    <row r="190" spans="1:46" ht="18" customHeight="1">
      <c r="A190" s="90"/>
      <c r="B190" s="97" t="str">
        <f>"나) "&amp;Calcu!H42&amp;" 보정에 의한 표준불확도,"</f>
        <v>나) 0밀도 보정에 의한 표준불확도,</v>
      </c>
      <c r="D190" s="336"/>
      <c r="E190" s="336"/>
      <c r="F190" s="336"/>
      <c r="G190" s="336"/>
      <c r="H190" s="336"/>
      <c r="I190" s="336"/>
      <c r="J190" s="336"/>
      <c r="K190" s="336"/>
      <c r="L190" s="336"/>
      <c r="M190" s="336"/>
      <c r="N190" s="336"/>
      <c r="O190" s="336"/>
      <c r="P190" s="336"/>
      <c r="Q190" s="336"/>
      <c r="S190" s="348" t="s">
        <v>724</v>
      </c>
      <c r="U190" s="336"/>
      <c r="V190" s="336"/>
      <c r="W190" s="336"/>
      <c r="X190" s="336"/>
      <c r="Y190" s="336"/>
      <c r="Z190" s="336"/>
      <c r="AA190" s="336"/>
      <c r="AB190" s="336"/>
      <c r="AC190" s="336"/>
      <c r="AD190" s="336"/>
      <c r="AE190" s="336"/>
      <c r="AF190" s="336"/>
      <c r="AG190" s="336"/>
      <c r="AH190" s="336"/>
      <c r="AI190" s="336"/>
      <c r="AJ190" s="336"/>
      <c r="AK190" s="336"/>
      <c r="AL190" s="336"/>
      <c r="AM190" s="336"/>
      <c r="AN190" s="336"/>
      <c r="AO190" s="336"/>
      <c r="AP190" s="336"/>
      <c r="AQ190" s="336"/>
      <c r="AR190" s="336"/>
      <c r="AS190" s="336"/>
      <c r="AT190" s="336"/>
    </row>
    <row r="191" spans="1:46" ht="18" customHeight="1">
      <c r="A191" s="90"/>
      <c r="B191" s="79" t="s">
        <v>725</v>
      </c>
      <c r="C191" s="336"/>
      <c r="D191" s="336"/>
      <c r="E191" s="336"/>
      <c r="F191" s="336"/>
      <c r="G191" s="336"/>
      <c r="H191" s="336"/>
      <c r="I191" s="336"/>
      <c r="J191" s="336"/>
      <c r="K191" s="336"/>
      <c r="L191" s="336"/>
      <c r="M191" s="336"/>
      <c r="N191" s="336"/>
      <c r="O191" s="336"/>
      <c r="P191" s="336"/>
      <c r="R191" s="348"/>
      <c r="T191" s="336"/>
      <c r="U191" s="336"/>
      <c r="V191" s="336"/>
      <c r="W191" s="336"/>
      <c r="X191" s="336"/>
      <c r="Y191" s="336"/>
      <c r="Z191" s="336"/>
      <c r="AA191" s="336"/>
      <c r="AB191" s="336"/>
      <c r="AC191" s="336"/>
      <c r="AD191" s="336"/>
      <c r="AE191" s="336"/>
      <c r="AF191" s="336"/>
      <c r="AG191" s="336"/>
      <c r="AH191" s="336"/>
      <c r="AI191" s="336"/>
      <c r="AJ191" s="336"/>
      <c r="AK191" s="336"/>
      <c r="AL191" s="336"/>
      <c r="AM191" s="336"/>
      <c r="AN191" s="336"/>
      <c r="AO191" s="336"/>
      <c r="AP191" s="336"/>
      <c r="AQ191" s="336"/>
      <c r="AR191" s="336"/>
      <c r="AS191" s="336"/>
    </row>
    <row r="192" spans="1:46" ht="18" customHeight="1">
      <c r="A192" s="90"/>
      <c r="B192" s="79" t="str">
        <f>"※ "&amp;Calcu!D3&amp;"밀도 : "</f>
        <v xml:space="preserve">※ 0밀도 : </v>
      </c>
      <c r="C192" s="336"/>
      <c r="D192" s="336"/>
      <c r="E192" s="336"/>
      <c r="F192" s="336"/>
      <c r="G192" s="336"/>
      <c r="H192" s="746" t="str">
        <f ca="1">I150</f>
        <v>kg/㎥</v>
      </c>
      <c r="I192" s="746"/>
      <c r="J192" s="746"/>
      <c r="K192" s="745" t="s">
        <v>692</v>
      </c>
      <c r="L192" s="745"/>
      <c r="M192" s="745"/>
      <c r="N192" s="336"/>
      <c r="O192" s="336"/>
      <c r="Q192" s="348"/>
      <c r="S192" s="336"/>
      <c r="T192" s="336"/>
      <c r="U192" s="336"/>
      <c r="V192" s="336"/>
      <c r="W192" s="336"/>
      <c r="X192" s="336"/>
      <c r="Y192" s="336"/>
      <c r="Z192" s="336"/>
      <c r="AA192" s="336"/>
      <c r="AB192" s="336"/>
      <c r="AC192" s="336"/>
      <c r="AD192" s="336"/>
      <c r="AE192" s="336"/>
      <c r="AF192" s="336"/>
      <c r="AG192" s="336"/>
      <c r="AH192" s="336"/>
      <c r="AI192" s="336"/>
      <c r="AJ192" s="336"/>
      <c r="AK192" s="336"/>
      <c r="AL192" s="336"/>
      <c r="AM192" s="336"/>
      <c r="AN192" s="336"/>
      <c r="AO192" s="336"/>
      <c r="AP192" s="336"/>
      <c r="AQ192" s="336"/>
      <c r="AR192" s="336"/>
    </row>
    <row r="193" spans="1:48" ht="18" customHeight="1">
      <c r="A193" s="90"/>
      <c r="B193" s="79" t="s">
        <v>726</v>
      </c>
      <c r="C193" s="336"/>
      <c r="D193" s="336"/>
      <c r="E193" s="336"/>
      <c r="F193" s="336"/>
      <c r="G193" s="336"/>
      <c r="H193" s="336"/>
      <c r="I193" s="336"/>
      <c r="J193" s="747" t="str">
        <f ca="1">OFFSET(IF(Calcu!D3="담수",표준압력!AJ17,표준압력!AC17),$AL$5,0)</f>
        <v>%</v>
      </c>
      <c r="K193" s="747"/>
      <c r="L193" s="747"/>
      <c r="M193" s="747"/>
      <c r="N193" s="336"/>
      <c r="O193" s="336"/>
      <c r="P193" s="336"/>
      <c r="R193" s="348"/>
      <c r="T193" s="336"/>
      <c r="U193" s="336"/>
      <c r="V193" s="336"/>
      <c r="W193" s="336"/>
      <c r="X193" s="336"/>
      <c r="Y193" s="336"/>
      <c r="Z193" s="336"/>
      <c r="AA193" s="336"/>
      <c r="AB193" s="336"/>
      <c r="AC193" s="336"/>
      <c r="AD193" s="336"/>
      <c r="AE193" s="336"/>
      <c r="AF193" s="336"/>
      <c r="AG193" s="336"/>
      <c r="AH193" s="336"/>
      <c r="AI193" s="336"/>
      <c r="AJ193" s="336"/>
      <c r="AK193" s="336"/>
      <c r="AL193" s="336"/>
      <c r="AM193" s="336"/>
      <c r="AN193" s="336"/>
      <c r="AO193" s="336"/>
      <c r="AP193" s="336"/>
      <c r="AQ193" s="336"/>
      <c r="AR193" s="336"/>
      <c r="AS193" s="336"/>
    </row>
    <row r="194" spans="1:48" ht="18" customHeight="1">
      <c r="A194" s="90"/>
      <c r="B194" s="79" t="s">
        <v>727</v>
      </c>
      <c r="C194" s="336"/>
      <c r="D194" s="336"/>
      <c r="E194" s="336"/>
      <c r="F194" s="336"/>
      <c r="G194" s="336"/>
      <c r="H194" s="336"/>
      <c r="I194" s="748" t="str">
        <f ca="1">OFFSET(Calcu!H44,$AL$5,0)</f>
        <v>kg/㎥</v>
      </c>
      <c r="J194" s="748"/>
      <c r="K194" s="748"/>
      <c r="L194" s="745" t="s">
        <v>692</v>
      </c>
      <c r="M194" s="745"/>
      <c r="N194" s="745"/>
      <c r="O194" s="336"/>
      <c r="P194" s="336"/>
      <c r="R194" s="348"/>
      <c r="T194" s="336"/>
      <c r="U194" s="336"/>
      <c r="V194" s="336"/>
      <c r="W194" s="336"/>
      <c r="X194" s="336"/>
      <c r="Y194" s="336"/>
      <c r="Z194" s="336"/>
      <c r="AA194" s="336"/>
      <c r="AB194" s="336"/>
      <c r="AC194" s="336"/>
      <c r="AD194" s="336"/>
      <c r="AE194" s="336"/>
      <c r="AF194" s="336"/>
      <c r="AG194" s="336"/>
      <c r="AH194" s="336"/>
      <c r="AI194" s="336"/>
      <c r="AJ194" s="336"/>
      <c r="AK194" s="336"/>
      <c r="AL194" s="336"/>
      <c r="AM194" s="336"/>
      <c r="AN194" s="336"/>
      <c r="AO194" s="336"/>
      <c r="AP194" s="336"/>
      <c r="AQ194" s="336"/>
      <c r="AR194" s="336"/>
      <c r="AS194" s="336"/>
    </row>
    <row r="195" spans="1:48" ht="18" customHeight="1">
      <c r="A195" s="90"/>
      <c r="B195" s="336" t="s">
        <v>728</v>
      </c>
      <c r="C195" s="336"/>
      <c r="D195" s="336"/>
      <c r="E195" s="336"/>
      <c r="F195" s="336"/>
      <c r="G195" s="505" t="str">
        <f ca="1">I150</f>
        <v>kg/㎥</v>
      </c>
      <c r="H195" s="505"/>
      <c r="I195" s="505"/>
      <c r="J195" s="505"/>
      <c r="K195" s="505"/>
      <c r="L195" s="745" t="s">
        <v>692</v>
      </c>
      <c r="M195" s="745"/>
      <c r="N195" s="745"/>
      <c r="O195" s="336"/>
      <c r="P195" s="336"/>
      <c r="R195" s="348"/>
      <c r="T195" s="336"/>
      <c r="U195" s="336"/>
      <c r="V195" s="336"/>
      <c r="W195" s="336"/>
      <c r="X195" s="336"/>
      <c r="Y195" s="336"/>
      <c r="Z195" s="336"/>
      <c r="AA195" s="336"/>
      <c r="AB195" s="336"/>
      <c r="AC195" s="336"/>
      <c r="AD195" s="336"/>
      <c r="AE195" s="336"/>
      <c r="AF195" s="336"/>
      <c r="AG195" s="336"/>
      <c r="AH195" s="336"/>
      <c r="AI195" s="336"/>
      <c r="AJ195" s="336"/>
      <c r="AK195" s="336"/>
      <c r="AL195" s="336"/>
      <c r="AM195" s="336"/>
      <c r="AN195" s="336"/>
      <c r="AO195" s="336"/>
      <c r="AP195" s="336"/>
      <c r="AQ195" s="336"/>
      <c r="AR195" s="336"/>
      <c r="AS195" s="336"/>
      <c r="AT195" s="336"/>
    </row>
    <row r="196" spans="1:48" ht="18" customHeight="1">
      <c r="A196" s="90"/>
      <c r="B196" s="508" t="s">
        <v>729</v>
      </c>
      <c r="C196" s="508"/>
      <c r="D196" s="508"/>
      <c r="E196" s="508"/>
      <c r="F196" s="508"/>
      <c r="G196" s="508"/>
      <c r="H196" s="508"/>
      <c r="I196" s="512" t="s">
        <v>730</v>
      </c>
      <c r="J196" s="512"/>
      <c r="K196" s="512"/>
      <c r="L196" s="513" t="s">
        <v>689</v>
      </c>
      <c r="M196" s="514" t="s">
        <v>731</v>
      </c>
      <c r="N196" s="514"/>
      <c r="O196" s="513" t="s">
        <v>689</v>
      </c>
      <c r="P196" s="749" t="str">
        <f ca="1">I194</f>
        <v>kg/㎥</v>
      </c>
      <c r="Q196" s="749"/>
      <c r="R196" s="749"/>
      <c r="S196" s="750" t="s">
        <v>692</v>
      </c>
      <c r="T196" s="750"/>
      <c r="U196" s="750"/>
      <c r="V196" s="517" t="s">
        <v>689</v>
      </c>
      <c r="W196" s="508" t="e">
        <f ca="1">P196/SQRT(3)</f>
        <v>#VALUE!</v>
      </c>
      <c r="X196" s="508"/>
      <c r="Y196" s="508"/>
      <c r="Z196" s="518" t="str">
        <f>S196</f>
        <v>kg/㎥</v>
      </c>
      <c r="AA196" s="518"/>
      <c r="AB196" s="518"/>
      <c r="AC196" s="336"/>
      <c r="AD196" s="336"/>
      <c r="AE196" s="91"/>
      <c r="AF196" s="91"/>
      <c r="AG196" s="99"/>
      <c r="AH196" s="99"/>
      <c r="AI196" s="99"/>
      <c r="AJ196" s="99"/>
      <c r="AK196" s="99"/>
      <c r="AL196" s="99"/>
      <c r="AM196" s="99"/>
      <c r="AN196" s="336"/>
      <c r="AO196" s="336"/>
      <c r="AP196" s="336"/>
      <c r="AQ196" s="336"/>
      <c r="AR196" s="336"/>
      <c r="AS196" s="336"/>
      <c r="AT196" s="336"/>
      <c r="AU196" s="336"/>
      <c r="AV196" s="336"/>
    </row>
    <row r="197" spans="1:48" ht="18" customHeight="1">
      <c r="A197" s="90"/>
      <c r="B197" s="508"/>
      <c r="C197" s="508"/>
      <c r="D197" s="508"/>
      <c r="E197" s="508"/>
      <c r="F197" s="508"/>
      <c r="G197" s="508"/>
      <c r="H197" s="508"/>
      <c r="I197" s="512"/>
      <c r="J197" s="512"/>
      <c r="K197" s="512"/>
      <c r="L197" s="513"/>
      <c r="M197" s="519"/>
      <c r="N197" s="519"/>
      <c r="O197" s="513"/>
      <c r="P197" s="352"/>
      <c r="Q197" s="352"/>
      <c r="R197" s="352"/>
      <c r="S197" s="352"/>
      <c r="T197" s="352"/>
      <c r="U197" s="352"/>
      <c r="V197" s="517"/>
      <c r="W197" s="508"/>
      <c r="X197" s="508"/>
      <c r="Y197" s="508"/>
      <c r="Z197" s="518"/>
      <c r="AA197" s="518"/>
      <c r="AB197" s="518"/>
      <c r="AC197" s="336"/>
      <c r="AD197" s="336"/>
      <c r="AE197" s="91"/>
      <c r="AF197" s="91"/>
      <c r="AG197" s="336"/>
      <c r="AH197" s="338"/>
      <c r="AI197" s="338"/>
      <c r="AJ197" s="338"/>
      <c r="AK197" s="336"/>
      <c r="AL197" s="100"/>
      <c r="AM197" s="338"/>
      <c r="AN197" s="338"/>
      <c r="AO197" s="338"/>
      <c r="AP197" s="332"/>
      <c r="AQ197" s="332"/>
      <c r="AR197" s="336"/>
      <c r="AS197" s="336"/>
      <c r="AT197" s="336"/>
      <c r="AU197" s="336"/>
      <c r="AV197" s="336"/>
    </row>
    <row r="198" spans="1:48" ht="18" customHeight="1">
      <c r="A198" s="90"/>
      <c r="B198" s="336" t="s">
        <v>732</v>
      </c>
      <c r="C198" s="336"/>
      <c r="D198" s="336"/>
      <c r="E198" s="336"/>
      <c r="F198" s="336"/>
      <c r="G198" s="336"/>
      <c r="H198" s="508" t="str">
        <f>Y150</f>
        <v>직사각형</v>
      </c>
      <c r="I198" s="508"/>
      <c r="J198" s="508"/>
      <c r="K198" s="508"/>
      <c r="L198" s="508"/>
      <c r="M198" s="336"/>
      <c r="N198" s="336"/>
      <c r="O198" s="336"/>
      <c r="P198" s="336"/>
      <c r="Q198" s="336"/>
      <c r="R198" s="336"/>
      <c r="S198" s="336"/>
      <c r="T198" s="336"/>
      <c r="U198" s="336"/>
      <c r="V198" s="336"/>
      <c r="W198" s="336"/>
      <c r="X198" s="336"/>
      <c r="Y198" s="336"/>
      <c r="Z198" s="336"/>
      <c r="AA198" s="336"/>
      <c r="AB198" s="336"/>
      <c r="AC198" s="336"/>
      <c r="AD198" s="336"/>
      <c r="AE198" s="336"/>
      <c r="AF198" s="336"/>
      <c r="AG198" s="336"/>
      <c r="AH198" s="336"/>
      <c r="AI198" s="336"/>
      <c r="AJ198" s="336"/>
      <c r="AK198" s="336"/>
      <c r="AP198" s="336"/>
      <c r="AQ198" s="336"/>
      <c r="AR198" s="336"/>
      <c r="AS198" s="336"/>
      <c r="AT198" s="336"/>
    </row>
    <row r="199" spans="1:48" ht="18" customHeight="1">
      <c r="A199" s="90"/>
      <c r="B199" s="508" t="s">
        <v>733</v>
      </c>
      <c r="C199" s="508"/>
      <c r="D199" s="508"/>
      <c r="E199" s="508"/>
      <c r="F199" s="508"/>
      <c r="G199" s="508"/>
      <c r="H199" s="336"/>
      <c r="I199" s="336"/>
      <c r="J199" s="336"/>
      <c r="K199" s="336"/>
      <c r="L199" s="336"/>
      <c r="M199" s="336"/>
      <c r="N199" s="336"/>
      <c r="O199" s="336"/>
      <c r="P199" s="336"/>
      <c r="Q199" s="509">
        <f ca="1">I149</f>
        <v>0</v>
      </c>
      <c r="R199" s="509"/>
      <c r="S199" s="509"/>
      <c r="T199" s="509"/>
      <c r="U199" s="509"/>
      <c r="V199" s="509"/>
      <c r="W199" s="509"/>
      <c r="X199" s="509"/>
      <c r="Y199" s="509">
        <f>N149</f>
        <v>0</v>
      </c>
      <c r="Z199" s="509"/>
      <c r="AA199" s="509"/>
      <c r="AB199" s="509"/>
      <c r="AC199" s="509"/>
      <c r="AD199" s="509"/>
      <c r="AE199" s="509"/>
      <c r="AF199" s="509"/>
      <c r="AG199" s="513" t="s">
        <v>689</v>
      </c>
      <c r="AH199" s="745" t="str">
        <f ca="1">AD150</f>
        <v>m4/kg</v>
      </c>
      <c r="AI199" s="745"/>
      <c r="AJ199" s="745"/>
      <c r="AK199" s="745"/>
      <c r="AL199" s="511" t="s">
        <v>655</v>
      </c>
      <c r="AM199" s="511"/>
      <c r="AN199" s="511"/>
      <c r="AO199" s="511"/>
      <c r="AP199" s="336"/>
      <c r="AQ199" s="336"/>
      <c r="AR199" s="336"/>
      <c r="AS199" s="336"/>
      <c r="AT199" s="336"/>
    </row>
    <row r="200" spans="1:48" ht="18" customHeight="1">
      <c r="A200" s="90"/>
      <c r="B200" s="508"/>
      <c r="C200" s="508"/>
      <c r="D200" s="508"/>
      <c r="E200" s="508"/>
      <c r="F200" s="508"/>
      <c r="G200" s="508"/>
      <c r="H200" s="336"/>
      <c r="I200" s="336"/>
      <c r="J200" s="336"/>
      <c r="K200" s="336"/>
      <c r="L200" s="336"/>
      <c r="M200" s="336"/>
      <c r="N200" s="336"/>
      <c r="O200" s="336"/>
      <c r="P200" s="336"/>
      <c r="Q200" s="95" t="s">
        <v>734</v>
      </c>
      <c r="R200" s="739" t="str">
        <f ca="1">I150</f>
        <v>kg/㎥</v>
      </c>
      <c r="S200" s="739"/>
      <c r="T200" s="739"/>
      <c r="U200" s="751" t="s">
        <v>735</v>
      </c>
      <c r="V200" s="751"/>
      <c r="W200" s="751"/>
      <c r="X200" s="751"/>
      <c r="Y200" s="98" t="s">
        <v>693</v>
      </c>
      <c r="Z200" s="740">
        <f>I151</f>
        <v>9.8066499999999994</v>
      </c>
      <c r="AA200" s="740"/>
      <c r="AB200" s="740"/>
      <c r="AC200" s="740"/>
      <c r="AD200" s="507" t="s">
        <v>695</v>
      </c>
      <c r="AE200" s="507"/>
      <c r="AF200" s="507"/>
      <c r="AG200" s="513"/>
      <c r="AH200" s="745"/>
      <c r="AI200" s="745"/>
      <c r="AJ200" s="745"/>
      <c r="AK200" s="745"/>
      <c r="AL200" s="511"/>
      <c r="AM200" s="511"/>
      <c r="AN200" s="511"/>
      <c r="AO200" s="511"/>
      <c r="AP200" s="336"/>
      <c r="AQ200" s="336"/>
      <c r="AR200" s="336"/>
      <c r="AS200" s="336"/>
      <c r="AT200" s="336"/>
    </row>
    <row r="201" spans="1:48" ht="18" customHeight="1">
      <c r="A201" s="90"/>
      <c r="B201" s="336" t="s">
        <v>736</v>
      </c>
      <c r="C201" s="336"/>
      <c r="D201" s="336"/>
      <c r="E201" s="336"/>
      <c r="F201" s="336"/>
      <c r="G201" s="336"/>
      <c r="H201" s="336"/>
      <c r="I201" s="336"/>
      <c r="J201" s="337" t="s">
        <v>701</v>
      </c>
      <c r="K201" s="745" t="str">
        <f ca="1">AH199</f>
        <v>m4/kg</v>
      </c>
      <c r="L201" s="745"/>
      <c r="M201" s="745"/>
      <c r="N201" s="745"/>
      <c r="O201" s="511" t="s">
        <v>656</v>
      </c>
      <c r="P201" s="511"/>
      <c r="Q201" s="511"/>
      <c r="R201" s="337" t="s">
        <v>721</v>
      </c>
      <c r="S201" s="340" t="s">
        <v>694</v>
      </c>
      <c r="T201" s="508" t="e">
        <f ca="1">W196</f>
        <v>#VALUE!</v>
      </c>
      <c r="U201" s="508"/>
      <c r="V201" s="508"/>
      <c r="W201" s="518" t="str">
        <f>Z196</f>
        <v>kg/㎥</v>
      </c>
      <c r="X201" s="518"/>
      <c r="Y201" s="518"/>
      <c r="Z201" s="337" t="s">
        <v>690</v>
      </c>
      <c r="AA201" s="508" t="e">
        <f ca="1">ABS(K201*T201)</f>
        <v>#VALUE!</v>
      </c>
      <c r="AB201" s="508"/>
      <c r="AC201" s="508"/>
      <c r="AD201" s="508" t="s">
        <v>546</v>
      </c>
      <c r="AE201" s="508"/>
      <c r="AF201" s="336"/>
      <c r="AG201" s="336"/>
      <c r="AH201" s="336"/>
      <c r="AI201" s="336"/>
      <c r="AJ201" s="336"/>
      <c r="AK201" s="336"/>
      <c r="AL201" s="336"/>
      <c r="AM201" s="336"/>
      <c r="AN201" s="336"/>
      <c r="AO201" s="336"/>
      <c r="AP201" s="336"/>
      <c r="AQ201" s="336"/>
      <c r="AR201" s="336"/>
      <c r="AS201" s="336"/>
      <c r="AT201" s="336"/>
    </row>
    <row r="202" spans="1:48" ht="18" customHeight="1">
      <c r="A202" s="90"/>
      <c r="B202" s="607" t="s">
        <v>737</v>
      </c>
      <c r="C202" s="607"/>
      <c r="D202" s="607"/>
      <c r="E202" s="607"/>
      <c r="F202" s="607"/>
      <c r="G202" s="86"/>
      <c r="H202" s="106"/>
      <c r="I202" s="86"/>
      <c r="J202" s="86"/>
      <c r="K202" s="86"/>
      <c r="L202" s="86"/>
      <c r="M202" s="86"/>
      <c r="N202" s="86"/>
      <c r="O202" s="86"/>
      <c r="P202" s="86"/>
      <c r="Q202" s="353"/>
      <c r="R202" s="86"/>
      <c r="S202" s="86"/>
      <c r="T202" s="86"/>
      <c r="U202" s="106"/>
      <c r="V202" s="86"/>
      <c r="W202" s="82" t="s">
        <v>738</v>
      </c>
      <c r="X202" s="86"/>
      <c r="Y202" s="86"/>
      <c r="Z202" s="86"/>
      <c r="AA202" s="86"/>
      <c r="AB202" s="86"/>
      <c r="AC202" s="86"/>
      <c r="AD202" s="342"/>
      <c r="AE202" s="342"/>
      <c r="AF202" s="342"/>
      <c r="AG202" s="342"/>
      <c r="AH202" s="342"/>
      <c r="AI202" s="342"/>
      <c r="AJ202" s="336"/>
      <c r="AK202" s="336"/>
      <c r="AL202" s="336"/>
      <c r="AM202" s="336"/>
      <c r="AN202" s="336"/>
      <c r="AO202" s="336"/>
      <c r="AP202" s="336"/>
      <c r="AQ202" s="336"/>
      <c r="AR202" s="336"/>
      <c r="AS202" s="336"/>
      <c r="AT202" s="336"/>
    </row>
    <row r="203" spans="1:48" ht="18" customHeight="1">
      <c r="A203" s="90"/>
      <c r="B203" s="607"/>
      <c r="C203" s="607"/>
      <c r="D203" s="607"/>
      <c r="E203" s="607"/>
      <c r="F203" s="607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353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342"/>
      <c r="AE203" s="342"/>
      <c r="AF203" s="342"/>
      <c r="AG203" s="342"/>
      <c r="AH203" s="342"/>
      <c r="AI203" s="342"/>
      <c r="AJ203" s="336"/>
      <c r="AK203" s="336"/>
      <c r="AL203" s="336"/>
      <c r="AM203" s="336"/>
      <c r="AN203" s="336"/>
      <c r="AO203" s="336"/>
      <c r="AP203" s="336"/>
      <c r="AQ203" s="336"/>
      <c r="AR203" s="336"/>
      <c r="AS203" s="336"/>
      <c r="AT203" s="336"/>
    </row>
    <row r="204" spans="1:48" ht="18" customHeight="1">
      <c r="A204" s="90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6"/>
      <c r="N204" s="336"/>
      <c r="O204" s="336"/>
      <c r="P204" s="336"/>
      <c r="Q204" s="336"/>
      <c r="R204" s="336"/>
      <c r="S204" s="336"/>
      <c r="T204" s="336"/>
      <c r="U204" s="336"/>
      <c r="V204" s="336"/>
      <c r="W204" s="336"/>
      <c r="X204" s="336"/>
      <c r="Y204" s="336"/>
      <c r="Z204" s="336"/>
      <c r="AA204" s="336"/>
      <c r="AB204" s="336"/>
      <c r="AC204" s="336"/>
      <c r="AD204" s="336"/>
      <c r="AE204" s="336"/>
      <c r="AF204" s="336"/>
      <c r="AG204" s="336"/>
      <c r="AH204" s="336"/>
      <c r="AI204" s="336"/>
      <c r="AJ204" s="336"/>
      <c r="AK204" s="336"/>
      <c r="AL204" s="336"/>
      <c r="AM204" s="336"/>
      <c r="AN204" s="336"/>
      <c r="AO204" s="336"/>
      <c r="AP204" s="336"/>
      <c r="AQ204" s="336"/>
      <c r="AR204" s="336"/>
      <c r="AS204" s="336"/>
      <c r="AT204" s="336"/>
    </row>
    <row r="205" spans="1:48" ht="18" customHeight="1">
      <c r="A205" s="90"/>
      <c r="B205" s="97" t="s">
        <v>739</v>
      </c>
      <c r="D205" s="336"/>
      <c r="E205" s="336"/>
      <c r="F205" s="336"/>
      <c r="G205" s="336"/>
      <c r="H205" s="336"/>
      <c r="I205" s="336"/>
      <c r="J205" s="336"/>
      <c r="K205" s="336"/>
      <c r="L205" s="336"/>
      <c r="M205" s="336"/>
      <c r="N205" s="336"/>
      <c r="O205" s="336"/>
      <c r="P205" s="336"/>
      <c r="Q205" s="336"/>
      <c r="T205" s="348" t="s">
        <v>740</v>
      </c>
      <c r="U205" s="336"/>
      <c r="V205" s="336"/>
      <c r="W205" s="336"/>
      <c r="X205" s="336"/>
      <c r="Y205" s="336"/>
      <c r="Z205" s="336"/>
      <c r="AA205" s="336"/>
      <c r="AB205" s="336"/>
      <c r="AC205" s="336"/>
      <c r="AD205" s="336"/>
      <c r="AE205" s="336"/>
      <c r="AF205" s="336"/>
      <c r="AG205" s="336"/>
      <c r="AH205" s="336"/>
      <c r="AI205" s="336"/>
      <c r="AJ205" s="336"/>
      <c r="AK205" s="336"/>
      <c r="AL205" s="336"/>
      <c r="AM205" s="336"/>
      <c r="AN205" s="336"/>
      <c r="AO205" s="336"/>
      <c r="AP205" s="336"/>
      <c r="AQ205" s="336"/>
      <c r="AR205" s="336"/>
      <c r="AS205" s="336"/>
      <c r="AT205" s="336"/>
    </row>
    <row r="206" spans="1:48" ht="18" customHeight="1">
      <c r="A206" s="90"/>
      <c r="B206" s="79" t="s">
        <v>741</v>
      </c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R206" s="348"/>
      <c r="T206" s="336"/>
      <c r="U206" s="336"/>
      <c r="V206" s="336"/>
      <c r="W206" s="336"/>
      <c r="X206" s="336"/>
      <c r="Y206" s="336"/>
      <c r="Z206" s="336"/>
      <c r="AA206" s="336"/>
      <c r="AB206" s="336"/>
      <c r="AC206" s="336"/>
      <c r="AD206" s="336"/>
      <c r="AE206" s="336"/>
      <c r="AF206" s="336"/>
      <c r="AG206" s="336"/>
      <c r="AH206" s="336"/>
      <c r="AI206" s="336"/>
      <c r="AJ206" s="336"/>
      <c r="AK206" s="336"/>
      <c r="AL206" s="336"/>
      <c r="AM206" s="336"/>
      <c r="AN206" s="336"/>
      <c r="AO206" s="336"/>
      <c r="AP206" s="336"/>
      <c r="AQ206" s="336"/>
      <c r="AR206" s="336"/>
      <c r="AS206" s="336"/>
    </row>
    <row r="207" spans="1:48" ht="18" customHeight="1">
      <c r="A207" s="90"/>
      <c r="C207" s="336" t="s">
        <v>742</v>
      </c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R207" s="348"/>
      <c r="T207" s="336"/>
      <c r="U207" s="336"/>
      <c r="V207" s="336"/>
      <c r="W207" s="336"/>
      <c r="X207" s="336"/>
      <c r="Y207" s="336"/>
      <c r="Z207" s="336"/>
      <c r="AA207" s="336"/>
      <c r="AB207" s="336"/>
      <c r="AC207" s="336"/>
      <c r="AD207" s="336"/>
      <c r="AE207" s="336"/>
      <c r="AF207" s="336"/>
      <c r="AG207" s="336"/>
      <c r="AH207" s="336"/>
      <c r="AI207" s="336"/>
      <c r="AJ207" s="336"/>
      <c r="AK207" s="336"/>
      <c r="AL207" s="336"/>
      <c r="AM207" s="336"/>
      <c r="AN207" s="336"/>
      <c r="AO207" s="336"/>
      <c r="AP207" s="336"/>
      <c r="AQ207" s="336"/>
      <c r="AR207" s="336"/>
      <c r="AS207" s="336"/>
    </row>
    <row r="208" spans="1:48" ht="18" customHeight="1">
      <c r="A208" s="90"/>
      <c r="B208" s="79" t="s">
        <v>743</v>
      </c>
      <c r="C208" s="336"/>
      <c r="D208" s="336"/>
      <c r="E208" s="336"/>
      <c r="F208" s="336"/>
      <c r="G208" s="336"/>
      <c r="H208" s="752">
        <f>I151</f>
        <v>9.8066499999999994</v>
      </c>
      <c r="I208" s="752"/>
      <c r="J208" s="752"/>
      <c r="K208" s="752"/>
      <c r="L208" s="745" t="s">
        <v>660</v>
      </c>
      <c r="M208" s="745"/>
      <c r="N208" s="745"/>
      <c r="O208" s="336"/>
      <c r="Q208" s="348"/>
      <c r="S208" s="336"/>
      <c r="T208" s="336"/>
      <c r="U208" s="336"/>
      <c r="V208" s="336"/>
      <c r="W208" s="336"/>
      <c r="X208" s="336"/>
      <c r="Y208" s="336"/>
      <c r="Z208" s="336"/>
      <c r="AA208" s="336"/>
      <c r="AB208" s="336"/>
      <c r="AC208" s="336"/>
      <c r="AD208" s="336"/>
      <c r="AE208" s="336"/>
      <c r="AF208" s="336"/>
      <c r="AG208" s="336"/>
      <c r="AH208" s="336"/>
      <c r="AI208" s="336"/>
      <c r="AJ208" s="336"/>
      <c r="AK208" s="336"/>
      <c r="AL208" s="336"/>
      <c r="AM208" s="336"/>
      <c r="AN208" s="336"/>
      <c r="AO208" s="336"/>
      <c r="AP208" s="336"/>
      <c r="AQ208" s="336"/>
      <c r="AR208" s="336"/>
    </row>
    <row r="209" spans="1:48" ht="18" customHeight="1">
      <c r="A209" s="90"/>
      <c r="B209" s="79" t="s">
        <v>744</v>
      </c>
      <c r="C209" s="336"/>
      <c r="D209" s="336"/>
      <c r="E209" s="336"/>
      <c r="F209" s="336"/>
      <c r="G209" s="336"/>
      <c r="H209" s="336"/>
      <c r="I209" s="336"/>
      <c r="K209" s="747">
        <v>8.0000000000000004E-4</v>
      </c>
      <c r="L209" s="747"/>
      <c r="M209" s="747"/>
      <c r="N209" s="747"/>
      <c r="P209" s="336"/>
      <c r="R209" s="348"/>
      <c r="T209" s="336"/>
      <c r="Z209" s="336"/>
      <c r="AA209" s="336"/>
      <c r="AB209" s="336"/>
      <c r="AC209" s="336"/>
      <c r="AD209" s="336"/>
      <c r="AE209" s="336"/>
      <c r="AF209" s="336"/>
      <c r="AG209" s="336"/>
      <c r="AH209" s="336"/>
      <c r="AI209" s="336"/>
      <c r="AJ209" s="336"/>
      <c r="AK209" s="336"/>
      <c r="AL209" s="336"/>
      <c r="AM209" s="336"/>
      <c r="AN209" s="336"/>
      <c r="AO209" s="336"/>
      <c r="AP209" s="336"/>
      <c r="AQ209" s="336"/>
      <c r="AR209" s="336"/>
      <c r="AS209" s="336"/>
    </row>
    <row r="210" spans="1:48" ht="18" customHeight="1">
      <c r="A210" s="90"/>
      <c r="B210" s="79" t="s">
        <v>745</v>
      </c>
      <c r="C210" s="336"/>
      <c r="D210" s="336"/>
      <c r="E210" s="336"/>
      <c r="F210" s="336"/>
      <c r="G210" s="336"/>
      <c r="H210" s="336"/>
      <c r="K210" s="752">
        <f>H208*K209</f>
        <v>7.8453199999999994E-3</v>
      </c>
      <c r="L210" s="752"/>
      <c r="M210" s="752"/>
      <c r="N210" s="745" t="s">
        <v>660</v>
      </c>
      <c r="O210" s="745"/>
      <c r="P210" s="745"/>
      <c r="R210" s="348"/>
      <c r="T210" s="336"/>
      <c r="U210" s="336"/>
      <c r="V210" s="336"/>
      <c r="W210" s="336"/>
      <c r="AD210" s="336"/>
      <c r="AE210" s="336"/>
      <c r="AF210" s="336"/>
      <c r="AG210" s="336"/>
      <c r="AH210" s="336"/>
      <c r="AI210" s="336"/>
      <c r="AJ210" s="336"/>
      <c r="AK210" s="336"/>
      <c r="AL210" s="336"/>
      <c r="AM210" s="336"/>
      <c r="AN210" s="336"/>
      <c r="AO210" s="336"/>
      <c r="AP210" s="336"/>
      <c r="AQ210" s="336"/>
      <c r="AR210" s="336"/>
      <c r="AS210" s="336"/>
    </row>
    <row r="211" spans="1:48" ht="18" customHeight="1">
      <c r="A211" s="90"/>
      <c r="B211" s="336" t="s">
        <v>746</v>
      </c>
      <c r="C211" s="336"/>
      <c r="D211" s="336"/>
      <c r="E211" s="336"/>
      <c r="F211" s="336"/>
      <c r="G211" s="505">
        <f>I165</f>
        <v>0</v>
      </c>
      <c r="H211" s="505"/>
      <c r="I211" s="505"/>
      <c r="J211" s="505"/>
      <c r="K211" s="505"/>
      <c r="L211" s="745" t="s">
        <v>692</v>
      </c>
      <c r="M211" s="745"/>
      <c r="N211" s="745"/>
      <c r="O211" s="336"/>
      <c r="P211" s="336"/>
      <c r="R211" s="348"/>
      <c r="T211" s="336"/>
      <c r="U211" s="336"/>
      <c r="V211" s="336"/>
      <c r="W211" s="336"/>
      <c r="X211" s="336"/>
      <c r="Y211" s="336"/>
      <c r="Z211" s="336"/>
      <c r="AA211" s="336"/>
      <c r="AB211" s="336"/>
      <c r="AC211" s="336"/>
      <c r="AD211" s="336"/>
      <c r="AE211" s="336"/>
      <c r="AF211" s="336"/>
      <c r="AG211" s="336"/>
      <c r="AH211" s="336"/>
      <c r="AI211" s="336"/>
      <c r="AJ211" s="336"/>
      <c r="AK211" s="336"/>
      <c r="AL211" s="336"/>
      <c r="AM211" s="336"/>
      <c r="AN211" s="336"/>
      <c r="AO211" s="336"/>
      <c r="AP211" s="336"/>
      <c r="AQ211" s="336"/>
      <c r="AR211" s="336"/>
      <c r="AS211" s="336"/>
      <c r="AT211" s="336"/>
    </row>
    <row r="212" spans="1:48" ht="18" customHeight="1">
      <c r="A212" s="90"/>
      <c r="B212" s="508" t="s">
        <v>747</v>
      </c>
      <c r="C212" s="508"/>
      <c r="D212" s="508"/>
      <c r="E212" s="508"/>
      <c r="F212" s="508"/>
      <c r="G212" s="508"/>
      <c r="H212" s="508"/>
      <c r="I212" s="512" t="s">
        <v>748</v>
      </c>
      <c r="J212" s="512"/>
      <c r="K212" s="512"/>
      <c r="L212" s="513" t="s">
        <v>749</v>
      </c>
      <c r="M212" s="514" t="s">
        <v>750</v>
      </c>
      <c r="N212" s="514"/>
      <c r="O212" s="513" t="s">
        <v>690</v>
      </c>
      <c r="P212" s="618">
        <f>K210</f>
        <v>7.8453199999999994E-3</v>
      </c>
      <c r="Q212" s="618"/>
      <c r="R212" s="618"/>
      <c r="S212" s="750" t="s">
        <v>660</v>
      </c>
      <c r="T212" s="750"/>
      <c r="U212" s="750"/>
      <c r="V212" s="517" t="s">
        <v>689</v>
      </c>
      <c r="W212" s="508">
        <f>P212/SQRT(3)</f>
        <v>4.5294976138787546E-3</v>
      </c>
      <c r="X212" s="508"/>
      <c r="Y212" s="508"/>
      <c r="Z212" s="518" t="s">
        <v>696</v>
      </c>
      <c r="AA212" s="518"/>
      <c r="AB212" s="518"/>
      <c r="AC212" s="336"/>
      <c r="AD212" s="336"/>
      <c r="AE212" s="91"/>
      <c r="AF212" s="91"/>
      <c r="AG212" s="99"/>
      <c r="AH212" s="99"/>
      <c r="AI212" s="99"/>
      <c r="AJ212" s="99"/>
      <c r="AK212" s="99"/>
      <c r="AL212" s="99"/>
      <c r="AM212" s="99"/>
      <c r="AN212" s="336"/>
      <c r="AO212" s="336"/>
      <c r="AP212" s="336"/>
      <c r="AQ212" s="336"/>
      <c r="AR212" s="336"/>
      <c r="AS212" s="336"/>
      <c r="AT212" s="336"/>
      <c r="AU212" s="336"/>
      <c r="AV212" s="336"/>
    </row>
    <row r="213" spans="1:48" ht="18" customHeight="1">
      <c r="A213" s="90"/>
      <c r="B213" s="508"/>
      <c r="C213" s="508"/>
      <c r="D213" s="508"/>
      <c r="E213" s="508"/>
      <c r="F213" s="508"/>
      <c r="G213" s="508"/>
      <c r="H213" s="508"/>
      <c r="I213" s="512"/>
      <c r="J213" s="512"/>
      <c r="K213" s="512"/>
      <c r="L213" s="513"/>
      <c r="M213" s="519"/>
      <c r="N213" s="519"/>
      <c r="O213" s="513"/>
      <c r="P213" s="352"/>
      <c r="Q213" s="352"/>
      <c r="R213" s="352"/>
      <c r="S213" s="352"/>
      <c r="T213" s="352"/>
      <c r="U213" s="352"/>
      <c r="V213" s="517"/>
      <c r="W213" s="508"/>
      <c r="X213" s="508"/>
      <c r="Y213" s="508"/>
      <c r="Z213" s="518"/>
      <c r="AA213" s="518"/>
      <c r="AB213" s="518"/>
      <c r="AC213" s="336"/>
      <c r="AD213" s="336"/>
      <c r="AE213" s="91"/>
      <c r="AF213" s="91"/>
      <c r="AG213" s="336"/>
      <c r="AH213" s="338"/>
      <c r="AI213" s="338"/>
      <c r="AJ213" s="338"/>
      <c r="AK213" s="336"/>
      <c r="AL213" s="100"/>
      <c r="AM213" s="338"/>
      <c r="AN213" s="338"/>
      <c r="AO213" s="338"/>
      <c r="AP213" s="332"/>
      <c r="AQ213" s="332"/>
      <c r="AR213" s="336"/>
      <c r="AS213" s="336"/>
      <c r="AT213" s="336"/>
      <c r="AU213" s="336"/>
      <c r="AV213" s="336"/>
    </row>
    <row r="214" spans="1:48" ht="18" customHeight="1">
      <c r="A214" s="90"/>
      <c r="B214" s="336" t="s">
        <v>751</v>
      </c>
      <c r="C214" s="336"/>
      <c r="D214" s="336"/>
      <c r="E214" s="336"/>
      <c r="F214" s="336"/>
      <c r="G214" s="336"/>
      <c r="H214" s="508" t="str">
        <f>Y151</f>
        <v>직사각형</v>
      </c>
      <c r="I214" s="508"/>
      <c r="J214" s="508"/>
      <c r="K214" s="508"/>
      <c r="L214" s="508"/>
      <c r="M214" s="336"/>
      <c r="N214" s="336"/>
      <c r="O214" s="336"/>
      <c r="P214" s="336"/>
      <c r="Q214" s="336"/>
      <c r="R214" s="336"/>
      <c r="S214" s="336"/>
      <c r="T214" s="336"/>
      <c r="U214" s="336"/>
      <c r="V214" s="336"/>
      <c r="W214" s="336"/>
      <c r="X214" s="336"/>
      <c r="Y214" s="336"/>
      <c r="Z214" s="336"/>
      <c r="AA214" s="336"/>
      <c r="AB214" s="336"/>
      <c r="AC214" s="336"/>
      <c r="AD214" s="336"/>
      <c r="AE214" s="336"/>
      <c r="AF214" s="336"/>
      <c r="AG214" s="336"/>
      <c r="AH214" s="336"/>
      <c r="AI214" s="336"/>
      <c r="AJ214" s="336"/>
      <c r="AK214" s="336"/>
      <c r="AP214" s="336"/>
      <c r="AQ214" s="336"/>
      <c r="AR214" s="336"/>
      <c r="AS214" s="336"/>
      <c r="AT214" s="336"/>
    </row>
    <row r="215" spans="1:48" ht="18" customHeight="1">
      <c r="A215" s="90"/>
      <c r="B215" s="508" t="s">
        <v>752</v>
      </c>
      <c r="C215" s="508"/>
      <c r="D215" s="508"/>
      <c r="E215" s="508"/>
      <c r="F215" s="508"/>
      <c r="G215" s="508"/>
      <c r="H215" s="336"/>
      <c r="I215" s="336"/>
      <c r="J215" s="336"/>
      <c r="K215" s="336"/>
      <c r="L215" s="336"/>
      <c r="M215" s="336"/>
      <c r="N215" s="336"/>
      <c r="O215" s="336"/>
      <c r="P215" s="336"/>
      <c r="Q215" s="509">
        <f ca="1">I149</f>
        <v>0</v>
      </c>
      <c r="R215" s="509"/>
      <c r="S215" s="509"/>
      <c r="T215" s="509"/>
      <c r="U215" s="509"/>
      <c r="V215" s="509"/>
      <c r="W215" s="509"/>
      <c r="X215" s="509"/>
      <c r="Y215" s="509">
        <f>N149</f>
        <v>0</v>
      </c>
      <c r="Z215" s="509"/>
      <c r="AA215" s="509"/>
      <c r="AB215" s="509"/>
      <c r="AC215" s="509"/>
      <c r="AD215" s="509"/>
      <c r="AE215" s="509"/>
      <c r="AF215" s="509"/>
      <c r="AG215" s="513" t="s">
        <v>690</v>
      </c>
      <c r="AH215" s="745" t="str">
        <f ca="1">AD151</f>
        <v>s2</v>
      </c>
      <c r="AI215" s="745"/>
      <c r="AJ215" s="745"/>
      <c r="AK215" s="745"/>
      <c r="AL215" s="511" t="s">
        <v>663</v>
      </c>
      <c r="AM215" s="511"/>
      <c r="AN215" s="511"/>
      <c r="AO215" s="354"/>
      <c r="AP215" s="336"/>
      <c r="AQ215" s="336"/>
      <c r="AR215" s="336"/>
      <c r="AS215" s="336"/>
      <c r="AT215" s="336"/>
    </row>
    <row r="216" spans="1:48" ht="18" customHeight="1">
      <c r="A216" s="90"/>
      <c r="B216" s="508"/>
      <c r="C216" s="508"/>
      <c r="D216" s="508"/>
      <c r="E216" s="508"/>
      <c r="F216" s="508"/>
      <c r="G216" s="508"/>
      <c r="H216" s="336"/>
      <c r="I216" s="336"/>
      <c r="J216" s="336"/>
      <c r="K216" s="336"/>
      <c r="L216" s="336"/>
      <c r="M216" s="336"/>
      <c r="N216" s="336"/>
      <c r="O216" s="336"/>
      <c r="P216" s="336"/>
      <c r="Q216" s="739" t="str">
        <f ca="1">I150</f>
        <v>kg/㎥</v>
      </c>
      <c r="R216" s="739"/>
      <c r="S216" s="739"/>
      <c r="T216" s="751" t="s">
        <v>753</v>
      </c>
      <c r="U216" s="751"/>
      <c r="V216" s="751"/>
      <c r="W216" s="98" t="s">
        <v>693</v>
      </c>
      <c r="X216" s="95" t="s">
        <v>754</v>
      </c>
      <c r="Y216" s="740">
        <f>I151</f>
        <v>9.8066499999999994</v>
      </c>
      <c r="Z216" s="740"/>
      <c r="AA216" s="740"/>
      <c r="AB216" s="740"/>
      <c r="AC216" s="753" t="s">
        <v>755</v>
      </c>
      <c r="AD216" s="753"/>
      <c r="AE216" s="753"/>
      <c r="AF216" s="753"/>
      <c r="AG216" s="513"/>
      <c r="AH216" s="745"/>
      <c r="AI216" s="745"/>
      <c r="AJ216" s="745"/>
      <c r="AK216" s="745"/>
      <c r="AL216" s="511"/>
      <c r="AM216" s="511"/>
      <c r="AN216" s="511"/>
      <c r="AO216" s="354"/>
      <c r="AP216" s="336"/>
      <c r="AQ216" s="336"/>
      <c r="AR216" s="336"/>
      <c r="AS216" s="336"/>
      <c r="AT216" s="336"/>
    </row>
    <row r="217" spans="1:48" ht="18" customHeight="1">
      <c r="A217" s="90"/>
      <c r="B217" s="336" t="s">
        <v>756</v>
      </c>
      <c r="C217" s="336"/>
      <c r="D217" s="336"/>
      <c r="E217" s="336"/>
      <c r="F217" s="336"/>
      <c r="G217" s="336"/>
      <c r="H217" s="336"/>
      <c r="I217" s="336"/>
      <c r="J217" s="337" t="s">
        <v>701</v>
      </c>
      <c r="K217" s="745" t="str">
        <f ca="1">AH215</f>
        <v>s2</v>
      </c>
      <c r="L217" s="745"/>
      <c r="M217" s="745"/>
      <c r="N217" s="745"/>
      <c r="O217" s="511" t="s">
        <v>663</v>
      </c>
      <c r="P217" s="511"/>
      <c r="Q217" s="337" t="s">
        <v>757</v>
      </c>
      <c r="R217" s="340" t="s">
        <v>694</v>
      </c>
      <c r="S217" s="508">
        <f>W212</f>
        <v>4.5294976138787546E-3</v>
      </c>
      <c r="T217" s="508"/>
      <c r="U217" s="508"/>
      <c r="V217" s="518" t="s">
        <v>696</v>
      </c>
      <c r="W217" s="518"/>
      <c r="X217" s="518"/>
      <c r="Y217" s="337" t="s">
        <v>690</v>
      </c>
      <c r="Z217" s="619" t="e">
        <f ca="1">ABS(K217*S217)</f>
        <v>#VALUE!</v>
      </c>
      <c r="AA217" s="619"/>
      <c r="AB217" s="619"/>
      <c r="AC217" s="508" t="s">
        <v>657</v>
      </c>
      <c r="AD217" s="508"/>
      <c r="AF217" s="336"/>
      <c r="AG217" s="336"/>
      <c r="AH217" s="336"/>
      <c r="AI217" s="336"/>
      <c r="AJ217" s="336"/>
      <c r="AK217" s="336"/>
      <c r="AL217" s="336"/>
      <c r="AM217" s="336"/>
      <c r="AN217" s="336"/>
      <c r="AO217" s="336"/>
      <c r="AP217" s="336"/>
      <c r="AQ217" s="336"/>
      <c r="AR217" s="336"/>
      <c r="AS217" s="336"/>
      <c r="AT217" s="336"/>
    </row>
    <row r="218" spans="1:48" ht="18" customHeight="1">
      <c r="A218" s="90"/>
      <c r="B218" s="607" t="s">
        <v>758</v>
      </c>
      <c r="C218" s="607"/>
      <c r="D218" s="607"/>
      <c r="E218" s="607"/>
      <c r="F218" s="607"/>
      <c r="G218" s="86"/>
      <c r="H218" s="106"/>
      <c r="I218" s="86"/>
      <c r="J218" s="86"/>
      <c r="K218" s="86"/>
      <c r="L218" s="86"/>
      <c r="M218" s="86"/>
      <c r="N218" s="86"/>
      <c r="O218" s="86"/>
      <c r="P218" s="86"/>
      <c r="Q218" s="353"/>
      <c r="R218" s="86"/>
      <c r="S218" s="86"/>
      <c r="T218" s="86"/>
      <c r="U218" s="106"/>
      <c r="V218" s="86"/>
      <c r="W218" s="82" t="s">
        <v>738</v>
      </c>
      <c r="X218" s="86"/>
      <c r="Y218" s="86"/>
      <c r="Z218" s="86"/>
      <c r="AA218" s="86"/>
      <c r="AB218" s="86"/>
      <c r="AC218" s="86"/>
      <c r="AD218" s="342"/>
      <c r="AE218" s="342"/>
      <c r="AF218" s="342"/>
      <c r="AG218" s="342"/>
      <c r="AH218" s="342"/>
      <c r="AI218" s="342"/>
      <c r="AJ218" s="336"/>
      <c r="AK218" s="336"/>
      <c r="AL218" s="336"/>
      <c r="AM218" s="336"/>
      <c r="AN218" s="336"/>
      <c r="AO218" s="336"/>
      <c r="AP218" s="336"/>
      <c r="AQ218" s="336"/>
      <c r="AR218" s="336"/>
      <c r="AS218" s="336"/>
      <c r="AT218" s="336"/>
    </row>
    <row r="219" spans="1:48" ht="18" customHeight="1">
      <c r="A219" s="90"/>
      <c r="B219" s="607"/>
      <c r="C219" s="607"/>
      <c r="D219" s="607"/>
      <c r="E219" s="607"/>
      <c r="F219" s="607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353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342"/>
      <c r="AE219" s="342"/>
      <c r="AF219" s="342"/>
      <c r="AG219" s="342"/>
      <c r="AH219" s="342"/>
      <c r="AI219" s="342"/>
      <c r="AJ219" s="336"/>
      <c r="AK219" s="336"/>
      <c r="AL219" s="336"/>
      <c r="AM219" s="336"/>
      <c r="AN219" s="336"/>
      <c r="AO219" s="336"/>
      <c r="AP219" s="336"/>
      <c r="AQ219" s="336"/>
      <c r="AR219" s="336"/>
      <c r="AS219" s="336"/>
      <c r="AT219" s="336"/>
    </row>
    <row r="220" spans="1:48" ht="18" customHeight="1">
      <c r="A220" s="90"/>
      <c r="B220" s="336"/>
      <c r="C220" s="336"/>
      <c r="D220" s="336"/>
      <c r="E220" s="336"/>
      <c r="F220" s="336"/>
      <c r="G220" s="336"/>
      <c r="H220" s="336"/>
      <c r="I220" s="336"/>
      <c r="J220" s="336"/>
      <c r="K220" s="336"/>
      <c r="L220" s="336"/>
      <c r="M220" s="336"/>
      <c r="N220" s="336"/>
      <c r="O220" s="336"/>
      <c r="P220" s="336"/>
      <c r="Q220" s="336"/>
      <c r="R220" s="336"/>
      <c r="S220" s="336"/>
      <c r="T220" s="336"/>
      <c r="U220" s="336"/>
      <c r="V220" s="336"/>
      <c r="W220" s="336"/>
      <c r="X220" s="336"/>
      <c r="Y220" s="336"/>
      <c r="Z220" s="336"/>
      <c r="AA220" s="336"/>
      <c r="AB220" s="336"/>
      <c r="AC220" s="336"/>
      <c r="AD220" s="336"/>
      <c r="AE220" s="336"/>
      <c r="AF220" s="336"/>
      <c r="AG220" s="336"/>
      <c r="AH220" s="336"/>
      <c r="AI220" s="336"/>
      <c r="AJ220" s="336"/>
      <c r="AK220" s="336"/>
      <c r="AL220" s="336"/>
      <c r="AM220" s="336"/>
      <c r="AN220" s="336"/>
      <c r="AO220" s="336"/>
      <c r="AP220" s="336"/>
      <c r="AQ220" s="336"/>
      <c r="AR220" s="336"/>
      <c r="AS220" s="336"/>
      <c r="AT220" s="336"/>
    </row>
    <row r="221" spans="1:48" ht="18" customHeight="1">
      <c r="A221" s="90"/>
      <c r="B221" s="90" t="s">
        <v>759</v>
      </c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  <c r="N221" s="336"/>
      <c r="O221" s="336"/>
      <c r="P221" s="348" t="s">
        <v>760</v>
      </c>
      <c r="Q221" s="336"/>
      <c r="R221" s="336"/>
      <c r="S221" s="336"/>
      <c r="U221" s="336"/>
      <c r="V221" s="336"/>
      <c r="W221" s="336"/>
      <c r="X221" s="336"/>
      <c r="Y221" s="336"/>
      <c r="Z221" s="336"/>
      <c r="AA221" s="336"/>
      <c r="AB221" s="336"/>
      <c r="AC221" s="336"/>
      <c r="AD221" s="336"/>
      <c r="AE221" s="336"/>
      <c r="AF221" s="336"/>
      <c r="AG221" s="336"/>
      <c r="AH221" s="336"/>
      <c r="AI221" s="336"/>
      <c r="AJ221" s="336"/>
      <c r="AK221" s="336"/>
      <c r="AL221" s="336"/>
      <c r="AM221" s="336"/>
      <c r="AN221" s="336"/>
      <c r="AO221" s="336"/>
      <c r="AP221" s="336"/>
      <c r="AQ221" s="336"/>
      <c r="AR221" s="336"/>
      <c r="AS221" s="336"/>
      <c r="AT221" s="336"/>
    </row>
    <row r="222" spans="1:48" ht="18" customHeight="1">
      <c r="A222" s="90"/>
      <c r="B222" s="336" t="s">
        <v>761</v>
      </c>
      <c r="C222" s="336"/>
      <c r="E222" s="336"/>
      <c r="F222" s="336"/>
      <c r="G222" s="336"/>
      <c r="H222" s="336"/>
      <c r="I222" s="336"/>
      <c r="J222" s="336"/>
      <c r="K222" s="336"/>
      <c r="L222" s="336"/>
      <c r="M222" s="336"/>
      <c r="N222" s="336"/>
      <c r="O222" s="336"/>
      <c r="P222" s="336"/>
      <c r="Q222" s="336"/>
      <c r="R222" s="336"/>
      <c r="S222" s="336"/>
      <c r="T222" s="348"/>
      <c r="U222" s="336"/>
      <c r="V222" s="336"/>
      <c r="W222" s="336"/>
      <c r="X222" s="336"/>
      <c r="Y222" s="336"/>
      <c r="Z222" s="336"/>
      <c r="AA222" s="336"/>
      <c r="AB222" s="336"/>
      <c r="AC222" s="336"/>
      <c r="AD222" s="336"/>
      <c r="AE222" s="336"/>
      <c r="AF222" s="336"/>
      <c r="AG222" s="336"/>
      <c r="AH222" s="336"/>
      <c r="AI222" s="336"/>
      <c r="AJ222" s="336"/>
      <c r="AK222" s="336"/>
      <c r="AL222" s="336"/>
      <c r="AM222" s="336"/>
      <c r="AN222" s="336"/>
      <c r="AO222" s="336"/>
      <c r="AP222" s="336"/>
      <c r="AQ222" s="336"/>
      <c r="AR222" s="336"/>
      <c r="AS222" s="336"/>
      <c r="AT222" s="336"/>
    </row>
    <row r="223" spans="1:48" ht="18" customHeight="1">
      <c r="A223" s="90"/>
      <c r="B223" s="336"/>
      <c r="C223" s="336" t="s">
        <v>685</v>
      </c>
      <c r="E223" s="336"/>
      <c r="F223" s="336"/>
      <c r="G223" s="336"/>
      <c r="H223" s="336"/>
      <c r="I223" s="336"/>
      <c r="J223" s="336"/>
      <c r="K223" s="336"/>
      <c r="L223" s="336"/>
      <c r="M223" s="336"/>
      <c r="N223" s="336"/>
      <c r="O223" s="336"/>
      <c r="P223" s="336"/>
      <c r="Q223" s="336"/>
      <c r="R223" s="336"/>
      <c r="S223" s="336"/>
      <c r="T223" s="348"/>
      <c r="U223" s="336"/>
      <c r="V223" s="336"/>
      <c r="W223" s="336"/>
      <c r="X223" s="336"/>
      <c r="Y223" s="336"/>
      <c r="Z223" s="336"/>
      <c r="AA223" s="336"/>
      <c r="AB223" s="336"/>
      <c r="AC223" s="336"/>
      <c r="AD223" s="336"/>
      <c r="AE223" s="336"/>
      <c r="AF223" s="336"/>
      <c r="AG223" s="336"/>
      <c r="AH223" s="336"/>
      <c r="AI223" s="336"/>
      <c r="AJ223" s="336"/>
      <c r="AK223" s="336"/>
      <c r="AL223" s="336"/>
      <c r="AM223" s="336"/>
      <c r="AN223" s="336"/>
      <c r="AO223" s="336"/>
      <c r="AP223" s="336"/>
      <c r="AQ223" s="336"/>
      <c r="AR223" s="336"/>
      <c r="AS223" s="336"/>
      <c r="AT223" s="336"/>
    </row>
    <row r="224" spans="1:48" ht="18" customHeight="1">
      <c r="A224" s="90"/>
      <c r="B224" s="336" t="s">
        <v>762</v>
      </c>
      <c r="C224" s="336"/>
      <c r="D224" s="336"/>
      <c r="E224" s="336"/>
      <c r="F224" s="336"/>
      <c r="G224" s="505">
        <f ca="1">I152</f>
        <v>0</v>
      </c>
      <c r="H224" s="505"/>
      <c r="I224" s="505"/>
      <c r="J224" s="505"/>
      <c r="K224" s="505"/>
      <c r="L224" s="506">
        <f>L152</f>
        <v>0</v>
      </c>
      <c r="M224" s="506"/>
      <c r="N224" s="506"/>
      <c r="O224" s="506"/>
      <c r="P224" s="506"/>
      <c r="Q224" s="506"/>
      <c r="R224" s="336"/>
      <c r="S224" s="336"/>
      <c r="T224" s="336"/>
      <c r="U224" s="336"/>
      <c r="V224" s="336"/>
      <c r="W224" s="336"/>
      <c r="X224" s="336"/>
      <c r="Y224" s="336"/>
      <c r="Z224" s="336"/>
      <c r="AA224" s="336"/>
      <c r="AB224" s="336"/>
      <c r="AC224" s="336"/>
      <c r="AD224" s="336"/>
      <c r="AE224" s="336"/>
      <c r="AF224" s="336"/>
      <c r="AG224" s="336"/>
      <c r="AH224" s="336"/>
      <c r="AI224" s="336"/>
      <c r="AJ224" s="336"/>
      <c r="AK224" s="336"/>
      <c r="AL224" s="336"/>
      <c r="AM224" s="336"/>
      <c r="AN224" s="336"/>
      <c r="AO224" s="336"/>
      <c r="AP224" s="336"/>
      <c r="AQ224" s="336"/>
      <c r="AR224" s="336"/>
      <c r="AS224" s="336"/>
      <c r="AT224" s="336"/>
    </row>
    <row r="225" spans="1:46" ht="18" customHeight="1">
      <c r="A225" s="90"/>
      <c r="B225" s="336"/>
      <c r="C225" s="336"/>
      <c r="D225" s="336"/>
      <c r="E225" s="336"/>
      <c r="F225" s="336"/>
      <c r="G225" s="336"/>
      <c r="H225" s="349"/>
      <c r="I225" s="336"/>
      <c r="J225" s="350"/>
      <c r="K225" s="350"/>
      <c r="L225" s="350"/>
      <c r="M225" s="355" t="s">
        <v>754</v>
      </c>
      <c r="N225" s="515">
        <f ca="1">OFFSET(Calcu!W8,$AL$5,0)</f>
        <v>0</v>
      </c>
      <c r="O225" s="515"/>
      <c r="P225" s="515"/>
      <c r="Q225" s="335" t="s">
        <v>657</v>
      </c>
      <c r="R225" s="356"/>
      <c r="S225" s="356" t="s">
        <v>704</v>
      </c>
      <c r="T225" s="515" t="str">
        <f ca="1">OFFSET(Calcu!W23,$AL$5,0)</f>
        <v/>
      </c>
      <c r="U225" s="515"/>
      <c r="V225" s="515"/>
      <c r="W225" s="335" t="s">
        <v>657</v>
      </c>
      <c r="X225" s="335" t="s">
        <v>763</v>
      </c>
      <c r="Y225" s="513" t="s">
        <v>690</v>
      </c>
      <c r="Z225" s="508" t="e">
        <f ca="1">(N225+T225)/M226</f>
        <v>#VALUE!</v>
      </c>
      <c r="AA225" s="508"/>
      <c r="AB225" s="508"/>
      <c r="AC225" s="508" t="s">
        <v>657</v>
      </c>
      <c r="AD225" s="508"/>
      <c r="AE225" s="336"/>
      <c r="AF225" s="336"/>
      <c r="AG225" s="336"/>
      <c r="AH225" s="336"/>
      <c r="AI225" s="336"/>
      <c r="AJ225" s="336"/>
      <c r="AK225" s="336"/>
      <c r="AL225" s="336"/>
      <c r="AM225" s="336"/>
      <c r="AN225" s="336"/>
    </row>
    <row r="226" spans="1:46" ht="18" customHeight="1">
      <c r="A226" s="90"/>
      <c r="B226" s="336"/>
      <c r="C226" s="336"/>
      <c r="D226" s="336"/>
      <c r="E226" s="336"/>
      <c r="F226" s="336"/>
      <c r="G226" s="336"/>
      <c r="H226" s="349"/>
      <c r="I226" s="336"/>
      <c r="J226" s="350"/>
      <c r="K226" s="350"/>
      <c r="L226" s="350"/>
      <c r="M226" s="520">
        <v>2</v>
      </c>
      <c r="N226" s="520"/>
      <c r="O226" s="520"/>
      <c r="P226" s="520"/>
      <c r="Q226" s="520"/>
      <c r="R226" s="520"/>
      <c r="S226" s="520"/>
      <c r="T226" s="520"/>
      <c r="U226" s="520"/>
      <c r="V226" s="520"/>
      <c r="W226" s="520"/>
      <c r="X226" s="520"/>
      <c r="Y226" s="513"/>
      <c r="Z226" s="508"/>
      <c r="AA226" s="508"/>
      <c r="AB226" s="508"/>
      <c r="AC226" s="508"/>
      <c r="AD226" s="508"/>
      <c r="AE226" s="336"/>
      <c r="AF226" s="336"/>
      <c r="AG226" s="336"/>
      <c r="AH226" s="336"/>
      <c r="AI226" s="336"/>
      <c r="AJ226" s="336"/>
      <c r="AK226" s="336"/>
      <c r="AL226" s="336"/>
      <c r="AM226" s="336"/>
      <c r="AN226" s="336"/>
    </row>
    <row r="227" spans="1:46" ht="18" customHeight="1">
      <c r="A227" s="90"/>
      <c r="B227" s="508" t="s">
        <v>764</v>
      </c>
      <c r="C227" s="508"/>
      <c r="D227" s="508"/>
      <c r="E227" s="508"/>
      <c r="F227" s="508"/>
      <c r="G227" s="508"/>
      <c r="H227" s="508"/>
      <c r="I227" s="336"/>
      <c r="J227" s="336"/>
      <c r="K227" s="336"/>
      <c r="L227" s="336"/>
      <c r="M227" s="336"/>
      <c r="N227" s="336"/>
      <c r="O227" s="336"/>
      <c r="P227" s="336"/>
      <c r="Q227" s="336"/>
      <c r="R227" s="336"/>
      <c r="S227" s="336"/>
      <c r="T227" s="333"/>
      <c r="U227" s="333"/>
      <c r="V227" s="332"/>
      <c r="W227" s="336"/>
      <c r="X227" s="333"/>
      <c r="Y227" s="336"/>
      <c r="Z227" s="336"/>
      <c r="AA227" s="336"/>
      <c r="AB227" s="336"/>
      <c r="AC227" s="336"/>
      <c r="AD227" s="336"/>
      <c r="AE227" s="336"/>
      <c r="AG227" s="336"/>
      <c r="AH227" s="336"/>
      <c r="AI227" s="336"/>
    </row>
    <row r="228" spans="1:46" ht="18" customHeight="1">
      <c r="A228" s="90"/>
      <c r="B228" s="508"/>
      <c r="C228" s="508"/>
      <c r="D228" s="508"/>
      <c r="E228" s="508"/>
      <c r="F228" s="508"/>
      <c r="G228" s="508"/>
      <c r="H228" s="508"/>
      <c r="I228" s="336"/>
      <c r="J228" s="336"/>
      <c r="K228" s="336"/>
      <c r="L228" s="336"/>
      <c r="M228" s="336"/>
      <c r="N228" s="336"/>
      <c r="O228" s="336"/>
      <c r="P228" s="336"/>
      <c r="Q228" s="336"/>
      <c r="R228" s="336"/>
      <c r="S228" s="336"/>
      <c r="T228" s="333"/>
      <c r="U228" s="333"/>
      <c r="V228" s="336"/>
      <c r="W228" s="336"/>
      <c r="X228" s="333"/>
      <c r="Y228" s="336"/>
      <c r="Z228" s="336"/>
      <c r="AA228" s="336"/>
      <c r="AB228" s="336"/>
      <c r="AC228" s="336"/>
      <c r="AD228" s="336"/>
      <c r="AE228" s="336"/>
      <c r="AF228" s="336"/>
      <c r="AG228" s="336"/>
      <c r="AH228" s="336"/>
      <c r="AI228" s="336"/>
    </row>
    <row r="229" spans="1:46" ht="18" customHeight="1">
      <c r="A229" s="90"/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754" t="str">
        <f ca="1">Q153</f>
        <v>m</v>
      </c>
      <c r="O229" s="513"/>
      <c r="P229" s="513"/>
      <c r="Q229" s="336"/>
      <c r="R229" s="336"/>
      <c r="S229" s="742" t="str">
        <f ca="1">Q154</f>
        <v>m</v>
      </c>
      <c r="T229" s="741"/>
      <c r="U229" s="741"/>
      <c r="V229" s="336"/>
      <c r="W229" s="336"/>
      <c r="X229" s="742" t="str">
        <f ca="1">Q155</f>
        <v>m</v>
      </c>
      <c r="Y229" s="742"/>
      <c r="Z229" s="742"/>
      <c r="AA229" s="336"/>
      <c r="AC229" s="742" t="str">
        <f ca="1">Q156</f>
        <v>m</v>
      </c>
      <c r="AD229" s="741"/>
      <c r="AE229" s="741"/>
      <c r="AG229" s="337" t="s">
        <v>690</v>
      </c>
      <c r="AH229" s="619" t="str">
        <f ca="1">Q152</f>
        <v>m</v>
      </c>
      <c r="AI229" s="508"/>
      <c r="AJ229" s="508"/>
      <c r="AK229" s="337" t="s">
        <v>657</v>
      </c>
      <c r="AL229" s="351"/>
      <c r="AM229" s="351"/>
      <c r="AP229" s="351"/>
      <c r="AQ229" s="351"/>
      <c r="AR229" s="351"/>
    </row>
    <row r="230" spans="1:46" ht="18" customHeight="1">
      <c r="A230" s="90"/>
      <c r="B230" s="336" t="s">
        <v>765</v>
      </c>
      <c r="C230" s="336"/>
      <c r="D230" s="336"/>
      <c r="E230" s="336"/>
      <c r="F230" s="336"/>
      <c r="G230" s="336"/>
      <c r="H230" s="508" t="str">
        <f>Y152</f>
        <v>직사각형</v>
      </c>
      <c r="I230" s="508"/>
      <c r="J230" s="508"/>
      <c r="K230" s="508"/>
      <c r="L230" s="508"/>
      <c r="M230" s="336"/>
      <c r="N230" s="336"/>
      <c r="O230" s="336"/>
      <c r="P230" s="336"/>
      <c r="Q230" s="336"/>
      <c r="R230" s="336"/>
      <c r="S230" s="336"/>
      <c r="T230" s="336"/>
      <c r="U230" s="336"/>
      <c r="V230" s="336"/>
      <c r="W230" s="336"/>
      <c r="X230" s="336"/>
      <c r="Y230" s="336"/>
      <c r="Z230" s="336"/>
      <c r="AA230" s="336"/>
      <c r="AB230" s="336"/>
      <c r="AG230" s="336"/>
      <c r="AH230" s="336"/>
      <c r="AI230" s="336"/>
      <c r="AJ230" s="336"/>
      <c r="AK230" s="336"/>
      <c r="AL230" s="336"/>
      <c r="AM230" s="336"/>
      <c r="AN230" s="336"/>
      <c r="AO230" s="336"/>
      <c r="AP230" s="336"/>
      <c r="AQ230" s="336"/>
      <c r="AR230" s="336"/>
      <c r="AS230" s="336"/>
      <c r="AT230" s="336"/>
    </row>
    <row r="231" spans="1:46" ht="18" customHeight="1">
      <c r="A231" s="90"/>
      <c r="B231" s="508" t="s">
        <v>766</v>
      </c>
      <c r="C231" s="508"/>
      <c r="D231" s="508"/>
      <c r="E231" s="508"/>
      <c r="F231" s="508"/>
      <c r="G231" s="508"/>
      <c r="H231" s="336"/>
      <c r="I231" s="336"/>
      <c r="J231" s="336"/>
      <c r="K231" s="336"/>
      <c r="L231" s="336"/>
      <c r="M231" s="743">
        <f>AD153</f>
        <v>1</v>
      </c>
      <c r="N231" s="743"/>
      <c r="O231" s="336"/>
      <c r="P231" s="336"/>
      <c r="Q231" s="336"/>
      <c r="R231" s="336"/>
      <c r="S231" s="336"/>
      <c r="T231" s="336"/>
      <c r="U231" s="336"/>
      <c r="V231" s="336"/>
      <c r="W231" s="336"/>
      <c r="X231" s="336"/>
      <c r="Y231" s="336"/>
      <c r="Z231" s="336"/>
      <c r="AA231" s="336"/>
      <c r="AB231" s="336"/>
      <c r="AC231" s="336"/>
      <c r="AD231" s="336"/>
      <c r="AE231" s="336"/>
      <c r="AF231" s="336"/>
      <c r="AG231" s="336"/>
      <c r="AH231" s="336"/>
      <c r="AI231" s="336"/>
      <c r="AJ231" s="336"/>
      <c r="AK231" s="336"/>
      <c r="AL231" s="336"/>
      <c r="AM231" s="336"/>
      <c r="AN231" s="336"/>
      <c r="AO231" s="336"/>
      <c r="AP231" s="336"/>
      <c r="AQ231" s="336"/>
      <c r="AR231" s="336"/>
      <c r="AS231" s="336"/>
      <c r="AT231" s="336"/>
    </row>
    <row r="232" spans="1:46" ht="18" customHeight="1">
      <c r="A232" s="90"/>
      <c r="B232" s="508"/>
      <c r="C232" s="508"/>
      <c r="D232" s="508"/>
      <c r="E232" s="508"/>
      <c r="F232" s="508"/>
      <c r="G232" s="508"/>
      <c r="H232" s="336"/>
      <c r="I232" s="336"/>
      <c r="J232" s="336"/>
      <c r="K232" s="336"/>
      <c r="L232" s="336"/>
      <c r="M232" s="743"/>
      <c r="N232" s="743"/>
      <c r="O232" s="336"/>
      <c r="P232" s="336"/>
      <c r="Q232" s="336"/>
      <c r="R232" s="336"/>
      <c r="S232" s="336"/>
      <c r="T232" s="336"/>
      <c r="U232" s="336"/>
      <c r="V232" s="336"/>
      <c r="W232" s="336"/>
      <c r="X232" s="336"/>
      <c r="Y232" s="336"/>
      <c r="Z232" s="336"/>
      <c r="AA232" s="336"/>
      <c r="AB232" s="336"/>
      <c r="AC232" s="336"/>
      <c r="AD232" s="336"/>
      <c r="AE232" s="336"/>
      <c r="AK232" s="336"/>
      <c r="AL232" s="336"/>
      <c r="AM232" s="336"/>
      <c r="AN232" s="336"/>
      <c r="AO232" s="336"/>
      <c r="AP232" s="336"/>
      <c r="AQ232" s="336"/>
      <c r="AR232" s="336"/>
      <c r="AS232" s="336"/>
      <c r="AT232" s="336"/>
    </row>
    <row r="233" spans="1:46" ht="18" customHeight="1">
      <c r="A233" s="90"/>
      <c r="B233" s="336" t="s">
        <v>767</v>
      </c>
      <c r="C233" s="336"/>
      <c r="D233" s="336"/>
      <c r="E233" s="336"/>
      <c r="F233" s="336"/>
      <c r="G233" s="336"/>
      <c r="H233" s="336"/>
      <c r="I233" s="336"/>
      <c r="J233" s="337" t="s">
        <v>701</v>
      </c>
      <c r="K233" s="513">
        <f>M231</f>
        <v>1</v>
      </c>
      <c r="L233" s="513"/>
      <c r="M233" s="337" t="s">
        <v>701</v>
      </c>
      <c r="N233" s="339" t="s">
        <v>694</v>
      </c>
      <c r="O233" s="619" t="str">
        <f ca="1">AH229</f>
        <v>m</v>
      </c>
      <c r="P233" s="619"/>
      <c r="Q233" s="619"/>
      <c r="R233" s="333" t="s">
        <v>657</v>
      </c>
      <c r="S233" s="351" t="s">
        <v>690</v>
      </c>
      <c r="T233" s="619" t="str">
        <f ca="1">O233</f>
        <v>m</v>
      </c>
      <c r="U233" s="619"/>
      <c r="V233" s="619"/>
      <c r="W233" s="333" t="s">
        <v>768</v>
      </c>
      <c r="X233" s="239"/>
      <c r="Y233" s="336"/>
      <c r="Z233" s="336"/>
      <c r="AA233" s="336"/>
      <c r="AB233" s="336"/>
      <c r="AC233" s="336"/>
      <c r="AD233" s="336"/>
      <c r="AE233" s="336"/>
      <c r="AK233" s="336"/>
      <c r="AL233" s="336"/>
      <c r="AM233" s="336"/>
      <c r="AN233" s="336"/>
      <c r="AO233" s="336"/>
      <c r="AP233" s="336"/>
      <c r="AQ233" s="336"/>
      <c r="AR233" s="336"/>
      <c r="AS233" s="336"/>
      <c r="AT233" s="336"/>
    </row>
    <row r="234" spans="1:46" ht="18" customHeight="1">
      <c r="A234" s="90"/>
      <c r="B234" s="508" t="s">
        <v>770</v>
      </c>
      <c r="C234" s="508"/>
      <c r="D234" s="508"/>
      <c r="E234" s="508"/>
      <c r="F234" s="508"/>
      <c r="G234" s="508"/>
      <c r="H234" s="336"/>
      <c r="I234" s="336"/>
      <c r="J234" s="336"/>
      <c r="K234" s="96"/>
      <c r="L234" s="336"/>
      <c r="M234" s="336"/>
      <c r="N234" s="336"/>
      <c r="O234" s="336"/>
      <c r="P234" s="336"/>
      <c r="Q234" s="336"/>
      <c r="R234" s="744" t="str">
        <f ca="1">AH229</f>
        <v>m</v>
      </c>
      <c r="S234" s="744"/>
      <c r="T234" s="744"/>
      <c r="U234" s="744"/>
      <c r="V234" s="744"/>
      <c r="W234" s="744"/>
      <c r="X234" s="744"/>
      <c r="Y234" s="744"/>
      <c r="Z234" s="744"/>
      <c r="AA234" s="744"/>
      <c r="AB234" s="744"/>
      <c r="AC234" s="744"/>
      <c r="AD234" s="744"/>
      <c r="AE234" s="744"/>
      <c r="AF234" s="744"/>
      <c r="AG234" s="744"/>
      <c r="AH234" s="744"/>
      <c r="AI234" s="744"/>
      <c r="AJ234" s="744"/>
      <c r="AK234" s="513" t="s">
        <v>689</v>
      </c>
      <c r="AL234" s="743">
        <f ca="1">AT152</f>
        <v>0</v>
      </c>
      <c r="AM234" s="743"/>
      <c r="AN234" s="743"/>
      <c r="AO234" s="743"/>
      <c r="AP234" s="336"/>
      <c r="AQ234" s="336"/>
      <c r="AR234" s="336"/>
      <c r="AS234" s="336"/>
      <c r="AT234" s="336"/>
    </row>
    <row r="235" spans="1:46" ht="18" customHeight="1">
      <c r="A235" s="90"/>
      <c r="B235" s="508"/>
      <c r="C235" s="508"/>
      <c r="D235" s="508"/>
      <c r="E235" s="508"/>
      <c r="F235" s="508"/>
      <c r="G235" s="508"/>
      <c r="H235" s="336"/>
      <c r="I235" s="336"/>
      <c r="J235" s="336"/>
      <c r="K235" s="96"/>
      <c r="L235" s="341"/>
      <c r="M235" s="341"/>
      <c r="N235" s="341"/>
      <c r="O235" s="341"/>
      <c r="P235" s="341"/>
      <c r="Q235" s="336"/>
      <c r="R235" s="744" t="str">
        <f ca="1">N229</f>
        <v>m</v>
      </c>
      <c r="S235" s="744"/>
      <c r="T235" s="744"/>
      <c r="U235" s="744"/>
      <c r="V235" s="513" t="s">
        <v>771</v>
      </c>
      <c r="W235" s="744" t="str">
        <f ca="1">S229</f>
        <v>m</v>
      </c>
      <c r="X235" s="744"/>
      <c r="Y235" s="744"/>
      <c r="Z235" s="744"/>
      <c r="AA235" s="513" t="s">
        <v>772</v>
      </c>
      <c r="AB235" s="744" t="str">
        <f ca="1">X229</f>
        <v>m</v>
      </c>
      <c r="AC235" s="521"/>
      <c r="AD235" s="521"/>
      <c r="AE235" s="521"/>
      <c r="AF235" s="513" t="s">
        <v>704</v>
      </c>
      <c r="AG235" s="744" t="str">
        <f ca="1">AC229</f>
        <v>m</v>
      </c>
      <c r="AH235" s="521"/>
      <c r="AI235" s="521"/>
      <c r="AJ235" s="521"/>
      <c r="AK235" s="513"/>
      <c r="AL235" s="743"/>
      <c r="AM235" s="743"/>
      <c r="AN235" s="743"/>
      <c r="AO235" s="743"/>
      <c r="AP235" s="336"/>
      <c r="AQ235" s="336"/>
      <c r="AR235" s="336"/>
      <c r="AS235" s="336"/>
      <c r="AT235" s="336"/>
    </row>
    <row r="236" spans="1:46" ht="18" customHeight="1">
      <c r="A236" s="90"/>
      <c r="B236" s="336"/>
      <c r="C236" s="336"/>
      <c r="D236" s="336"/>
      <c r="E236" s="336"/>
      <c r="F236" s="336"/>
      <c r="G236" s="336"/>
      <c r="H236" s="336"/>
      <c r="I236" s="336"/>
      <c r="J236" s="336"/>
      <c r="K236" s="96"/>
      <c r="L236" s="341"/>
      <c r="M236" s="341"/>
      <c r="N236" s="341"/>
      <c r="O236" s="341"/>
      <c r="P236" s="341"/>
      <c r="Q236" s="336"/>
      <c r="R236" s="520" t="str">
        <f>AT153</f>
        <v>∞</v>
      </c>
      <c r="S236" s="520"/>
      <c r="T236" s="520"/>
      <c r="U236" s="520"/>
      <c r="V236" s="513"/>
      <c r="W236" s="520">
        <f>AT154</f>
        <v>12.5</v>
      </c>
      <c r="X236" s="520"/>
      <c r="Y236" s="520"/>
      <c r="Z236" s="520"/>
      <c r="AA236" s="513"/>
      <c r="AB236" s="520">
        <f>AT155</f>
        <v>12.5</v>
      </c>
      <c r="AC236" s="520"/>
      <c r="AD236" s="520"/>
      <c r="AE236" s="520"/>
      <c r="AF236" s="513"/>
      <c r="AG236" s="520">
        <f>AT156</f>
        <v>2</v>
      </c>
      <c r="AH236" s="520"/>
      <c r="AI236" s="520"/>
      <c r="AJ236" s="520"/>
      <c r="AK236" s="336"/>
      <c r="AL236" s="336"/>
      <c r="AM236" s="336"/>
      <c r="AN236" s="336"/>
      <c r="AO236" s="336"/>
      <c r="AP236" s="336"/>
      <c r="AQ236" s="336"/>
      <c r="AR236" s="336"/>
      <c r="AS236" s="336"/>
      <c r="AT236" s="336"/>
    </row>
    <row r="237" spans="1:46" ht="18" customHeight="1">
      <c r="A237" s="90"/>
      <c r="B237" s="336"/>
      <c r="C237" s="336"/>
      <c r="D237" s="336"/>
      <c r="E237" s="336"/>
      <c r="F237" s="336"/>
      <c r="G237" s="336"/>
      <c r="H237" s="336"/>
      <c r="I237" s="336"/>
      <c r="J237" s="336"/>
      <c r="K237" s="336"/>
      <c r="L237" s="336"/>
      <c r="M237" s="336"/>
      <c r="N237" s="336"/>
      <c r="O237" s="336"/>
      <c r="P237" s="336"/>
      <c r="Q237" s="336"/>
      <c r="R237" s="336"/>
      <c r="S237" s="336"/>
      <c r="T237" s="336"/>
      <c r="U237" s="336"/>
      <c r="V237" s="336"/>
      <c r="W237" s="336"/>
      <c r="X237" s="336"/>
      <c r="Y237" s="336"/>
      <c r="Z237" s="336"/>
      <c r="AA237" s="336"/>
      <c r="AB237" s="336"/>
      <c r="AC237" s="336"/>
      <c r="AD237" s="336"/>
      <c r="AE237" s="336"/>
      <c r="AF237" s="336"/>
      <c r="AG237" s="336"/>
      <c r="AH237" s="336"/>
      <c r="AI237" s="336"/>
      <c r="AJ237" s="336"/>
      <c r="AK237" s="336"/>
      <c r="AL237" s="336"/>
      <c r="AM237" s="336"/>
      <c r="AN237" s="336"/>
      <c r="AO237" s="336"/>
      <c r="AP237" s="336"/>
      <c r="AQ237" s="336"/>
      <c r="AR237" s="336"/>
      <c r="AS237" s="336"/>
      <c r="AT237" s="336"/>
    </row>
    <row r="238" spans="1:46" ht="18" customHeight="1">
      <c r="A238" s="90"/>
      <c r="B238" s="97" t="s">
        <v>773</v>
      </c>
      <c r="D238" s="336"/>
      <c r="E238" s="336"/>
      <c r="F238" s="336"/>
      <c r="G238" s="336"/>
      <c r="H238" s="336"/>
      <c r="I238" s="336"/>
      <c r="J238" s="336"/>
      <c r="K238" s="336"/>
      <c r="L238" s="336"/>
      <c r="M238" s="336"/>
      <c r="N238" s="336"/>
      <c r="O238" s="336"/>
      <c r="P238" s="348" t="s">
        <v>774</v>
      </c>
      <c r="Q238" s="336"/>
      <c r="S238" s="336"/>
      <c r="U238" s="336"/>
      <c r="V238" s="336"/>
      <c r="W238" s="336"/>
      <c r="X238" s="336"/>
      <c r="Y238" s="336"/>
      <c r="Z238" s="336"/>
      <c r="AA238" s="336"/>
      <c r="AB238" s="336"/>
      <c r="AC238" s="336"/>
      <c r="AD238" s="336"/>
      <c r="AE238" s="336"/>
      <c r="AF238" s="336"/>
      <c r="AG238" s="336"/>
      <c r="AH238" s="336"/>
      <c r="AI238" s="336"/>
      <c r="AJ238" s="336"/>
      <c r="AK238" s="336"/>
      <c r="AL238" s="336"/>
      <c r="AM238" s="336"/>
      <c r="AN238" s="336"/>
      <c r="AO238" s="336"/>
      <c r="AP238" s="336"/>
      <c r="AQ238" s="336"/>
      <c r="AR238" s="336"/>
      <c r="AS238" s="336"/>
      <c r="AT238" s="336"/>
    </row>
    <row r="239" spans="1:46" ht="18" customHeight="1">
      <c r="A239" s="90"/>
      <c r="B239" s="85" t="s">
        <v>775</v>
      </c>
      <c r="C239" s="97"/>
      <c r="D239" s="336"/>
      <c r="E239" s="336"/>
      <c r="F239" s="336"/>
      <c r="G239" s="336"/>
      <c r="H239" s="336"/>
      <c r="I239" s="336"/>
      <c r="J239" s="336"/>
      <c r="K239" s="336"/>
      <c r="L239" s="336"/>
      <c r="M239" s="336"/>
      <c r="N239" s="336"/>
      <c r="O239" s="336"/>
      <c r="P239" s="336"/>
      <c r="Q239" s="336"/>
      <c r="R239" s="348"/>
      <c r="S239" s="336"/>
      <c r="U239" s="336"/>
      <c r="V239" s="336"/>
      <c r="W239" s="336"/>
      <c r="X239" s="336"/>
      <c r="Y239" s="336"/>
      <c r="Z239" s="336"/>
      <c r="AA239" s="336"/>
      <c r="AB239" s="336"/>
      <c r="AC239" s="336"/>
      <c r="AD239" s="336"/>
      <c r="AE239" s="336"/>
      <c r="AF239" s="336"/>
      <c r="AG239" s="336"/>
      <c r="AH239" s="336"/>
      <c r="AI239" s="336"/>
      <c r="AJ239" s="336"/>
      <c r="AK239" s="336"/>
      <c r="AL239" s="336"/>
      <c r="AM239" s="336"/>
      <c r="AN239" s="336"/>
      <c r="AO239" s="336"/>
      <c r="AP239" s="336"/>
      <c r="AQ239" s="336"/>
      <c r="AR239" s="336"/>
      <c r="AS239" s="336"/>
      <c r="AT239" s="336"/>
    </row>
    <row r="240" spans="1:46" ht="18" customHeight="1">
      <c r="A240" s="90"/>
      <c r="B240" s="336" t="s">
        <v>776</v>
      </c>
      <c r="C240" s="336"/>
      <c r="D240" s="336"/>
      <c r="E240" s="336"/>
      <c r="F240" s="336"/>
      <c r="G240" s="513">
        <v>0</v>
      </c>
      <c r="H240" s="513"/>
      <c r="I240" s="513"/>
      <c r="J240" s="513"/>
      <c r="K240" s="513"/>
      <c r="L240" s="506"/>
      <c r="M240" s="506"/>
      <c r="N240" s="506"/>
      <c r="O240" s="506"/>
      <c r="P240" s="506"/>
      <c r="Q240" s="506"/>
      <c r="R240" s="336"/>
      <c r="S240" s="336"/>
      <c r="T240" s="336"/>
      <c r="U240" s="336"/>
      <c r="V240" s="336"/>
      <c r="W240" s="336"/>
      <c r="X240" s="336"/>
      <c r="Y240" s="336"/>
      <c r="Z240" s="336"/>
      <c r="AA240" s="336"/>
      <c r="AB240" s="336"/>
      <c r="AC240" s="336"/>
      <c r="AD240" s="336"/>
      <c r="AE240" s="336"/>
      <c r="AF240" s="336"/>
      <c r="AG240" s="336"/>
      <c r="AH240" s="336"/>
      <c r="AI240" s="336"/>
      <c r="AJ240" s="336"/>
      <c r="AK240" s="336"/>
      <c r="AL240" s="336"/>
      <c r="AM240" s="336"/>
      <c r="AN240" s="336"/>
      <c r="AO240" s="336"/>
      <c r="AP240" s="336"/>
      <c r="AQ240" s="336"/>
      <c r="AR240" s="336"/>
      <c r="AS240" s="336"/>
      <c r="AT240" s="336"/>
    </row>
    <row r="241" spans="1:46" ht="18" customHeight="1">
      <c r="A241" s="90"/>
      <c r="B241" s="336" t="s">
        <v>777</v>
      </c>
      <c r="C241" s="336"/>
      <c r="D241" s="336"/>
      <c r="E241" s="336"/>
      <c r="F241" s="336"/>
      <c r="G241" s="336"/>
      <c r="H241" s="336"/>
      <c r="I241" s="336" t="s">
        <v>778</v>
      </c>
      <c r="J241" s="336"/>
      <c r="K241" s="336"/>
      <c r="L241" s="336"/>
      <c r="M241" s="336"/>
      <c r="N241" s="336"/>
      <c r="O241" s="508">
        <f>Calcu!G3</f>
        <v>0</v>
      </c>
      <c r="P241" s="508"/>
      <c r="Q241" s="336" t="s">
        <v>779</v>
      </c>
      <c r="R241" s="336"/>
      <c r="S241" s="336"/>
      <c r="T241" s="336"/>
      <c r="U241" s="93"/>
      <c r="V241" s="93"/>
      <c r="W241" s="93"/>
      <c r="X241" s="336"/>
      <c r="Y241" s="94"/>
      <c r="Z241" s="94"/>
      <c r="AA241" s="94"/>
      <c r="AB241" s="92"/>
      <c r="AC241" s="92"/>
      <c r="AD241" s="336"/>
      <c r="AE241" s="336"/>
      <c r="AF241" s="336"/>
      <c r="AG241" s="336"/>
      <c r="AH241" s="336"/>
      <c r="AI241" s="336"/>
      <c r="AJ241" s="336"/>
      <c r="AK241" s="336"/>
      <c r="AL241" s="336"/>
      <c r="AM241" s="336"/>
      <c r="AN241" s="336"/>
      <c r="AO241" s="336"/>
      <c r="AP241" s="336"/>
      <c r="AQ241" s="336"/>
      <c r="AR241" s="336"/>
      <c r="AS241" s="336"/>
      <c r="AT241" s="336"/>
    </row>
    <row r="242" spans="1:46" ht="18" customHeight="1">
      <c r="A242" s="90"/>
      <c r="B242" s="336"/>
      <c r="C242" s="336"/>
      <c r="D242" s="336"/>
      <c r="E242" s="336"/>
      <c r="F242" s="336"/>
      <c r="G242" s="336"/>
      <c r="H242" s="336"/>
      <c r="I242" s="512" t="s">
        <v>780</v>
      </c>
      <c r="J242" s="512"/>
      <c r="K242" s="512"/>
      <c r="L242" s="513" t="s">
        <v>781</v>
      </c>
      <c r="M242" s="514" t="s">
        <v>782</v>
      </c>
      <c r="N242" s="514"/>
      <c r="O242" s="514"/>
      <c r="P242" s="513" t="s">
        <v>749</v>
      </c>
      <c r="Q242" s="515">
        <f>O241</f>
        <v>0</v>
      </c>
      <c r="R242" s="515"/>
      <c r="S242" s="516" t="str">
        <f>Q241</f>
        <v>m</v>
      </c>
      <c r="T242" s="516"/>
      <c r="U242" s="517" t="s">
        <v>689</v>
      </c>
      <c r="V242" s="619">
        <f>Q242/2/SQRT(3)</f>
        <v>0</v>
      </c>
      <c r="W242" s="619"/>
      <c r="X242" s="619"/>
      <c r="Y242" s="518" t="str">
        <f>S242</f>
        <v>m</v>
      </c>
      <c r="Z242" s="508"/>
      <c r="AA242" s="336"/>
      <c r="AB242" s="336"/>
      <c r="AC242" s="336"/>
      <c r="AD242" s="336"/>
      <c r="AE242" s="336"/>
      <c r="AF242" s="336"/>
      <c r="AG242" s="336"/>
      <c r="AH242" s="99"/>
      <c r="AI242" s="99"/>
      <c r="AJ242" s="99"/>
      <c r="AK242" s="99"/>
      <c r="AL242" s="336"/>
      <c r="AM242" s="336"/>
      <c r="AN242" s="336"/>
      <c r="AO242" s="336"/>
      <c r="AP242" s="336"/>
      <c r="AQ242" s="336"/>
      <c r="AR242" s="336"/>
      <c r="AS242" s="336"/>
      <c r="AT242" s="336"/>
    </row>
    <row r="243" spans="1:46" ht="18" customHeight="1">
      <c r="A243" s="90"/>
      <c r="B243" s="336"/>
      <c r="C243" s="336"/>
      <c r="D243" s="336"/>
      <c r="E243" s="336"/>
      <c r="F243" s="336"/>
      <c r="G243" s="336"/>
      <c r="H243" s="336"/>
      <c r="I243" s="512"/>
      <c r="J243" s="512"/>
      <c r="K243" s="512"/>
      <c r="L243" s="513"/>
      <c r="M243" s="81"/>
      <c r="N243" s="81"/>
      <c r="O243" s="336"/>
      <c r="P243" s="513"/>
      <c r="Q243" s="352"/>
      <c r="R243" s="352"/>
      <c r="S243" s="352"/>
      <c r="T243" s="352"/>
      <c r="U243" s="517"/>
      <c r="V243" s="619"/>
      <c r="W243" s="619"/>
      <c r="X243" s="619"/>
      <c r="Y243" s="508"/>
      <c r="Z243" s="508"/>
      <c r="AA243" s="336"/>
      <c r="AB243" s="336"/>
      <c r="AC243" s="336"/>
      <c r="AD243" s="336"/>
      <c r="AE243" s="336"/>
      <c r="AF243" s="336"/>
      <c r="AG243" s="336"/>
      <c r="AH243" s="338"/>
      <c r="AI243" s="336"/>
      <c r="AJ243" s="100"/>
      <c r="AK243" s="338"/>
      <c r="AL243" s="338"/>
      <c r="AM243" s="338"/>
      <c r="AN243" s="332"/>
      <c r="AO243" s="332"/>
      <c r="AP243" s="336"/>
      <c r="AQ243" s="336"/>
      <c r="AR243" s="336"/>
      <c r="AS243" s="336"/>
      <c r="AT243" s="336"/>
    </row>
    <row r="244" spans="1:46" ht="18" customHeight="1">
      <c r="A244" s="90"/>
      <c r="B244" s="336" t="s">
        <v>783</v>
      </c>
      <c r="C244" s="336"/>
      <c r="D244" s="336"/>
      <c r="E244" s="336"/>
      <c r="F244" s="336"/>
      <c r="G244" s="336"/>
      <c r="H244" s="508" t="str">
        <f>Y153</f>
        <v>직사각형</v>
      </c>
      <c r="I244" s="508"/>
      <c r="J244" s="508"/>
      <c r="K244" s="508"/>
      <c r="L244" s="508"/>
      <c r="M244" s="336"/>
      <c r="N244" s="336"/>
      <c r="O244" s="336"/>
      <c r="P244" s="336"/>
      <c r="Q244" s="336"/>
      <c r="R244" s="336"/>
      <c r="S244" s="336"/>
      <c r="T244" s="336"/>
      <c r="U244" s="336"/>
      <c r="V244" s="336"/>
      <c r="W244" s="336"/>
      <c r="X244" s="336"/>
      <c r="Y244" s="336"/>
      <c r="Z244" s="336"/>
      <c r="AA244" s="336"/>
      <c r="AB244" s="336"/>
      <c r="AC244" s="336"/>
      <c r="AD244" s="336"/>
      <c r="AE244" s="336"/>
      <c r="AF244" s="336"/>
      <c r="AG244" s="336"/>
      <c r="AH244" s="336"/>
      <c r="AI244" s="336"/>
      <c r="AJ244" s="336"/>
      <c r="AK244" s="336"/>
      <c r="AL244" s="336"/>
      <c r="AM244" s="336"/>
      <c r="AN244" s="336"/>
      <c r="AO244" s="336"/>
      <c r="AP244" s="336"/>
      <c r="AQ244" s="336"/>
      <c r="AR244" s="336"/>
      <c r="AS244" s="336"/>
      <c r="AT244" s="336"/>
    </row>
    <row r="245" spans="1:46" ht="18" customHeight="1">
      <c r="A245" s="90"/>
      <c r="B245" s="508" t="s">
        <v>784</v>
      </c>
      <c r="C245" s="508"/>
      <c r="D245" s="508"/>
      <c r="E245" s="508"/>
      <c r="F245" s="508"/>
      <c r="G245" s="508"/>
      <c r="H245" s="336"/>
      <c r="I245" s="336"/>
      <c r="J245" s="336"/>
      <c r="K245" s="336"/>
      <c r="L245" s="336"/>
      <c r="M245" s="336"/>
      <c r="N245" s="513">
        <f>AD153</f>
        <v>1</v>
      </c>
      <c r="O245" s="513"/>
      <c r="P245" s="336"/>
      <c r="Q245" s="336"/>
      <c r="R245" s="336"/>
      <c r="S245" s="336"/>
      <c r="T245" s="336"/>
      <c r="U245" s="336"/>
      <c r="V245" s="336"/>
      <c r="W245" s="336"/>
      <c r="X245" s="336"/>
      <c r="Y245" s="336"/>
      <c r="Z245" s="336"/>
      <c r="AA245" s="336"/>
      <c r="AB245" s="336"/>
      <c r="AC245" s="336"/>
      <c r="AD245" s="336"/>
      <c r="AE245" s="336"/>
      <c r="AF245" s="357"/>
      <c r="AG245" s="357"/>
      <c r="AH245" s="357"/>
      <c r="AI245" s="357"/>
      <c r="AJ245" s="354"/>
      <c r="AK245" s="354"/>
      <c r="AL245" s="354"/>
      <c r="AM245" s="354"/>
      <c r="AN245" s="336"/>
      <c r="AO245" s="336"/>
      <c r="AP245" s="336"/>
      <c r="AQ245" s="336"/>
      <c r="AR245" s="336"/>
      <c r="AS245" s="336"/>
      <c r="AT245" s="336"/>
    </row>
    <row r="246" spans="1:46" ht="18" customHeight="1">
      <c r="A246" s="90"/>
      <c r="B246" s="508"/>
      <c r="C246" s="508"/>
      <c r="D246" s="508"/>
      <c r="E246" s="508"/>
      <c r="F246" s="508"/>
      <c r="G246" s="508"/>
      <c r="H246" s="336"/>
      <c r="I246" s="336"/>
      <c r="J246" s="336"/>
      <c r="K246" s="336"/>
      <c r="L246" s="336"/>
      <c r="M246" s="336"/>
      <c r="N246" s="513"/>
      <c r="O246" s="513"/>
      <c r="P246" s="336"/>
      <c r="Q246" s="336"/>
      <c r="R246" s="336"/>
      <c r="S246" s="336"/>
      <c r="T246" s="336"/>
      <c r="AF246" s="357"/>
      <c r="AG246" s="357"/>
      <c r="AH246" s="357"/>
      <c r="AI246" s="357"/>
      <c r="AJ246" s="354"/>
      <c r="AK246" s="354"/>
      <c r="AL246" s="354"/>
      <c r="AM246" s="354"/>
      <c r="AN246" s="336"/>
      <c r="AO246" s="336"/>
      <c r="AP246" s="336"/>
      <c r="AQ246" s="336"/>
      <c r="AR246" s="336"/>
      <c r="AS246" s="336"/>
      <c r="AT246" s="336"/>
    </row>
    <row r="247" spans="1:46" ht="18" customHeight="1">
      <c r="A247" s="90"/>
      <c r="B247" s="336" t="s">
        <v>785</v>
      </c>
      <c r="C247" s="336"/>
      <c r="D247" s="336"/>
      <c r="E247" s="336"/>
      <c r="F247" s="336"/>
      <c r="G247" s="336"/>
      <c r="H247" s="336"/>
      <c r="I247" s="336"/>
      <c r="J247" s="337" t="s">
        <v>701</v>
      </c>
      <c r="K247" s="620">
        <f>N245</f>
        <v>1</v>
      </c>
      <c r="L247" s="620"/>
      <c r="M247" s="337" t="s">
        <v>786</v>
      </c>
      <c r="N247" s="340" t="s">
        <v>693</v>
      </c>
      <c r="O247" s="619">
        <f>V242</f>
        <v>0</v>
      </c>
      <c r="P247" s="508"/>
      <c r="Q247" s="508"/>
      <c r="R247" s="518" t="str">
        <f>Y242</f>
        <v>m</v>
      </c>
      <c r="S247" s="508"/>
      <c r="T247" s="337" t="s">
        <v>713</v>
      </c>
      <c r="U247" s="619">
        <f>ABS(K247*O247)</f>
        <v>0</v>
      </c>
      <c r="V247" s="619"/>
      <c r="W247" s="619"/>
      <c r="X247" s="508" t="s">
        <v>768</v>
      </c>
      <c r="Y247" s="508"/>
      <c r="AF247" s="336"/>
      <c r="AG247" s="336"/>
      <c r="AH247" s="336"/>
      <c r="AI247" s="336"/>
      <c r="AJ247" s="336"/>
      <c r="AK247" s="336"/>
      <c r="AL247" s="336"/>
      <c r="AM247" s="336"/>
      <c r="AN247" s="336"/>
      <c r="AO247" s="336"/>
      <c r="AP247" s="336"/>
      <c r="AQ247" s="336"/>
      <c r="AR247" s="336"/>
      <c r="AS247" s="336"/>
      <c r="AT247" s="336"/>
    </row>
    <row r="248" spans="1:46" ht="18" customHeight="1">
      <c r="A248" s="90"/>
      <c r="B248" s="336" t="s">
        <v>787</v>
      </c>
      <c r="C248" s="336"/>
      <c r="D248" s="336"/>
      <c r="E248" s="336"/>
      <c r="F248" s="336"/>
      <c r="G248" s="336"/>
      <c r="H248" s="336"/>
      <c r="I248" s="336"/>
      <c r="J248" s="336"/>
      <c r="K248" s="96" t="s">
        <v>788</v>
      </c>
      <c r="L248" s="508" t="str">
        <f>AT153</f>
        <v>∞</v>
      </c>
      <c r="M248" s="508"/>
      <c r="N248" s="508"/>
      <c r="O248" s="508"/>
      <c r="P248" s="508"/>
      <c r="Q248" s="336"/>
      <c r="R248" s="336"/>
      <c r="S248" s="336"/>
      <c r="T248" s="336"/>
      <c r="U248" s="336"/>
      <c r="V248" s="336"/>
      <c r="W248" s="336"/>
      <c r="X248" s="336"/>
      <c r="Y248" s="336"/>
      <c r="Z248" s="336"/>
      <c r="AA248" s="336"/>
      <c r="AB248" s="336"/>
      <c r="AC248" s="336"/>
      <c r="AD248" s="336"/>
      <c r="AE248" s="336"/>
      <c r="AF248" s="336"/>
      <c r="AG248" s="336"/>
      <c r="AH248" s="336"/>
      <c r="AI248" s="336"/>
      <c r="AJ248" s="336"/>
      <c r="AK248" s="336"/>
      <c r="AL248" s="336"/>
      <c r="AM248" s="336"/>
      <c r="AN248" s="336"/>
      <c r="AO248" s="336"/>
      <c r="AP248" s="336"/>
      <c r="AQ248" s="336"/>
      <c r="AR248" s="336"/>
      <c r="AS248" s="336"/>
      <c r="AT248" s="336"/>
    </row>
    <row r="249" spans="1:46" ht="18" customHeight="1">
      <c r="A249" s="90"/>
      <c r="B249" s="336"/>
      <c r="C249" s="336"/>
      <c r="D249" s="336"/>
      <c r="E249" s="336"/>
      <c r="F249" s="336"/>
      <c r="G249" s="336"/>
      <c r="H249" s="336"/>
      <c r="I249" s="336"/>
      <c r="J249" s="336"/>
      <c r="K249" s="336"/>
      <c r="L249" s="336"/>
      <c r="M249" s="336"/>
      <c r="N249" s="336"/>
      <c r="O249" s="336"/>
      <c r="P249" s="336"/>
      <c r="Q249" s="336"/>
      <c r="R249" s="336"/>
      <c r="S249" s="336"/>
      <c r="T249" s="336"/>
      <c r="U249" s="336"/>
      <c r="V249" s="336"/>
      <c r="W249" s="336"/>
      <c r="X249" s="336"/>
      <c r="Y249" s="336"/>
      <c r="Z249" s="336"/>
      <c r="AA249" s="336"/>
      <c r="AB249" s="336"/>
      <c r="AC249" s="336"/>
      <c r="AD249" s="336"/>
      <c r="AE249" s="336"/>
      <c r="AF249" s="336"/>
      <c r="AG249" s="336"/>
      <c r="AH249" s="336"/>
      <c r="AI249" s="336"/>
      <c r="AJ249" s="336"/>
      <c r="AK249" s="336"/>
      <c r="AL249" s="336"/>
      <c r="AM249" s="336"/>
      <c r="AN249" s="336"/>
      <c r="AO249" s="336"/>
      <c r="AP249" s="336"/>
      <c r="AQ249" s="336"/>
      <c r="AR249" s="336"/>
      <c r="AS249" s="336"/>
      <c r="AT249" s="336"/>
    </row>
    <row r="250" spans="1:46" ht="18" customHeight="1">
      <c r="A250" s="90"/>
      <c r="B250" s="97" t="s">
        <v>789</v>
      </c>
      <c r="D250" s="336"/>
      <c r="E250" s="336"/>
      <c r="F250" s="336"/>
      <c r="G250" s="336"/>
      <c r="H250" s="336"/>
      <c r="I250" s="336"/>
      <c r="J250" s="336"/>
      <c r="K250" s="336"/>
      <c r="L250" s="336"/>
      <c r="M250" s="336"/>
      <c r="N250" s="336"/>
      <c r="O250" s="336"/>
      <c r="P250" s="336"/>
      <c r="Q250" s="348" t="s">
        <v>790</v>
      </c>
      <c r="U250" s="336"/>
      <c r="V250" s="336"/>
      <c r="W250" s="336"/>
      <c r="X250" s="336"/>
      <c r="Y250" s="336"/>
      <c r="Z250" s="336"/>
      <c r="AA250" s="336"/>
      <c r="AB250" s="336"/>
      <c r="AC250" s="336"/>
      <c r="AD250" s="336"/>
      <c r="AE250" s="336"/>
      <c r="AF250" s="336"/>
      <c r="AG250" s="336"/>
      <c r="AH250" s="336"/>
      <c r="AI250" s="336"/>
      <c r="AJ250" s="336"/>
      <c r="AK250" s="336"/>
      <c r="AL250" s="336"/>
      <c r="AM250" s="336"/>
      <c r="AN250" s="336"/>
      <c r="AO250" s="336"/>
      <c r="AP250" s="336"/>
      <c r="AQ250" s="336"/>
      <c r="AR250" s="336"/>
      <c r="AS250" s="336"/>
      <c r="AT250" s="336"/>
    </row>
    <row r="251" spans="1:46" ht="18" customHeight="1">
      <c r="A251" s="90"/>
      <c r="B251" s="79" t="s">
        <v>792</v>
      </c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36"/>
      <c r="N251" s="336"/>
      <c r="O251" s="336"/>
      <c r="P251" s="336"/>
      <c r="R251" s="348"/>
      <c r="T251" s="336"/>
      <c r="U251" s="336"/>
      <c r="V251" s="336"/>
      <c r="W251" s="336"/>
      <c r="X251" s="336"/>
      <c r="Y251" s="336"/>
      <c r="Z251" s="336"/>
      <c r="AA251" s="336"/>
      <c r="AB251" s="336"/>
      <c r="AC251" s="336"/>
      <c r="AD251" s="336"/>
      <c r="AE251" s="336"/>
      <c r="AF251" s="336"/>
      <c r="AG251" s="336"/>
      <c r="AH251" s="336"/>
      <c r="AI251" s="336"/>
      <c r="AJ251" s="336"/>
      <c r="AK251" s="336"/>
      <c r="AL251" s="336"/>
      <c r="AM251" s="336"/>
      <c r="AN251" s="336"/>
      <c r="AO251" s="336"/>
      <c r="AP251" s="336"/>
      <c r="AQ251" s="336"/>
      <c r="AR251" s="336"/>
      <c r="AS251" s="336"/>
    </row>
    <row r="252" spans="1:46" ht="18" customHeight="1">
      <c r="A252" s="90"/>
      <c r="B252" s="79" t="s">
        <v>793</v>
      </c>
      <c r="C252" s="336"/>
      <c r="D252" s="336"/>
      <c r="E252" s="336"/>
      <c r="F252" s="336"/>
      <c r="G252" s="336"/>
      <c r="H252" s="358"/>
      <c r="I252" s="358"/>
      <c r="J252" s="358"/>
      <c r="K252" s="357"/>
      <c r="L252" s="357"/>
      <c r="M252" s="357"/>
      <c r="N252" s="336"/>
      <c r="O252" s="336"/>
      <c r="Q252" s="348"/>
      <c r="S252" s="336"/>
      <c r="T252" s="336"/>
      <c r="U252" s="336"/>
      <c r="V252" s="336"/>
      <c r="W252" s="336"/>
      <c r="X252" s="336"/>
      <c r="Y252" s="336"/>
      <c r="Z252" s="336"/>
      <c r="AA252" s="336"/>
      <c r="AB252" s="336"/>
      <c r="AC252" s="336"/>
      <c r="AD252" s="336"/>
      <c r="AE252" s="336"/>
      <c r="AF252" s="336"/>
      <c r="AG252" s="336"/>
      <c r="AH252" s="336"/>
      <c r="AI252" s="336"/>
      <c r="AJ252" s="336"/>
      <c r="AK252" s="336"/>
      <c r="AL252" s="336"/>
      <c r="AM252" s="336"/>
      <c r="AN252" s="336"/>
      <c r="AO252" s="336"/>
      <c r="AP252" s="336"/>
      <c r="AQ252" s="336"/>
      <c r="AR252" s="336"/>
    </row>
    <row r="253" spans="1:46" ht="18" customHeight="1">
      <c r="A253" s="90"/>
      <c r="B253" s="79" t="s">
        <v>794</v>
      </c>
      <c r="C253" s="336"/>
      <c r="D253" s="336"/>
      <c r="E253" s="336"/>
      <c r="F253" s="336"/>
      <c r="G253" s="336"/>
      <c r="H253" s="336"/>
      <c r="I253" s="508" t="e">
        <f ca="1">S255</f>
        <v>#VALUE!</v>
      </c>
      <c r="J253" s="508"/>
      <c r="K253" s="508"/>
      <c r="L253" s="359" t="s">
        <v>795</v>
      </c>
      <c r="M253" s="359"/>
      <c r="N253" s="336"/>
      <c r="O253" s="336"/>
      <c r="P253" s="336"/>
      <c r="R253" s="348"/>
      <c r="T253" s="336"/>
      <c r="U253" s="336"/>
      <c r="V253" s="336"/>
      <c r="W253" s="336"/>
      <c r="X253" s="336"/>
      <c r="Y253" s="336"/>
      <c r="Z253" s="336"/>
      <c r="AA253" s="336"/>
      <c r="AB253" s="336"/>
      <c r="AC253" s="336"/>
      <c r="AD253" s="336"/>
      <c r="AE253" s="336"/>
      <c r="AF253" s="336"/>
      <c r="AG253" s="336"/>
      <c r="AH253" s="336"/>
      <c r="AI253" s="336"/>
      <c r="AJ253" s="336"/>
      <c r="AK253" s="336"/>
      <c r="AL253" s="336"/>
      <c r="AM253" s="336"/>
      <c r="AN253" s="336"/>
      <c r="AO253" s="336"/>
      <c r="AP253" s="336"/>
      <c r="AQ253" s="336"/>
      <c r="AR253" s="336"/>
      <c r="AS253" s="336"/>
    </row>
    <row r="254" spans="1:46" ht="18" customHeight="1">
      <c r="A254" s="90"/>
      <c r="B254" s="336" t="s">
        <v>796</v>
      </c>
      <c r="C254" s="336"/>
      <c r="D254" s="336"/>
      <c r="E254" s="336"/>
      <c r="F254" s="336"/>
      <c r="G254" s="513">
        <v>0</v>
      </c>
      <c r="H254" s="513"/>
      <c r="I254" s="513"/>
      <c r="J254" s="513"/>
      <c r="K254" s="513"/>
      <c r="L254" s="506"/>
      <c r="M254" s="506"/>
      <c r="N254" s="506"/>
      <c r="O254" s="506"/>
      <c r="P254" s="506"/>
      <c r="Q254" s="506"/>
      <c r="R254" s="348"/>
      <c r="T254" s="336"/>
      <c r="U254" s="336"/>
      <c r="V254" s="336"/>
      <c r="W254" s="336"/>
      <c r="X254" s="336"/>
      <c r="Y254" s="336"/>
      <c r="Z254" s="336"/>
      <c r="AA254" s="336"/>
      <c r="AB254" s="336"/>
      <c r="AC254" s="336"/>
      <c r="AD254" s="336"/>
      <c r="AE254" s="336"/>
      <c r="AF254" s="336"/>
      <c r="AG254" s="336"/>
      <c r="AH254" s="336"/>
      <c r="AI254" s="336"/>
      <c r="AJ254" s="336"/>
      <c r="AK254" s="336"/>
      <c r="AL254" s="336"/>
      <c r="AM254" s="336"/>
      <c r="AN254" s="336"/>
      <c r="AO254" s="336"/>
      <c r="AP254" s="336"/>
      <c r="AQ254" s="336"/>
      <c r="AR254" s="336"/>
      <c r="AS254" s="336"/>
      <c r="AT254" s="336"/>
    </row>
    <row r="255" spans="1:46" ht="18" customHeight="1">
      <c r="A255" s="90"/>
      <c r="B255" s="508" t="s">
        <v>797</v>
      </c>
      <c r="C255" s="508"/>
      <c r="D255" s="508"/>
      <c r="E255" s="508"/>
      <c r="F255" s="508"/>
      <c r="G255" s="508"/>
      <c r="H255" s="508"/>
      <c r="I255" s="512" t="s">
        <v>798</v>
      </c>
      <c r="J255" s="512"/>
      <c r="K255" s="512"/>
      <c r="L255" s="512"/>
      <c r="M255" s="512"/>
      <c r="N255" s="513" t="s">
        <v>689</v>
      </c>
      <c r="O255" s="617" t="s">
        <v>799</v>
      </c>
      <c r="P255" s="617"/>
      <c r="Q255" s="617"/>
      <c r="R255" s="513" t="s">
        <v>800</v>
      </c>
      <c r="S255" s="618" t="e">
        <f ca="1">X255*SQRT(3)*2</f>
        <v>#VALUE!</v>
      </c>
      <c r="T255" s="618"/>
      <c r="U255" s="360" t="s">
        <v>657</v>
      </c>
      <c r="V255" s="361"/>
      <c r="W255" s="517" t="s">
        <v>690</v>
      </c>
      <c r="X255" s="619" t="str">
        <f ca="1">Q154</f>
        <v>m</v>
      </c>
      <c r="Y255" s="508"/>
      <c r="Z255" s="508"/>
      <c r="AA255" s="518" t="str">
        <f>U255</f>
        <v>m</v>
      </c>
      <c r="AB255" s="518"/>
      <c r="AC255" s="518"/>
      <c r="AD255" s="91"/>
      <c r="AE255" s="99"/>
      <c r="AF255" s="99"/>
      <c r="AG255" s="99"/>
      <c r="AH255" s="99"/>
      <c r="AI255" s="99"/>
      <c r="AJ255" s="99"/>
      <c r="AK255" s="99"/>
      <c r="AL255" s="336"/>
      <c r="AM255" s="336"/>
      <c r="AN255" s="336"/>
      <c r="AO255" s="336"/>
      <c r="AP255" s="336"/>
      <c r="AQ255" s="336"/>
      <c r="AR255" s="336"/>
      <c r="AS255" s="336"/>
      <c r="AT255" s="336"/>
    </row>
    <row r="256" spans="1:46" ht="18" customHeight="1">
      <c r="A256" s="90"/>
      <c r="B256" s="508"/>
      <c r="C256" s="508"/>
      <c r="D256" s="508"/>
      <c r="E256" s="508"/>
      <c r="F256" s="508"/>
      <c r="G256" s="508"/>
      <c r="H256" s="508"/>
      <c r="I256" s="512"/>
      <c r="J256" s="512"/>
      <c r="K256" s="512"/>
      <c r="L256" s="512"/>
      <c r="M256" s="512"/>
      <c r="N256" s="513"/>
      <c r="O256" s="81"/>
      <c r="P256" s="81"/>
      <c r="Q256" s="91"/>
      <c r="R256" s="513"/>
      <c r="S256" s="352"/>
      <c r="T256" s="352"/>
      <c r="U256" s="352"/>
      <c r="V256" s="352"/>
      <c r="W256" s="517"/>
      <c r="X256" s="508"/>
      <c r="Y256" s="508"/>
      <c r="Z256" s="508"/>
      <c r="AA256" s="518"/>
      <c r="AB256" s="518"/>
      <c r="AC256" s="518"/>
      <c r="AD256" s="91"/>
      <c r="AE256" s="336"/>
      <c r="AF256" s="338"/>
      <c r="AG256" s="338"/>
      <c r="AH256" s="338"/>
      <c r="AI256" s="336"/>
      <c r="AJ256" s="100"/>
      <c r="AK256" s="338"/>
      <c r="AL256" s="338"/>
      <c r="AM256" s="338"/>
      <c r="AN256" s="332"/>
      <c r="AO256" s="332"/>
      <c r="AP256" s="336"/>
      <c r="AQ256" s="336"/>
      <c r="AR256" s="336"/>
      <c r="AS256" s="336"/>
      <c r="AT256" s="336"/>
    </row>
    <row r="257" spans="1:46" ht="18" customHeight="1">
      <c r="A257" s="90"/>
      <c r="B257" s="336" t="s">
        <v>801</v>
      </c>
      <c r="C257" s="336"/>
      <c r="D257" s="336"/>
      <c r="E257" s="336"/>
      <c r="F257" s="336"/>
      <c r="G257" s="336"/>
      <c r="H257" s="508">
        <f>Y211</f>
        <v>0</v>
      </c>
      <c r="I257" s="508"/>
      <c r="J257" s="508"/>
      <c r="K257" s="508"/>
      <c r="L257" s="508"/>
      <c r="M257" s="336"/>
      <c r="N257" s="336"/>
      <c r="O257" s="336"/>
      <c r="P257" s="336"/>
      <c r="Q257" s="336"/>
      <c r="R257" s="336"/>
      <c r="S257" s="336"/>
      <c r="T257" s="336"/>
      <c r="U257" s="336"/>
      <c r="V257" s="336"/>
      <c r="W257" s="336"/>
      <c r="X257" s="336"/>
      <c r="Y257" s="336"/>
      <c r="Z257" s="336"/>
      <c r="AA257" s="336"/>
      <c r="AB257" s="336"/>
      <c r="AC257" s="336"/>
      <c r="AD257" s="336"/>
      <c r="AE257" s="336"/>
      <c r="AF257" s="336"/>
      <c r="AG257" s="336"/>
      <c r="AH257" s="336"/>
      <c r="AI257" s="336"/>
      <c r="AJ257" s="336"/>
      <c r="AK257" s="336"/>
      <c r="AP257" s="336"/>
      <c r="AQ257" s="336"/>
      <c r="AR257" s="336"/>
      <c r="AS257" s="336"/>
      <c r="AT257" s="336"/>
    </row>
    <row r="258" spans="1:46" ht="18" customHeight="1">
      <c r="A258" s="90"/>
      <c r="B258" s="508" t="s">
        <v>802</v>
      </c>
      <c r="C258" s="508"/>
      <c r="D258" s="508"/>
      <c r="E258" s="508"/>
      <c r="F258" s="508"/>
      <c r="G258" s="508"/>
      <c r="H258" s="336"/>
      <c r="I258" s="336"/>
      <c r="J258" s="336"/>
      <c r="K258" s="336"/>
      <c r="L258" s="336"/>
      <c r="M258" s="336"/>
      <c r="N258" s="336"/>
      <c r="O258" s="336"/>
      <c r="P258" s="336"/>
      <c r="Q258" s="92"/>
      <c r="R258" s="92"/>
      <c r="S258" s="513">
        <f>AD154</f>
        <v>1</v>
      </c>
      <c r="T258" s="513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336"/>
      <c r="AH258" s="357"/>
      <c r="AI258" s="357"/>
      <c r="AJ258" s="357"/>
      <c r="AK258" s="357"/>
      <c r="AL258" s="354"/>
      <c r="AM258" s="354"/>
      <c r="AN258" s="354"/>
      <c r="AO258" s="354"/>
      <c r="AP258" s="336"/>
      <c r="AQ258" s="336"/>
      <c r="AR258" s="336"/>
      <c r="AS258" s="336"/>
      <c r="AT258" s="336"/>
    </row>
    <row r="259" spans="1:46" ht="18" customHeight="1">
      <c r="A259" s="90"/>
      <c r="B259" s="508"/>
      <c r="C259" s="508"/>
      <c r="D259" s="508"/>
      <c r="E259" s="508"/>
      <c r="F259" s="508"/>
      <c r="G259" s="508"/>
      <c r="H259" s="336"/>
      <c r="I259" s="336"/>
      <c r="J259" s="336"/>
      <c r="K259" s="336"/>
      <c r="L259" s="336"/>
      <c r="M259" s="336"/>
      <c r="N259" s="336"/>
      <c r="O259" s="336"/>
      <c r="P259" s="336"/>
      <c r="Q259" s="95"/>
      <c r="R259" s="92"/>
      <c r="S259" s="513"/>
      <c r="T259" s="513"/>
      <c r="U259" s="92"/>
      <c r="V259" s="92"/>
      <c r="W259" s="92"/>
      <c r="X259" s="92"/>
      <c r="Y259" s="98"/>
      <c r="Z259" s="336"/>
      <c r="AA259" s="336"/>
      <c r="AB259" s="336"/>
      <c r="AC259" s="336"/>
      <c r="AD259" s="92"/>
      <c r="AE259" s="92"/>
      <c r="AF259" s="92"/>
      <c r="AG259" s="336"/>
      <c r="AH259" s="357"/>
      <c r="AI259" s="357"/>
      <c r="AJ259" s="357"/>
      <c r="AK259" s="357"/>
      <c r="AL259" s="354"/>
      <c r="AM259" s="354"/>
      <c r="AN259" s="354"/>
      <c r="AO259" s="354"/>
      <c r="AP259" s="336"/>
      <c r="AQ259" s="336"/>
      <c r="AR259" s="336"/>
      <c r="AS259" s="336"/>
      <c r="AT259" s="336"/>
    </row>
    <row r="260" spans="1:46" ht="18" customHeight="1">
      <c r="A260" s="90"/>
      <c r="B260" s="336" t="s">
        <v>803</v>
      </c>
      <c r="C260" s="336"/>
      <c r="D260" s="336"/>
      <c r="E260" s="336"/>
      <c r="F260" s="336"/>
      <c r="G260" s="336"/>
      <c r="H260" s="336"/>
      <c r="I260" s="336"/>
      <c r="J260" s="337" t="s">
        <v>804</v>
      </c>
      <c r="K260" s="620">
        <f>S258</f>
        <v>1</v>
      </c>
      <c r="L260" s="620"/>
      <c r="M260" s="337" t="s">
        <v>701</v>
      </c>
      <c r="N260" s="340" t="s">
        <v>805</v>
      </c>
      <c r="O260" s="619" t="str">
        <f ca="1">X255</f>
        <v>m</v>
      </c>
      <c r="P260" s="508"/>
      <c r="Q260" s="508"/>
      <c r="R260" s="518" t="str">
        <f>AA255</f>
        <v>m</v>
      </c>
      <c r="S260" s="508"/>
      <c r="T260" s="337" t="s">
        <v>689</v>
      </c>
      <c r="U260" s="619" t="e">
        <f ca="1">ABS(K260*O260)</f>
        <v>#VALUE!</v>
      </c>
      <c r="V260" s="619"/>
      <c r="W260" s="619"/>
      <c r="X260" s="508" t="s">
        <v>806</v>
      </c>
      <c r="Y260" s="508"/>
      <c r="AF260" s="336"/>
      <c r="AG260" s="336"/>
      <c r="AH260" s="336"/>
      <c r="AI260" s="336"/>
      <c r="AJ260" s="336"/>
      <c r="AK260" s="336"/>
      <c r="AL260" s="336"/>
      <c r="AM260" s="336"/>
      <c r="AN260" s="336"/>
      <c r="AO260" s="336"/>
      <c r="AP260" s="336"/>
      <c r="AQ260" s="336"/>
      <c r="AR260" s="336"/>
      <c r="AS260" s="336"/>
      <c r="AT260" s="336"/>
    </row>
    <row r="261" spans="1:46" ht="18" customHeight="1">
      <c r="A261" s="90"/>
      <c r="B261" s="607" t="s">
        <v>807</v>
      </c>
      <c r="C261" s="607"/>
      <c r="D261" s="607"/>
      <c r="E261" s="607"/>
      <c r="F261" s="607"/>
      <c r="G261" s="86"/>
      <c r="H261" s="106"/>
      <c r="I261" s="86"/>
      <c r="J261" s="86"/>
      <c r="K261" s="86"/>
      <c r="L261" s="86"/>
      <c r="M261" s="86"/>
      <c r="N261" s="86"/>
      <c r="O261" s="86"/>
      <c r="P261" s="86"/>
      <c r="Q261" s="353"/>
      <c r="R261" s="86"/>
      <c r="S261" s="86"/>
      <c r="T261" s="86"/>
      <c r="U261" s="106"/>
      <c r="V261" s="86"/>
      <c r="X261" s="86"/>
      <c r="Y261" s="86"/>
      <c r="AA261" s="82" t="s">
        <v>738</v>
      </c>
      <c r="AB261" s="86"/>
      <c r="AC261" s="86"/>
      <c r="AD261" s="342"/>
      <c r="AE261" s="342"/>
      <c r="AF261" s="342"/>
      <c r="AG261" s="342"/>
      <c r="AH261" s="342"/>
      <c r="AI261" s="342"/>
      <c r="AJ261" s="336"/>
      <c r="AK261" s="336"/>
      <c r="AL261" s="336"/>
      <c r="AM261" s="336"/>
      <c r="AN261" s="336"/>
      <c r="AO261" s="336"/>
      <c r="AP261" s="336"/>
      <c r="AQ261" s="336"/>
      <c r="AR261" s="336"/>
      <c r="AS261" s="336"/>
      <c r="AT261" s="336"/>
    </row>
    <row r="262" spans="1:46" ht="18" customHeight="1">
      <c r="A262" s="90"/>
      <c r="B262" s="607"/>
      <c r="C262" s="607"/>
      <c r="D262" s="607"/>
      <c r="E262" s="607"/>
      <c r="F262" s="607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353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342"/>
      <c r="AE262" s="342"/>
      <c r="AF262" s="342"/>
      <c r="AG262" s="342"/>
      <c r="AH262" s="342"/>
      <c r="AI262" s="342"/>
      <c r="AJ262" s="336"/>
      <c r="AK262" s="336"/>
      <c r="AL262" s="336"/>
      <c r="AM262" s="336"/>
      <c r="AN262" s="336"/>
      <c r="AO262" s="336"/>
      <c r="AP262" s="336"/>
      <c r="AQ262" s="336"/>
      <c r="AR262" s="336"/>
      <c r="AS262" s="336"/>
      <c r="AT262" s="336"/>
    </row>
    <row r="263" spans="1:46" ht="18" customHeight="1">
      <c r="A263" s="90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6"/>
      <c r="N263" s="336"/>
      <c r="O263" s="336"/>
      <c r="P263" s="336"/>
      <c r="Q263" s="336"/>
      <c r="R263" s="336"/>
      <c r="S263" s="336"/>
      <c r="T263" s="336"/>
      <c r="U263" s="336"/>
      <c r="V263" s="336"/>
      <c r="W263" s="336"/>
      <c r="X263" s="336"/>
      <c r="Y263" s="336"/>
      <c r="Z263" s="336"/>
      <c r="AA263" s="336"/>
      <c r="AB263" s="336"/>
      <c r="AC263" s="336"/>
      <c r="AD263" s="336"/>
      <c r="AE263" s="336"/>
      <c r="AF263" s="336"/>
      <c r="AG263" s="336"/>
      <c r="AH263" s="336"/>
      <c r="AI263" s="336"/>
      <c r="AJ263" s="336"/>
      <c r="AK263" s="336"/>
      <c r="AL263" s="336"/>
      <c r="AM263" s="336"/>
      <c r="AN263" s="336"/>
      <c r="AO263" s="336"/>
      <c r="AP263" s="336"/>
      <c r="AQ263" s="336"/>
      <c r="AR263" s="336"/>
      <c r="AS263" s="336"/>
      <c r="AT263" s="336"/>
    </row>
    <row r="264" spans="1:46" ht="18" customHeight="1">
      <c r="A264" s="90"/>
      <c r="B264" s="97" t="s">
        <v>808</v>
      </c>
      <c r="D264" s="336"/>
      <c r="E264" s="336"/>
      <c r="F264" s="336"/>
      <c r="G264" s="336"/>
      <c r="H264" s="336"/>
      <c r="I264" s="336"/>
      <c r="J264" s="336"/>
      <c r="K264" s="336"/>
      <c r="L264" s="336"/>
      <c r="M264" s="336"/>
      <c r="N264" s="336"/>
      <c r="O264" s="336"/>
      <c r="P264" s="348" t="s">
        <v>809</v>
      </c>
      <c r="Q264" s="336"/>
      <c r="T264" s="336"/>
      <c r="U264" s="336"/>
      <c r="V264" s="336"/>
      <c r="W264" s="336"/>
      <c r="X264" s="336"/>
      <c r="Y264" s="336"/>
      <c r="Z264" s="336"/>
      <c r="AA264" s="336"/>
      <c r="AB264" s="336"/>
      <c r="AC264" s="336"/>
      <c r="AD264" s="336"/>
      <c r="AE264" s="336"/>
      <c r="AF264" s="336"/>
      <c r="AG264" s="336"/>
      <c r="AH264" s="336"/>
      <c r="AI264" s="336"/>
      <c r="AJ264" s="336"/>
      <c r="AK264" s="336"/>
      <c r="AL264" s="336"/>
      <c r="AM264" s="336"/>
      <c r="AN264" s="336"/>
      <c r="AO264" s="336"/>
      <c r="AP264" s="336"/>
      <c r="AQ264" s="336"/>
      <c r="AR264" s="336"/>
      <c r="AS264" s="336"/>
      <c r="AT264" s="336"/>
    </row>
    <row r="265" spans="1:46" ht="18" customHeight="1">
      <c r="A265" s="90"/>
      <c r="B265" s="79" t="s">
        <v>810</v>
      </c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R265" s="348"/>
      <c r="T265" s="336"/>
      <c r="U265" s="336"/>
      <c r="V265" s="336"/>
      <c r="W265" s="336"/>
      <c r="X265" s="336"/>
      <c r="Y265" s="336"/>
      <c r="Z265" s="336"/>
      <c r="AA265" s="336"/>
      <c r="AB265" s="336"/>
      <c r="AC265" s="336"/>
      <c r="AD265" s="336"/>
      <c r="AE265" s="336"/>
      <c r="AF265" s="336"/>
      <c r="AG265" s="336"/>
      <c r="AH265" s="336"/>
      <c r="AI265" s="336"/>
      <c r="AJ265" s="336"/>
      <c r="AK265" s="336"/>
      <c r="AL265" s="336"/>
      <c r="AM265" s="336"/>
      <c r="AN265" s="336"/>
      <c r="AO265" s="336"/>
      <c r="AP265" s="336"/>
      <c r="AQ265" s="336"/>
      <c r="AR265" s="336"/>
      <c r="AS265" s="336"/>
    </row>
    <row r="266" spans="1:46" ht="18" customHeight="1">
      <c r="A266" s="90"/>
      <c r="C266" s="79" t="s">
        <v>811</v>
      </c>
      <c r="D266" s="336"/>
      <c r="E266" s="336"/>
      <c r="F266" s="336"/>
      <c r="G266" s="336"/>
      <c r="H266" s="336"/>
      <c r="I266" s="358"/>
      <c r="J266" s="358"/>
      <c r="K266" s="358"/>
      <c r="L266" s="357"/>
      <c r="M266" s="357"/>
      <c r="N266" s="357"/>
      <c r="O266" s="336"/>
      <c r="P266" s="336"/>
      <c r="R266" s="348"/>
      <c r="T266" s="336"/>
      <c r="U266" s="336"/>
      <c r="V266" s="336"/>
      <c r="W266" s="336"/>
      <c r="X266" s="336"/>
      <c r="Y266" s="336"/>
      <c r="Z266" s="336"/>
      <c r="AA266" s="336"/>
      <c r="AB266" s="336"/>
      <c r="AC266" s="336"/>
      <c r="AD266" s="336"/>
      <c r="AE266" s="336"/>
      <c r="AF266" s="336"/>
      <c r="AG266" s="336"/>
      <c r="AH266" s="336"/>
      <c r="AI266" s="336"/>
      <c r="AJ266" s="336"/>
      <c r="AK266" s="336"/>
      <c r="AL266" s="336"/>
      <c r="AM266" s="336"/>
      <c r="AN266" s="336"/>
      <c r="AO266" s="336"/>
      <c r="AP266" s="336"/>
      <c r="AQ266" s="336"/>
      <c r="AR266" s="336"/>
      <c r="AS266" s="336"/>
    </row>
    <row r="267" spans="1:46" ht="18" customHeight="1">
      <c r="A267" s="90"/>
      <c r="D267" s="336"/>
      <c r="E267" s="336"/>
      <c r="F267" s="336"/>
      <c r="G267" s="336"/>
      <c r="H267" s="336"/>
      <c r="I267" s="336"/>
      <c r="J267" s="336"/>
      <c r="K267" s="336"/>
      <c r="L267" s="336"/>
      <c r="M267" s="359"/>
      <c r="N267" s="359"/>
      <c r="O267" s="336"/>
      <c r="P267" s="336"/>
      <c r="Q267" s="336"/>
      <c r="S267" s="362" t="s">
        <v>690</v>
      </c>
      <c r="T267" s="755">
        <f>MAX(Calcu!AA9:AA23)</f>
        <v>0</v>
      </c>
      <c r="U267" s="755"/>
      <c r="V267" s="79" t="s">
        <v>657</v>
      </c>
      <c r="W267" s="336"/>
      <c r="X267" s="336"/>
      <c r="Y267" s="336"/>
      <c r="Z267" s="336"/>
      <c r="AA267" s="336"/>
      <c r="AB267" s="336"/>
      <c r="AC267" s="336"/>
      <c r="AD267" s="336"/>
      <c r="AE267" s="336"/>
      <c r="AF267" s="336"/>
      <c r="AG267" s="336"/>
      <c r="AH267" s="336"/>
      <c r="AI267" s="336"/>
      <c r="AJ267" s="336"/>
      <c r="AK267" s="336"/>
      <c r="AL267" s="336"/>
      <c r="AM267" s="336"/>
      <c r="AN267" s="336"/>
      <c r="AO267" s="336"/>
      <c r="AP267" s="336"/>
      <c r="AQ267" s="336"/>
      <c r="AR267" s="336"/>
    </row>
    <row r="268" spans="1:46" ht="18" customHeight="1">
      <c r="A268" s="90"/>
      <c r="C268" s="79" t="s">
        <v>812</v>
      </c>
      <c r="D268" s="336"/>
      <c r="E268" s="336"/>
      <c r="F268" s="336"/>
      <c r="G268" s="336"/>
      <c r="H268" s="336"/>
      <c r="I268" s="358"/>
      <c r="J268" s="358"/>
      <c r="K268" s="358"/>
      <c r="L268" s="357"/>
      <c r="M268" s="357"/>
      <c r="N268" s="357"/>
      <c r="O268" s="336"/>
      <c r="P268" s="336"/>
      <c r="R268" s="348"/>
      <c r="T268" s="336"/>
      <c r="U268" s="336"/>
      <c r="V268" s="336"/>
      <c r="W268" s="336"/>
      <c r="X268" s="336"/>
      <c r="Y268" s="336"/>
      <c r="Z268" s="336"/>
      <c r="AA268" s="336"/>
      <c r="AB268" s="336"/>
      <c r="AC268" s="336"/>
      <c r="AD268" s="336"/>
      <c r="AE268" s="336"/>
      <c r="AF268" s="336"/>
      <c r="AG268" s="336"/>
      <c r="AH268" s="336"/>
      <c r="AI268" s="336"/>
      <c r="AJ268" s="336"/>
      <c r="AK268" s="336"/>
      <c r="AL268" s="336"/>
      <c r="AM268" s="336"/>
      <c r="AN268" s="336"/>
      <c r="AO268" s="336"/>
      <c r="AP268" s="336"/>
      <c r="AQ268" s="336"/>
      <c r="AR268" s="336"/>
      <c r="AS268" s="336"/>
    </row>
    <row r="269" spans="1:46" ht="18" customHeight="1">
      <c r="A269" s="90"/>
      <c r="D269" s="336"/>
      <c r="E269" s="336"/>
      <c r="F269" s="336"/>
      <c r="G269" s="336"/>
      <c r="H269" s="336"/>
      <c r="I269" s="336"/>
      <c r="J269" s="336"/>
      <c r="K269" s="336"/>
      <c r="L269" s="336"/>
      <c r="M269" s="359"/>
      <c r="N269" s="359"/>
      <c r="O269" s="336"/>
      <c r="P269" s="336"/>
      <c r="Q269" s="336"/>
      <c r="S269" s="362" t="s">
        <v>689</v>
      </c>
      <c r="T269" s="755">
        <f>MAX(Calcu!AA24:AA38)</f>
        <v>0</v>
      </c>
      <c r="U269" s="755"/>
      <c r="V269" s="79" t="s">
        <v>546</v>
      </c>
      <c r="W269" s="336"/>
      <c r="X269" s="336"/>
      <c r="Y269" s="336"/>
      <c r="Z269" s="336"/>
      <c r="AA269" s="336"/>
      <c r="AB269" s="336"/>
      <c r="AC269" s="336"/>
      <c r="AD269" s="336"/>
      <c r="AE269" s="336"/>
      <c r="AF269" s="336"/>
      <c r="AG269" s="336"/>
      <c r="AH269" s="336"/>
      <c r="AI269" s="336"/>
      <c r="AJ269" s="336"/>
      <c r="AK269" s="336"/>
      <c r="AL269" s="336"/>
      <c r="AM269" s="336"/>
      <c r="AN269" s="336"/>
      <c r="AO269" s="336"/>
      <c r="AP269" s="336"/>
      <c r="AQ269" s="336"/>
      <c r="AR269" s="336"/>
    </row>
    <row r="270" spans="1:46" ht="18" customHeight="1">
      <c r="A270" s="90"/>
      <c r="C270" s="79" t="s">
        <v>813</v>
      </c>
      <c r="D270" s="336"/>
      <c r="E270" s="336"/>
      <c r="F270" s="336"/>
      <c r="G270" s="336"/>
      <c r="H270" s="336"/>
      <c r="I270" s="336"/>
      <c r="J270" s="336"/>
      <c r="K270" s="336"/>
      <c r="L270" s="336"/>
      <c r="M270" s="359"/>
      <c r="N270" s="359"/>
      <c r="O270" s="336"/>
      <c r="P270" s="336"/>
      <c r="Q270" s="336"/>
      <c r="S270" s="362"/>
      <c r="W270" s="336"/>
      <c r="X270" s="336"/>
      <c r="Y270" s="336"/>
      <c r="Z270" s="336"/>
      <c r="AA270" s="336"/>
      <c r="AB270" s="336"/>
      <c r="AC270" s="336"/>
      <c r="AD270" s="336"/>
      <c r="AE270" s="336"/>
      <c r="AF270" s="336"/>
      <c r="AG270" s="336"/>
      <c r="AH270" s="336"/>
      <c r="AI270" s="336"/>
      <c r="AJ270" s="337" t="s">
        <v>690</v>
      </c>
      <c r="AK270" s="755">
        <f>MAX(T267,T269)</f>
        <v>0</v>
      </c>
      <c r="AL270" s="755"/>
      <c r="AM270" s="336" t="s">
        <v>546</v>
      </c>
      <c r="AN270" s="336"/>
      <c r="AO270" s="336"/>
      <c r="AP270" s="336"/>
      <c r="AQ270" s="336"/>
      <c r="AR270" s="336"/>
    </row>
    <row r="271" spans="1:46" ht="18" customHeight="1">
      <c r="A271" s="90"/>
      <c r="B271" s="336" t="s">
        <v>814</v>
      </c>
      <c r="C271" s="336"/>
      <c r="D271" s="336"/>
      <c r="E271" s="336"/>
      <c r="F271" s="336"/>
      <c r="G271" s="513">
        <v>0</v>
      </c>
      <c r="H271" s="513"/>
      <c r="I271" s="513"/>
      <c r="J271" s="513"/>
      <c r="K271" s="513"/>
      <c r="L271" s="506"/>
      <c r="M271" s="506"/>
      <c r="N271" s="506"/>
      <c r="O271" s="506"/>
      <c r="P271" s="506"/>
      <c r="Q271" s="506"/>
      <c r="R271" s="348"/>
      <c r="T271" s="336"/>
      <c r="U271" s="336"/>
      <c r="V271" s="336"/>
      <c r="W271" s="336"/>
      <c r="X271" s="336"/>
      <c r="Y271" s="336"/>
      <c r="Z271" s="336"/>
      <c r="AA271" s="336"/>
      <c r="AB271" s="336"/>
      <c r="AC271" s="336"/>
      <c r="AD271" s="336"/>
      <c r="AE271" s="336"/>
      <c r="AF271" s="336"/>
      <c r="AG271" s="336"/>
      <c r="AH271" s="336"/>
      <c r="AI271" s="336"/>
      <c r="AJ271" s="336"/>
      <c r="AK271" s="336"/>
      <c r="AL271" s="336"/>
      <c r="AM271" s="336"/>
      <c r="AN271" s="336"/>
      <c r="AO271" s="336"/>
      <c r="AP271" s="336"/>
      <c r="AQ271" s="336"/>
      <c r="AR271" s="336"/>
      <c r="AS271" s="336"/>
      <c r="AT271" s="336"/>
    </row>
    <row r="272" spans="1:46" ht="18" customHeight="1">
      <c r="A272" s="90"/>
      <c r="B272" s="508" t="s">
        <v>815</v>
      </c>
      <c r="C272" s="508"/>
      <c r="D272" s="508"/>
      <c r="E272" s="508"/>
      <c r="F272" s="508"/>
      <c r="G272" s="508"/>
      <c r="H272" s="508"/>
      <c r="I272" s="512" t="s">
        <v>816</v>
      </c>
      <c r="J272" s="512"/>
      <c r="K272" s="512"/>
      <c r="L272" s="513" t="s">
        <v>690</v>
      </c>
      <c r="M272" s="514" t="s">
        <v>817</v>
      </c>
      <c r="N272" s="514"/>
      <c r="O272" s="514"/>
      <c r="P272" s="513" t="s">
        <v>818</v>
      </c>
      <c r="Q272" s="618">
        <f>AK270</f>
        <v>0</v>
      </c>
      <c r="R272" s="618"/>
      <c r="S272" s="361" t="str">
        <f>AM270</f>
        <v>m</v>
      </c>
      <c r="T272" s="361"/>
      <c r="U272" s="517" t="s">
        <v>690</v>
      </c>
      <c r="V272" s="619" t="str">
        <f ca="1">Q155</f>
        <v>m</v>
      </c>
      <c r="W272" s="508"/>
      <c r="X272" s="508"/>
      <c r="Y272" s="518" t="str">
        <f>S272</f>
        <v>m</v>
      </c>
      <c r="Z272" s="518"/>
      <c r="AA272" s="518"/>
      <c r="AB272" s="336"/>
      <c r="AC272" s="91"/>
      <c r="AD272" s="91"/>
      <c r="AE272" s="99"/>
      <c r="AF272" s="99"/>
      <c r="AG272" s="99"/>
      <c r="AH272" s="99"/>
      <c r="AI272" s="99"/>
      <c r="AJ272" s="99"/>
      <c r="AK272" s="99"/>
      <c r="AL272" s="336"/>
      <c r="AM272" s="336"/>
      <c r="AN272" s="336"/>
      <c r="AO272" s="336"/>
      <c r="AP272" s="336"/>
      <c r="AQ272" s="336"/>
      <c r="AR272" s="336"/>
      <c r="AS272" s="336"/>
      <c r="AT272" s="336"/>
    </row>
    <row r="273" spans="1:46" ht="18" customHeight="1">
      <c r="A273" s="90"/>
      <c r="B273" s="508"/>
      <c r="C273" s="508"/>
      <c r="D273" s="508"/>
      <c r="E273" s="508"/>
      <c r="F273" s="508"/>
      <c r="G273" s="508"/>
      <c r="H273" s="508"/>
      <c r="I273" s="512"/>
      <c r="J273" s="512"/>
      <c r="K273" s="512"/>
      <c r="L273" s="513"/>
      <c r="M273" s="81"/>
      <c r="N273" s="81"/>
      <c r="O273" s="336"/>
      <c r="P273" s="513"/>
      <c r="Q273" s="352"/>
      <c r="R273" s="352"/>
      <c r="S273" s="352"/>
      <c r="T273" s="352"/>
      <c r="U273" s="517"/>
      <c r="V273" s="508"/>
      <c r="W273" s="508"/>
      <c r="X273" s="508"/>
      <c r="Y273" s="518"/>
      <c r="Z273" s="518"/>
      <c r="AA273" s="518"/>
      <c r="AB273" s="336"/>
      <c r="AC273" s="91"/>
      <c r="AD273" s="91"/>
      <c r="AE273" s="336"/>
      <c r="AF273" s="338"/>
      <c r="AG273" s="338"/>
      <c r="AH273" s="338"/>
      <c r="AI273" s="336"/>
      <c r="AJ273" s="100"/>
      <c r="AK273" s="338"/>
      <c r="AL273" s="338"/>
      <c r="AM273" s="338"/>
      <c r="AN273" s="332"/>
      <c r="AO273" s="332"/>
      <c r="AP273" s="336"/>
      <c r="AQ273" s="336"/>
      <c r="AR273" s="336"/>
      <c r="AS273" s="336"/>
      <c r="AT273" s="336"/>
    </row>
    <row r="274" spans="1:46" ht="18" customHeight="1">
      <c r="A274" s="90"/>
      <c r="B274" s="336" t="s">
        <v>819</v>
      </c>
      <c r="C274" s="336"/>
      <c r="D274" s="336"/>
      <c r="E274" s="336"/>
      <c r="F274" s="336"/>
      <c r="G274" s="336"/>
      <c r="H274" s="508" t="str">
        <f>Y155</f>
        <v>직사각형</v>
      </c>
      <c r="I274" s="508"/>
      <c r="J274" s="508"/>
      <c r="K274" s="508"/>
      <c r="L274" s="508"/>
      <c r="M274" s="336"/>
      <c r="N274" s="336"/>
      <c r="O274" s="336"/>
      <c r="P274" s="336"/>
      <c r="Q274" s="336"/>
      <c r="R274" s="336"/>
      <c r="S274" s="336"/>
      <c r="T274" s="336"/>
      <c r="U274" s="336"/>
      <c r="V274" s="336"/>
      <c r="W274" s="336"/>
      <c r="X274" s="336"/>
      <c r="Y274" s="336"/>
      <c r="Z274" s="336"/>
      <c r="AA274" s="336"/>
      <c r="AB274" s="336"/>
      <c r="AC274" s="336"/>
      <c r="AD274" s="336"/>
      <c r="AE274" s="336"/>
      <c r="AF274" s="336"/>
      <c r="AG274" s="336"/>
      <c r="AH274" s="336"/>
      <c r="AI274" s="336"/>
      <c r="AJ274" s="336"/>
      <c r="AK274" s="336"/>
      <c r="AP274" s="336"/>
      <c r="AQ274" s="336"/>
      <c r="AR274" s="336"/>
      <c r="AS274" s="336"/>
      <c r="AT274" s="336"/>
    </row>
    <row r="275" spans="1:46" ht="18" customHeight="1">
      <c r="A275" s="90"/>
      <c r="B275" s="508" t="s">
        <v>821</v>
      </c>
      <c r="C275" s="508"/>
      <c r="D275" s="508"/>
      <c r="E275" s="508"/>
      <c r="F275" s="508"/>
      <c r="G275" s="508"/>
      <c r="H275" s="336"/>
      <c r="I275" s="336"/>
      <c r="J275" s="336"/>
      <c r="K275" s="336"/>
      <c r="L275" s="336"/>
      <c r="M275" s="336"/>
      <c r="N275" s="756">
        <f>AD155</f>
        <v>1</v>
      </c>
      <c r="O275" s="756"/>
      <c r="P275" s="357"/>
      <c r="Q275" s="357"/>
      <c r="R275" s="354"/>
      <c r="S275" s="354"/>
      <c r="T275" s="354"/>
      <c r="U275" s="354"/>
      <c r="V275" s="336"/>
      <c r="W275" s="336"/>
      <c r="X275" s="336"/>
      <c r="Y275" s="336"/>
      <c r="Z275" s="336"/>
    </row>
    <row r="276" spans="1:46" ht="18" customHeight="1">
      <c r="A276" s="90"/>
      <c r="B276" s="508"/>
      <c r="C276" s="508"/>
      <c r="D276" s="508"/>
      <c r="E276" s="508"/>
      <c r="F276" s="508"/>
      <c r="G276" s="508"/>
      <c r="H276" s="336"/>
      <c r="I276" s="336"/>
      <c r="J276" s="336"/>
      <c r="K276" s="336"/>
      <c r="L276" s="336"/>
      <c r="M276" s="336"/>
      <c r="N276" s="756"/>
      <c r="O276" s="756"/>
      <c r="P276" s="357"/>
      <c r="Q276" s="357"/>
      <c r="R276" s="354"/>
      <c r="S276" s="354"/>
      <c r="T276" s="354"/>
      <c r="U276" s="354"/>
      <c r="V276" s="336"/>
      <c r="W276" s="336"/>
      <c r="X276" s="336"/>
      <c r="Y276" s="336"/>
      <c r="Z276" s="336"/>
    </row>
    <row r="277" spans="1:46" ht="18" customHeight="1">
      <c r="A277" s="90"/>
      <c r="B277" s="336" t="s">
        <v>822</v>
      </c>
      <c r="C277" s="336"/>
      <c r="D277" s="336"/>
      <c r="E277" s="336"/>
      <c r="F277" s="336"/>
      <c r="G277" s="336"/>
      <c r="H277" s="336"/>
      <c r="I277" s="336"/>
      <c r="J277" s="337" t="s">
        <v>701</v>
      </c>
      <c r="K277" s="620">
        <f>N275</f>
        <v>1</v>
      </c>
      <c r="L277" s="620"/>
      <c r="M277" s="337" t="s">
        <v>701</v>
      </c>
      <c r="N277" s="340" t="s">
        <v>823</v>
      </c>
      <c r="O277" s="619" t="str">
        <f ca="1">V272</f>
        <v>m</v>
      </c>
      <c r="P277" s="508"/>
      <c r="Q277" s="508"/>
      <c r="R277" s="518" t="str">
        <f>Y272</f>
        <v>m</v>
      </c>
      <c r="S277" s="508"/>
      <c r="T277" s="337" t="s">
        <v>690</v>
      </c>
      <c r="U277" s="619" t="e">
        <f ca="1">ABS(K277*O277)</f>
        <v>#VALUE!</v>
      </c>
      <c r="V277" s="619"/>
      <c r="W277" s="619"/>
      <c r="X277" s="508" t="s">
        <v>657</v>
      </c>
      <c r="Y277" s="508"/>
      <c r="AF277" s="336"/>
      <c r="AG277" s="336"/>
      <c r="AH277" s="336"/>
      <c r="AI277" s="336"/>
      <c r="AJ277" s="336"/>
      <c r="AK277" s="336"/>
      <c r="AL277" s="336"/>
      <c r="AM277" s="336"/>
      <c r="AN277" s="336"/>
      <c r="AO277" s="336"/>
      <c r="AP277" s="336"/>
      <c r="AQ277" s="336"/>
      <c r="AR277" s="336"/>
      <c r="AS277" s="336"/>
      <c r="AT277" s="336"/>
    </row>
    <row r="278" spans="1:46" ht="18" customHeight="1">
      <c r="A278" s="90"/>
      <c r="B278" s="607" t="s">
        <v>824</v>
      </c>
      <c r="C278" s="607"/>
      <c r="D278" s="607"/>
      <c r="E278" s="607"/>
      <c r="F278" s="607"/>
      <c r="G278" s="86"/>
      <c r="H278" s="106"/>
      <c r="I278" s="86"/>
      <c r="J278" s="86"/>
      <c r="K278" s="86"/>
      <c r="L278" s="86"/>
      <c r="M278" s="86"/>
      <c r="N278" s="86"/>
      <c r="O278" s="86"/>
      <c r="P278" s="86"/>
      <c r="Q278" s="353"/>
      <c r="R278" s="86"/>
      <c r="S278" s="86"/>
      <c r="T278" s="86"/>
      <c r="U278" s="106"/>
      <c r="V278" s="86"/>
      <c r="W278" s="82" t="s">
        <v>738</v>
      </c>
      <c r="X278" s="86"/>
      <c r="Y278" s="86"/>
      <c r="Z278" s="86"/>
      <c r="AA278" s="86"/>
      <c r="AB278" s="86"/>
      <c r="AC278" s="86"/>
      <c r="AD278" s="342"/>
      <c r="AE278" s="342"/>
      <c r="AF278" s="342"/>
      <c r="AG278" s="342"/>
      <c r="AH278" s="342"/>
      <c r="AI278" s="342"/>
      <c r="AJ278" s="336"/>
      <c r="AK278" s="336"/>
      <c r="AL278" s="336"/>
      <c r="AM278" s="336"/>
      <c r="AN278" s="336"/>
      <c r="AO278" s="336"/>
      <c r="AP278" s="336"/>
      <c r="AQ278" s="336"/>
      <c r="AR278" s="336"/>
      <c r="AS278" s="336"/>
      <c r="AT278" s="336"/>
    </row>
    <row r="279" spans="1:46" ht="18" customHeight="1">
      <c r="A279" s="90"/>
      <c r="B279" s="607"/>
      <c r="C279" s="607"/>
      <c r="D279" s="607"/>
      <c r="E279" s="607"/>
      <c r="F279" s="607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353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342"/>
      <c r="AE279" s="342"/>
      <c r="AF279" s="342"/>
      <c r="AG279" s="342"/>
      <c r="AH279" s="342"/>
      <c r="AI279" s="342"/>
      <c r="AJ279" s="336"/>
      <c r="AK279" s="336"/>
      <c r="AL279" s="336"/>
      <c r="AM279" s="336"/>
      <c r="AN279" s="336"/>
      <c r="AO279" s="336"/>
      <c r="AP279" s="336"/>
      <c r="AQ279" s="336"/>
      <c r="AR279" s="336"/>
      <c r="AS279" s="336"/>
      <c r="AT279" s="336"/>
    </row>
    <row r="280" spans="1:46" ht="18" customHeight="1">
      <c r="A280" s="90"/>
      <c r="B280" s="336"/>
      <c r="C280" s="336"/>
      <c r="D280" s="336"/>
      <c r="E280" s="336"/>
      <c r="F280" s="336"/>
      <c r="G280" s="336"/>
      <c r="H280" s="336"/>
      <c r="I280" s="336"/>
      <c r="J280" s="336"/>
      <c r="K280" s="95"/>
      <c r="L280" s="338"/>
      <c r="M280" s="338"/>
      <c r="N280" s="338"/>
      <c r="O280" s="332"/>
      <c r="P280" s="332"/>
      <c r="Q280" s="340"/>
      <c r="R280" s="338"/>
      <c r="S280" s="338"/>
      <c r="T280" s="338"/>
      <c r="U280" s="332"/>
      <c r="V280" s="332"/>
      <c r="W280" s="338"/>
      <c r="X280" s="338"/>
      <c r="Y280" s="336"/>
      <c r="Z280" s="336"/>
      <c r="AA280" s="336"/>
      <c r="AB280" s="336"/>
      <c r="AC280" s="336"/>
      <c r="AD280" s="336"/>
      <c r="AE280" s="336"/>
      <c r="AF280" s="336"/>
      <c r="AG280" s="336"/>
      <c r="AH280" s="336"/>
      <c r="AI280" s="336"/>
      <c r="AJ280" s="336"/>
      <c r="AK280" s="336"/>
      <c r="AL280" s="336"/>
      <c r="AM280" s="336"/>
      <c r="AN280" s="336"/>
      <c r="AO280" s="336"/>
      <c r="AP280" s="336"/>
      <c r="AQ280" s="336"/>
      <c r="AR280" s="336"/>
      <c r="AS280" s="336"/>
      <c r="AT280" s="336"/>
    </row>
    <row r="281" spans="1:46" ht="18" customHeight="1">
      <c r="A281" s="90"/>
      <c r="B281" s="97" t="s">
        <v>826</v>
      </c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Q281" s="336"/>
      <c r="R281" s="348" t="s">
        <v>827</v>
      </c>
      <c r="T281" s="336"/>
      <c r="U281" s="336"/>
      <c r="V281" s="336"/>
      <c r="W281" s="336"/>
      <c r="X281" s="336"/>
      <c r="Y281" s="336"/>
      <c r="Z281" s="336"/>
      <c r="AA281" s="336"/>
      <c r="AB281" s="336"/>
      <c r="AC281" s="336"/>
      <c r="AD281" s="336"/>
      <c r="AE281" s="336"/>
      <c r="AF281" s="336"/>
      <c r="AG281" s="336"/>
      <c r="AH281" s="336"/>
      <c r="AI281" s="336"/>
      <c r="AJ281" s="336"/>
      <c r="AK281" s="336"/>
      <c r="AL281" s="336"/>
      <c r="AM281" s="336"/>
      <c r="AN281" s="336"/>
      <c r="AO281" s="336"/>
      <c r="AP281" s="336"/>
      <c r="AQ281" s="336"/>
      <c r="AR281" s="336"/>
      <c r="AS281" s="336"/>
      <c r="AT281" s="336"/>
    </row>
    <row r="282" spans="1:46" ht="18" customHeight="1">
      <c r="A282" s="90"/>
      <c r="B282" s="79" t="s">
        <v>828</v>
      </c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R282" s="348"/>
      <c r="T282" s="336"/>
      <c r="U282" s="336"/>
      <c r="V282" s="336"/>
      <c r="W282" s="336"/>
      <c r="X282" s="336"/>
      <c r="Y282" s="336"/>
      <c r="Z282" s="336"/>
      <c r="AA282" s="336"/>
      <c r="AB282" s="336"/>
      <c r="AC282" s="336"/>
      <c r="AD282" s="336"/>
      <c r="AE282" s="336"/>
      <c r="AF282" s="336"/>
      <c r="AG282" s="336"/>
      <c r="AH282" s="336"/>
      <c r="AI282" s="336"/>
      <c r="AJ282" s="336"/>
      <c r="AK282" s="336"/>
      <c r="AL282" s="336"/>
      <c r="AM282" s="336"/>
      <c r="AN282" s="336"/>
      <c r="AO282" s="336"/>
      <c r="AP282" s="336"/>
      <c r="AQ282" s="336"/>
      <c r="AR282" s="336"/>
      <c r="AS282" s="336"/>
    </row>
    <row r="283" spans="1:46" ht="18" customHeight="1">
      <c r="A283" s="90"/>
      <c r="C283" s="79" t="s">
        <v>829</v>
      </c>
      <c r="D283" s="336"/>
      <c r="E283" s="336"/>
      <c r="F283" s="336"/>
      <c r="G283" s="336"/>
      <c r="H283" s="336"/>
      <c r="I283" s="358"/>
      <c r="J283" s="358"/>
      <c r="K283" s="358"/>
      <c r="L283" s="357"/>
      <c r="M283" s="357"/>
      <c r="N283" s="357"/>
      <c r="O283" s="336"/>
      <c r="P283" s="336"/>
      <c r="R283" s="348"/>
      <c r="T283" s="336"/>
      <c r="U283" s="362" t="s">
        <v>690</v>
      </c>
      <c r="V283" s="755">
        <f ca="1">OFFSET(Calcu!N44,$AL$5,0)</f>
        <v>0</v>
      </c>
      <c r="W283" s="755"/>
      <c r="X283" s="79" t="s">
        <v>806</v>
      </c>
      <c r="Y283" s="336"/>
      <c r="Z283" s="336"/>
      <c r="AA283" s="336"/>
      <c r="AB283" s="336"/>
      <c r="AC283" s="336"/>
      <c r="AD283" s="336"/>
      <c r="AE283" s="336"/>
      <c r="AF283" s="336"/>
      <c r="AG283" s="336"/>
      <c r="AH283" s="336"/>
      <c r="AI283" s="336"/>
      <c r="AJ283" s="336"/>
      <c r="AK283" s="336"/>
      <c r="AL283" s="336"/>
      <c r="AM283" s="336"/>
      <c r="AN283" s="336"/>
      <c r="AO283" s="336"/>
      <c r="AP283" s="336"/>
      <c r="AQ283" s="336"/>
      <c r="AR283" s="336"/>
      <c r="AS283" s="336"/>
    </row>
    <row r="284" spans="1:46" ht="18" customHeight="1">
      <c r="A284" s="90"/>
      <c r="B284" s="336" t="s">
        <v>830</v>
      </c>
      <c r="C284" s="336"/>
      <c r="D284" s="336"/>
      <c r="E284" s="336"/>
      <c r="F284" s="336"/>
      <c r="G284" s="513">
        <v>0</v>
      </c>
      <c r="H284" s="513"/>
      <c r="I284" s="513"/>
      <c r="J284" s="513"/>
      <c r="K284" s="513"/>
      <c r="L284" s="506"/>
      <c r="M284" s="506"/>
      <c r="N284" s="506"/>
      <c r="O284" s="506"/>
      <c r="P284" s="506"/>
      <c r="Q284" s="506"/>
      <c r="R284" s="348"/>
      <c r="T284" s="336"/>
      <c r="U284" s="336"/>
      <c r="V284" s="336"/>
      <c r="W284" s="336"/>
      <c r="X284" s="336"/>
      <c r="Y284" s="336"/>
      <c r="Z284" s="336"/>
      <c r="AA284" s="336"/>
      <c r="AB284" s="336"/>
      <c r="AC284" s="336"/>
      <c r="AD284" s="336"/>
      <c r="AE284" s="336"/>
      <c r="AF284" s="336"/>
      <c r="AG284" s="336"/>
      <c r="AH284" s="336"/>
      <c r="AI284" s="336"/>
      <c r="AJ284" s="336"/>
      <c r="AK284" s="336"/>
      <c r="AL284" s="336"/>
      <c r="AM284" s="336"/>
      <c r="AN284" s="336"/>
      <c r="AO284" s="336"/>
      <c r="AP284" s="336"/>
      <c r="AQ284" s="336"/>
      <c r="AR284" s="336"/>
      <c r="AS284" s="336"/>
      <c r="AT284" s="336"/>
    </row>
    <row r="285" spans="1:46" ht="18" customHeight="1">
      <c r="A285" s="90"/>
      <c r="B285" s="508" t="s">
        <v>831</v>
      </c>
      <c r="C285" s="508"/>
      <c r="D285" s="508"/>
      <c r="E285" s="508"/>
      <c r="F285" s="508"/>
      <c r="G285" s="508"/>
      <c r="H285" s="508"/>
      <c r="I285" s="512" t="s">
        <v>832</v>
      </c>
      <c r="J285" s="512"/>
      <c r="K285" s="512"/>
      <c r="L285" s="513" t="s">
        <v>800</v>
      </c>
      <c r="M285" s="514" t="s">
        <v>833</v>
      </c>
      <c r="N285" s="514"/>
      <c r="O285" s="514"/>
      <c r="P285" s="513" t="s">
        <v>689</v>
      </c>
      <c r="Q285" s="618">
        <f ca="1">V283</f>
        <v>0</v>
      </c>
      <c r="R285" s="618"/>
      <c r="S285" s="361" t="str">
        <f>X283</f>
        <v>m</v>
      </c>
      <c r="T285" s="361"/>
      <c r="U285" s="517" t="s">
        <v>690</v>
      </c>
      <c r="V285" s="619">
        <f ca="1">Q285/2/SQRT(3)</f>
        <v>0</v>
      </c>
      <c r="W285" s="508"/>
      <c r="X285" s="508"/>
      <c r="Y285" s="518" t="str">
        <f>S285</f>
        <v>m</v>
      </c>
      <c r="Z285" s="518"/>
      <c r="AA285" s="518"/>
      <c r="AB285" s="336"/>
      <c r="AC285" s="91"/>
      <c r="AD285" s="91"/>
      <c r="AE285" s="99"/>
      <c r="AF285" s="99"/>
      <c r="AG285" s="99"/>
      <c r="AH285" s="99"/>
      <c r="AI285" s="99"/>
      <c r="AJ285" s="99"/>
      <c r="AK285" s="99"/>
      <c r="AL285" s="336"/>
      <c r="AM285" s="336"/>
      <c r="AN285" s="336"/>
      <c r="AO285" s="336"/>
      <c r="AP285" s="336"/>
      <c r="AQ285" s="336"/>
      <c r="AR285" s="336"/>
      <c r="AS285" s="336"/>
      <c r="AT285" s="336"/>
    </row>
    <row r="286" spans="1:46" ht="18" customHeight="1">
      <c r="A286" s="90"/>
      <c r="B286" s="508"/>
      <c r="C286" s="508"/>
      <c r="D286" s="508"/>
      <c r="E286" s="508"/>
      <c r="F286" s="508"/>
      <c r="G286" s="508"/>
      <c r="H286" s="508"/>
      <c r="I286" s="512"/>
      <c r="J286" s="512"/>
      <c r="K286" s="512"/>
      <c r="L286" s="513"/>
      <c r="M286" s="81"/>
      <c r="N286" s="81"/>
      <c r="O286" s="336"/>
      <c r="P286" s="513"/>
      <c r="Q286" s="352"/>
      <c r="R286" s="352"/>
      <c r="S286" s="352"/>
      <c r="T286" s="352"/>
      <c r="U286" s="517"/>
      <c r="V286" s="508"/>
      <c r="W286" s="508"/>
      <c r="X286" s="508"/>
      <c r="Y286" s="518"/>
      <c r="Z286" s="518"/>
      <c r="AA286" s="518"/>
      <c r="AB286" s="336"/>
      <c r="AC286" s="91"/>
      <c r="AD286" s="91"/>
      <c r="AE286" s="336"/>
      <c r="AF286" s="338"/>
      <c r="AG286" s="338"/>
      <c r="AH286" s="338"/>
      <c r="AI286" s="336"/>
      <c r="AJ286" s="100"/>
      <c r="AK286" s="338"/>
      <c r="AL286" s="338"/>
      <c r="AM286" s="338"/>
      <c r="AN286" s="332"/>
      <c r="AO286" s="332"/>
      <c r="AP286" s="336"/>
      <c r="AQ286" s="336"/>
      <c r="AR286" s="336"/>
      <c r="AS286" s="336"/>
      <c r="AT286" s="336"/>
    </row>
    <row r="287" spans="1:46" ht="18" customHeight="1">
      <c r="A287" s="90"/>
      <c r="B287" s="336" t="s">
        <v>834</v>
      </c>
      <c r="C287" s="336"/>
      <c r="D287" s="336"/>
      <c r="E287" s="336"/>
      <c r="F287" s="336"/>
      <c r="G287" s="336"/>
      <c r="H287" s="508" t="str">
        <f>Y156</f>
        <v>직사각형</v>
      </c>
      <c r="I287" s="508"/>
      <c r="J287" s="508"/>
      <c r="K287" s="508"/>
      <c r="L287" s="508"/>
      <c r="M287" s="336"/>
      <c r="N287" s="336"/>
      <c r="O287" s="336"/>
      <c r="P287" s="336"/>
      <c r="Q287" s="336"/>
      <c r="R287" s="336"/>
      <c r="S287" s="336"/>
      <c r="T287" s="336"/>
      <c r="U287" s="336"/>
      <c r="V287" s="336"/>
      <c r="W287" s="336"/>
      <c r="X287" s="336"/>
      <c r="Y287" s="336"/>
      <c r="Z287" s="336"/>
      <c r="AA287" s="336"/>
      <c r="AB287" s="336"/>
      <c r="AC287" s="336"/>
      <c r="AD287" s="336"/>
      <c r="AE287" s="336"/>
      <c r="AF287" s="336"/>
      <c r="AG287" s="336"/>
      <c r="AH287" s="336"/>
      <c r="AI287" s="336"/>
      <c r="AJ287" s="336"/>
      <c r="AK287" s="336"/>
      <c r="AP287" s="336"/>
      <c r="AQ287" s="336"/>
      <c r="AR287" s="336"/>
      <c r="AS287" s="336"/>
      <c r="AT287" s="336"/>
    </row>
    <row r="288" spans="1:46" ht="18" customHeight="1">
      <c r="A288" s="90"/>
      <c r="B288" s="508" t="s">
        <v>835</v>
      </c>
      <c r="C288" s="508"/>
      <c r="D288" s="508"/>
      <c r="E288" s="508"/>
      <c r="F288" s="508"/>
      <c r="G288" s="508"/>
      <c r="H288" s="336"/>
      <c r="I288" s="336"/>
      <c r="J288" s="336"/>
      <c r="K288" s="336"/>
      <c r="L288" s="336"/>
      <c r="M288" s="336"/>
      <c r="N288" s="620">
        <f>AD156</f>
        <v>1</v>
      </c>
      <c r="O288" s="620"/>
      <c r="P288" s="357"/>
      <c r="Q288" s="357"/>
      <c r="R288" s="354"/>
      <c r="S288" s="354"/>
      <c r="T288" s="354"/>
      <c r="U288" s="354"/>
      <c r="V288" s="336"/>
      <c r="W288" s="336"/>
      <c r="X288" s="336"/>
      <c r="Y288" s="336"/>
      <c r="Z288" s="336"/>
    </row>
    <row r="289" spans="1:48" ht="18" customHeight="1">
      <c r="A289" s="90"/>
      <c r="B289" s="508"/>
      <c r="C289" s="508"/>
      <c r="D289" s="508"/>
      <c r="E289" s="508"/>
      <c r="F289" s="508"/>
      <c r="G289" s="508"/>
      <c r="H289" s="336"/>
      <c r="I289" s="336"/>
      <c r="J289" s="336"/>
      <c r="K289" s="336"/>
      <c r="L289" s="336"/>
      <c r="M289" s="336"/>
      <c r="N289" s="620"/>
      <c r="O289" s="620"/>
      <c r="P289" s="357"/>
      <c r="Q289" s="357"/>
      <c r="R289" s="354"/>
      <c r="S289" s="354"/>
      <c r="T289" s="354"/>
      <c r="U289" s="354"/>
      <c r="V289" s="336"/>
      <c r="W289" s="336"/>
      <c r="X289" s="336"/>
      <c r="Y289" s="336"/>
      <c r="Z289" s="336"/>
    </row>
    <row r="290" spans="1:48" ht="18" customHeight="1">
      <c r="A290" s="90"/>
      <c r="B290" s="336" t="s">
        <v>836</v>
      </c>
      <c r="C290" s="336"/>
      <c r="D290" s="336"/>
      <c r="E290" s="336"/>
      <c r="F290" s="336"/>
      <c r="G290" s="336"/>
      <c r="H290" s="336"/>
      <c r="I290" s="336"/>
      <c r="J290" s="337" t="s">
        <v>721</v>
      </c>
      <c r="K290" s="620">
        <f>N288</f>
        <v>1</v>
      </c>
      <c r="L290" s="620"/>
      <c r="M290" s="337" t="s">
        <v>721</v>
      </c>
      <c r="N290" s="340" t="s">
        <v>693</v>
      </c>
      <c r="O290" s="619">
        <f ca="1">V285</f>
        <v>0</v>
      </c>
      <c r="P290" s="508"/>
      <c r="Q290" s="508"/>
      <c r="R290" s="518" t="str">
        <f>Y285</f>
        <v>m</v>
      </c>
      <c r="S290" s="508"/>
      <c r="T290" s="337" t="s">
        <v>690</v>
      </c>
      <c r="U290" s="619">
        <f ca="1">ABS(K290*O290)</f>
        <v>0</v>
      </c>
      <c r="V290" s="619"/>
      <c r="W290" s="619"/>
      <c r="X290" s="508" t="s">
        <v>795</v>
      </c>
      <c r="Y290" s="508"/>
      <c r="AF290" s="336"/>
      <c r="AG290" s="336"/>
      <c r="AH290" s="336"/>
      <c r="AI290" s="336"/>
      <c r="AJ290" s="336"/>
      <c r="AK290" s="336"/>
      <c r="AL290" s="336"/>
      <c r="AM290" s="336"/>
      <c r="AN290" s="336"/>
      <c r="AO290" s="336"/>
      <c r="AP290" s="336"/>
      <c r="AQ290" s="336"/>
      <c r="AR290" s="336"/>
      <c r="AS290" s="336"/>
      <c r="AT290" s="336"/>
    </row>
    <row r="291" spans="1:48" ht="18" customHeight="1">
      <c r="A291" s="90"/>
      <c r="B291" s="607" t="s">
        <v>837</v>
      </c>
      <c r="C291" s="607"/>
      <c r="D291" s="607"/>
      <c r="E291" s="607"/>
      <c r="F291" s="607"/>
      <c r="G291" s="86"/>
      <c r="H291" s="106"/>
      <c r="I291" s="86"/>
      <c r="J291" s="86"/>
      <c r="K291" s="86"/>
      <c r="L291" s="86"/>
      <c r="M291" s="86"/>
      <c r="N291" s="86"/>
      <c r="O291" s="86"/>
      <c r="P291" s="86"/>
      <c r="Q291" s="353"/>
      <c r="R291" s="86"/>
      <c r="S291" s="86"/>
      <c r="T291" s="86"/>
      <c r="U291" s="106"/>
      <c r="V291" s="86"/>
      <c r="X291" s="82" t="s">
        <v>838</v>
      </c>
      <c r="Y291" s="86"/>
      <c r="Z291" s="86"/>
      <c r="AA291" s="86"/>
      <c r="AB291" s="86"/>
      <c r="AC291" s="86"/>
      <c r="AD291" s="342"/>
      <c r="AE291" s="342"/>
      <c r="AF291" s="342"/>
      <c r="AG291" s="342"/>
      <c r="AH291" s="342"/>
      <c r="AI291" s="342"/>
      <c r="AJ291" s="336"/>
      <c r="AK291" s="336"/>
      <c r="AL291" s="336"/>
      <c r="AM291" s="336"/>
      <c r="AN291" s="336"/>
      <c r="AO291" s="336"/>
      <c r="AP291" s="336"/>
      <c r="AQ291" s="336"/>
      <c r="AR291" s="336"/>
      <c r="AS291" s="336"/>
      <c r="AT291" s="336"/>
    </row>
    <row r="292" spans="1:48" ht="18" customHeight="1">
      <c r="A292" s="90"/>
      <c r="B292" s="607"/>
      <c r="C292" s="607"/>
      <c r="D292" s="607"/>
      <c r="E292" s="607"/>
      <c r="F292" s="607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353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342"/>
      <c r="AE292" s="342"/>
      <c r="AF292" s="342"/>
      <c r="AG292" s="342"/>
      <c r="AH292" s="342"/>
      <c r="AI292" s="342"/>
      <c r="AJ292" s="336"/>
      <c r="AK292" s="336"/>
      <c r="AL292" s="336"/>
      <c r="AM292" s="336"/>
      <c r="AN292" s="336"/>
      <c r="AO292" s="336"/>
      <c r="AP292" s="336"/>
      <c r="AQ292" s="336"/>
      <c r="AR292" s="336"/>
      <c r="AS292" s="336"/>
      <c r="AT292" s="336"/>
    </row>
    <row r="293" spans="1:48" ht="18" customHeight="1">
      <c r="A293" s="90"/>
      <c r="B293" s="336"/>
      <c r="C293" s="336"/>
      <c r="D293" s="336"/>
      <c r="E293" s="336"/>
      <c r="F293" s="336"/>
      <c r="G293" s="336"/>
      <c r="H293" s="336"/>
      <c r="I293" s="336"/>
      <c r="J293" s="336"/>
      <c r="K293" s="96"/>
      <c r="L293" s="336"/>
      <c r="M293" s="336"/>
      <c r="N293" s="336"/>
      <c r="O293" s="336"/>
      <c r="P293" s="336"/>
      <c r="Q293" s="336"/>
      <c r="R293" s="336"/>
      <c r="S293" s="336"/>
      <c r="T293" s="336"/>
      <c r="U293" s="336"/>
      <c r="V293" s="336"/>
      <c r="W293" s="336"/>
      <c r="X293" s="336"/>
      <c r="Y293" s="336"/>
      <c r="Z293" s="336"/>
      <c r="AA293" s="336"/>
      <c r="AB293" s="336"/>
      <c r="AC293" s="336"/>
      <c r="AD293" s="336"/>
      <c r="AE293" s="336"/>
      <c r="AF293" s="336"/>
      <c r="AG293" s="336"/>
      <c r="AH293" s="336"/>
      <c r="AI293" s="336"/>
      <c r="AJ293" s="336"/>
      <c r="AK293" s="336"/>
      <c r="AL293" s="336"/>
      <c r="AM293" s="336"/>
      <c r="AN293" s="336"/>
      <c r="AO293" s="336"/>
      <c r="AP293" s="336"/>
      <c r="AQ293" s="336"/>
      <c r="AR293" s="336"/>
      <c r="AS293" s="336"/>
      <c r="AT293" s="336"/>
    </row>
    <row r="294" spans="1:48" s="102" customFormat="1" ht="18.75" customHeight="1">
      <c r="A294" s="90" t="s">
        <v>839</v>
      </c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2"/>
      <c r="P294" s="342"/>
      <c r="Q294" s="342"/>
      <c r="R294" s="342"/>
      <c r="S294" s="342"/>
      <c r="T294" s="342"/>
      <c r="U294" s="101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342"/>
      <c r="AJ294" s="86"/>
      <c r="AK294" s="86"/>
      <c r="AL294" s="86"/>
      <c r="AM294" s="86"/>
      <c r="AN294" s="86"/>
      <c r="AO294" s="342"/>
      <c r="AP294" s="342"/>
      <c r="AQ294" s="342"/>
      <c r="AR294" s="342"/>
      <c r="AS294" s="342"/>
      <c r="AT294" s="342"/>
    </row>
    <row r="295" spans="1:48" s="102" customFormat="1" ht="18.75" customHeight="1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42"/>
      <c r="AB295" s="342"/>
      <c r="AC295" s="342"/>
      <c r="AD295" s="342"/>
      <c r="AE295" s="342"/>
      <c r="AF295" s="342"/>
      <c r="AG295" s="86"/>
      <c r="AH295" s="342"/>
      <c r="AI295" s="342"/>
      <c r="AJ295" s="342"/>
      <c r="AK295" s="342"/>
      <c r="AL295" s="342"/>
      <c r="AM295" s="342"/>
      <c r="AN295" s="342"/>
      <c r="AO295" s="342"/>
      <c r="AP295" s="342"/>
      <c r="AQ295" s="342"/>
      <c r="AR295" s="342"/>
      <c r="AS295" s="342"/>
      <c r="AT295" s="342"/>
    </row>
    <row r="296" spans="1:48" s="102" customFormat="1" ht="18.75" customHeight="1">
      <c r="A296" s="86"/>
      <c r="B296" s="86"/>
      <c r="C296" s="86"/>
      <c r="D296" s="86"/>
      <c r="E296" s="342" t="s">
        <v>840</v>
      </c>
      <c r="F296" s="86"/>
      <c r="G296" s="608" t="e">
        <f ca="1">AL148</f>
        <v>#VALUE!</v>
      </c>
      <c r="H296" s="608"/>
      <c r="I296" s="608"/>
      <c r="J296" s="105" t="str">
        <f>AP148</f>
        <v>m</v>
      </c>
      <c r="K296" s="363"/>
      <c r="L296" s="364"/>
      <c r="M296" s="608" t="e">
        <f ca="1">AL152</f>
        <v>#VALUE!</v>
      </c>
      <c r="N296" s="608"/>
      <c r="O296" s="608"/>
      <c r="P296" s="365" t="str">
        <f>AP152</f>
        <v>m</v>
      </c>
      <c r="Q296" s="366"/>
      <c r="R296" s="103"/>
      <c r="S296" s="103"/>
      <c r="T296" s="104"/>
      <c r="U296" s="103"/>
      <c r="V296" s="103"/>
      <c r="W296" s="103"/>
      <c r="X296" s="103"/>
      <c r="Y296" s="103"/>
      <c r="Z296" s="103"/>
      <c r="AA296" s="103"/>
      <c r="AB296" s="103"/>
      <c r="AC296" s="104"/>
      <c r="AD296" s="103"/>
      <c r="AE296" s="103"/>
      <c r="AF296" s="103"/>
      <c r="AG296" s="103"/>
      <c r="AH296" s="103"/>
      <c r="AI296" s="103"/>
      <c r="AJ296" s="103"/>
      <c r="AK296" s="104"/>
      <c r="AL296" s="103"/>
      <c r="AM296" s="103"/>
      <c r="AN296" s="103"/>
      <c r="AO296" s="103"/>
      <c r="AP296" s="103"/>
      <c r="AQ296" s="103"/>
      <c r="AR296" s="103"/>
      <c r="AS296" s="105"/>
      <c r="AT296" s="86"/>
    </row>
    <row r="297" spans="1:48" s="106" customFormat="1" ht="18.75" customHeight="1">
      <c r="A297" s="86"/>
      <c r="B297" s="86"/>
      <c r="C297" s="86"/>
      <c r="D297" s="86"/>
      <c r="E297" s="342" t="s">
        <v>198</v>
      </c>
      <c r="F297" s="609" t="e">
        <f ca="1">AL157</f>
        <v>#VALUE!</v>
      </c>
      <c r="G297" s="610"/>
      <c r="H297" s="610"/>
      <c r="I297" s="367" t="str">
        <f>AP157</f>
        <v>m</v>
      </c>
      <c r="J297" s="367"/>
      <c r="K297" s="240"/>
      <c r="L297" s="103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86"/>
      <c r="Z297" s="86"/>
      <c r="AA297" s="86"/>
      <c r="AB297" s="86"/>
      <c r="AC297" s="86"/>
      <c r="AD297" s="86"/>
      <c r="AE297" s="342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</row>
    <row r="298" spans="1:48" s="86" customFormat="1" ht="18.75" customHeight="1">
      <c r="E298" s="342"/>
      <c r="F298" s="107"/>
      <c r="G298" s="107"/>
      <c r="H298" s="107"/>
      <c r="I298" s="107"/>
    </row>
    <row r="299" spans="1:48" s="83" customFormat="1" ht="17.25" customHeight="1">
      <c r="A299" s="90" t="s">
        <v>841</v>
      </c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2"/>
      <c r="AN299" s="82"/>
      <c r="AO299" s="82"/>
      <c r="AP299" s="82"/>
      <c r="AQ299" s="82"/>
      <c r="AR299" s="82"/>
      <c r="AS299" s="82"/>
      <c r="AT299" s="82"/>
    </row>
    <row r="300" spans="1:48" s="83" customFormat="1" ht="17.2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611" t="e">
        <f ca="1">F297</f>
        <v>#VALUE!</v>
      </c>
      <c r="M300" s="611"/>
      <c r="N300" s="611"/>
      <c r="O300" s="611"/>
      <c r="P300" s="611"/>
      <c r="Q300" s="611"/>
      <c r="R300" s="611"/>
      <c r="S300" s="611"/>
      <c r="T300" s="611"/>
      <c r="U300" s="611"/>
      <c r="V300" s="611"/>
      <c r="W300" s="612" t="s">
        <v>842</v>
      </c>
      <c r="X300" s="613">
        <f ca="1">AT157</f>
        <v>0</v>
      </c>
      <c r="Y300" s="613"/>
      <c r="Z300" s="613"/>
      <c r="AA300" s="613"/>
      <c r="AB300" s="613"/>
      <c r="AC300" s="613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2"/>
      <c r="AP300" s="82"/>
      <c r="AQ300" s="82"/>
      <c r="AR300" s="82"/>
      <c r="AS300" s="82"/>
      <c r="AT300" s="82"/>
      <c r="AU300" s="82"/>
      <c r="AV300" s="82"/>
    </row>
    <row r="301" spans="1:48" s="83" customFormat="1" ht="17.2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614" t="e">
        <f ca="1">G296</f>
        <v>#VALUE!</v>
      </c>
      <c r="M301" s="614"/>
      <c r="N301" s="614"/>
      <c r="O301" s="614"/>
      <c r="P301" s="614"/>
      <c r="Q301" s="615" t="s">
        <v>843</v>
      </c>
      <c r="R301" s="614" t="e">
        <f ca="1">M296</f>
        <v>#VALUE!</v>
      </c>
      <c r="S301" s="614"/>
      <c r="T301" s="614"/>
      <c r="U301" s="614"/>
      <c r="V301" s="614"/>
      <c r="W301" s="612"/>
      <c r="X301" s="613"/>
      <c r="Y301" s="613"/>
      <c r="Z301" s="613"/>
      <c r="AA301" s="613"/>
      <c r="AB301" s="613"/>
      <c r="AC301" s="613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2"/>
      <c r="AP301" s="82"/>
      <c r="AQ301" s="82"/>
      <c r="AR301" s="82"/>
      <c r="AS301" s="82"/>
      <c r="AT301" s="82"/>
      <c r="AU301" s="82"/>
      <c r="AV301" s="82"/>
    </row>
    <row r="302" spans="1:48" s="83" customFormat="1" ht="17.2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612">
        <f ca="1">AT148</f>
        <v>0</v>
      </c>
      <c r="M302" s="612"/>
      <c r="N302" s="612"/>
      <c r="O302" s="612"/>
      <c r="P302" s="612"/>
      <c r="Q302" s="616"/>
      <c r="R302" s="612">
        <f ca="1">AT152</f>
        <v>0</v>
      </c>
      <c r="S302" s="612"/>
      <c r="T302" s="612"/>
      <c r="U302" s="612"/>
      <c r="V302" s="612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2"/>
      <c r="AP302" s="82"/>
      <c r="AQ302" s="82"/>
      <c r="AR302" s="82"/>
      <c r="AS302" s="82"/>
      <c r="AT302" s="82"/>
      <c r="AU302" s="82"/>
      <c r="AV302" s="82"/>
    </row>
    <row r="303" spans="1:48" s="83" customFormat="1" ht="18.75" customHeight="1">
      <c r="A303" s="82"/>
      <c r="B303" s="82"/>
      <c r="C303" s="82"/>
      <c r="D303" s="109"/>
      <c r="E303" s="342"/>
      <c r="F303" s="109"/>
      <c r="G303" s="109"/>
      <c r="H303" s="342"/>
      <c r="I303" s="110"/>
      <c r="J303" s="110"/>
      <c r="K303" s="111"/>
      <c r="L303" s="82"/>
      <c r="M303" s="82"/>
      <c r="N303" s="82"/>
      <c r="O303" s="82"/>
      <c r="P303" s="82"/>
      <c r="Q303" s="82"/>
      <c r="R303" s="82"/>
      <c r="S303" s="82"/>
      <c r="T303" s="82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2"/>
      <c r="AN303" s="82"/>
      <c r="AO303" s="82"/>
      <c r="AP303" s="82"/>
      <c r="AQ303" s="82"/>
      <c r="AR303" s="82"/>
      <c r="AS303" s="82"/>
      <c r="AT303" s="82"/>
    </row>
    <row r="304" spans="1:48" s="83" customFormat="1" ht="18.75" customHeight="1">
      <c r="A304" s="90" t="s">
        <v>844</v>
      </c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</row>
    <row r="305" spans="1:56" s="83" customFormat="1" ht="18.75" customHeight="1">
      <c r="A305" s="90"/>
      <c r="B305" s="82" t="s">
        <v>845</v>
      </c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</row>
    <row r="306" spans="1:56" s="83" customFormat="1" ht="18.75" customHeight="1">
      <c r="A306" s="90"/>
      <c r="B306" s="82"/>
      <c r="C306" s="82" t="s">
        <v>846</v>
      </c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</row>
    <row r="307" spans="1:56" s="83" customFormat="1" ht="18.75" customHeight="1">
      <c r="A307" s="90"/>
      <c r="B307" s="82"/>
      <c r="C307" s="83" t="s">
        <v>847</v>
      </c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</row>
    <row r="308" spans="1:56" s="83" customFormat="1" ht="18.75" customHeight="1">
      <c r="A308" s="90"/>
      <c r="B308" s="82"/>
      <c r="C308" s="86" t="s">
        <v>848</v>
      </c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82"/>
      <c r="BD308" s="82"/>
    </row>
    <row r="309" spans="1:56" s="83" customFormat="1" ht="18.75" customHeight="1">
      <c r="A309" s="90"/>
      <c r="B309" s="82"/>
      <c r="D309" s="82"/>
      <c r="E309" s="112"/>
      <c r="F309" s="82"/>
      <c r="G309" s="108"/>
      <c r="H309" s="342"/>
      <c r="I309" s="342"/>
      <c r="J309" s="342"/>
      <c r="R309" s="112"/>
      <c r="S309" s="368"/>
      <c r="T309" s="368"/>
      <c r="U309" s="368"/>
      <c r="V309" s="368"/>
      <c r="W309" s="368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  <c r="BB309" s="82"/>
      <c r="BC309" s="82"/>
      <c r="BD309" s="82"/>
    </row>
    <row r="310" spans="1:56" s="83" customFormat="1" ht="18.75" customHeight="1">
      <c r="A310" s="82"/>
      <c r="B310" s="82"/>
      <c r="C310" s="342"/>
      <c r="D310" s="82"/>
      <c r="E310" s="112"/>
      <c r="F310" s="82"/>
      <c r="G310" s="108" t="s">
        <v>849</v>
      </c>
      <c r="H310" s="620">
        <f ca="1">MAX(Calcu!AE45:AE59)</f>
        <v>0</v>
      </c>
      <c r="I310" s="620"/>
      <c r="J310" s="106" t="s">
        <v>693</v>
      </c>
      <c r="K310" s="608" t="e">
        <f ca="1">F297</f>
        <v>#VALUE!</v>
      </c>
      <c r="L310" s="608"/>
      <c r="M310" s="608"/>
      <c r="N310" s="357" t="str">
        <f>I297</f>
        <v>m</v>
      </c>
      <c r="P310" s="241" t="s">
        <v>198</v>
      </c>
      <c r="Q310" s="608" t="e">
        <f ca="1">H310*K310</f>
        <v>#VALUE!</v>
      </c>
      <c r="R310" s="608"/>
      <c r="S310" s="608"/>
      <c r="T310" s="357" t="str">
        <f>N310</f>
        <v>m</v>
      </c>
      <c r="U310" s="357"/>
      <c r="V310" s="242"/>
      <c r="W310" s="242"/>
      <c r="X310" s="24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</row>
    <row r="311" spans="1:56" ht="18" customHeight="1">
      <c r="A311" s="336"/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U311" s="336"/>
      <c r="V311" s="336"/>
      <c r="W311" s="336"/>
      <c r="X311" s="336"/>
      <c r="Y311" s="336"/>
      <c r="Z311" s="336"/>
      <c r="AA311" s="336"/>
      <c r="AB311" s="336"/>
      <c r="AC311" s="336"/>
      <c r="AD311" s="336"/>
      <c r="AE311" s="336"/>
      <c r="AF311" s="336"/>
      <c r="AG311" s="336"/>
      <c r="AH311" s="336"/>
      <c r="AI311" s="336"/>
      <c r="AJ311" s="336"/>
      <c r="AK311" s="336"/>
      <c r="AL311" s="336"/>
      <c r="AM311" s="336"/>
      <c r="AN311" s="336"/>
      <c r="AO311" s="336"/>
      <c r="AP311" s="336"/>
      <c r="AQ311" s="336"/>
      <c r="AR311" s="336"/>
      <c r="AS311" s="336"/>
      <c r="AT311" s="336"/>
    </row>
    <row r="315" spans="1:56" ht="31.5">
      <c r="A315" s="115" t="s">
        <v>850</v>
      </c>
    </row>
    <row r="316" spans="1:56" s="83" customFormat="1" ht="18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</row>
    <row r="317" spans="1:56" ht="18.75" customHeight="1">
      <c r="A317" s="113" t="s">
        <v>552</v>
      </c>
    </row>
    <row r="318" spans="1:56" ht="18.75" customHeight="1">
      <c r="B318" s="550" t="s">
        <v>554</v>
      </c>
      <c r="C318" s="550"/>
      <c r="D318" s="550"/>
      <c r="E318" s="550"/>
      <c r="F318" s="550"/>
      <c r="G318" s="550"/>
      <c r="H318" s="551" t="s">
        <v>851</v>
      </c>
      <c r="I318" s="551"/>
      <c r="J318" s="551"/>
      <c r="K318" s="551"/>
      <c r="L318" s="551"/>
      <c r="M318" s="551"/>
      <c r="N318" s="552" t="s">
        <v>557</v>
      </c>
      <c r="O318" s="553"/>
      <c r="P318" s="553"/>
      <c r="Q318" s="553"/>
      <c r="R318" s="553"/>
      <c r="S318" s="553"/>
      <c r="T318" s="553"/>
      <c r="U318" s="553"/>
      <c r="V318" s="553"/>
      <c r="W318" s="553"/>
      <c r="X318" s="553"/>
      <c r="Y318" s="554"/>
      <c r="Z318" s="555" t="s">
        <v>852</v>
      </c>
      <c r="AA318" s="555"/>
      <c r="AB318" s="555"/>
      <c r="AC318" s="555"/>
      <c r="AD318" s="555"/>
      <c r="AE318" s="555"/>
      <c r="AF318" s="551" t="s">
        <v>853</v>
      </c>
      <c r="AG318" s="551"/>
      <c r="AH318" s="551"/>
      <c r="AI318" s="551"/>
      <c r="AJ318" s="551"/>
      <c r="AK318" s="551"/>
      <c r="AL318" s="551" t="s">
        <v>400</v>
      </c>
      <c r="AM318" s="551"/>
      <c r="AN318" s="551"/>
      <c r="AO318" s="551"/>
      <c r="AP318" s="551"/>
      <c r="AQ318" s="551"/>
    </row>
    <row r="319" spans="1:56" ht="18.75" customHeight="1">
      <c r="B319" s="566" t="e">
        <f ca="1">ROUND(OFFSET(Calcu_ADJ!G8,AF319,0),2)</f>
        <v>#VALUE!</v>
      </c>
      <c r="C319" s="566"/>
      <c r="D319" s="566"/>
      <c r="E319" s="566"/>
      <c r="F319" s="566"/>
      <c r="G319" s="566"/>
      <c r="H319" s="556">
        <f>Calcu_ADJ!G8</f>
        <v>0</v>
      </c>
      <c r="I319" s="556"/>
      <c r="J319" s="556"/>
      <c r="K319" s="556"/>
      <c r="L319" s="556"/>
      <c r="M319" s="556"/>
      <c r="N319" s="567">
        <f ca="1">OFFSET(표준압력!M18,AF319,0)</f>
        <v>0</v>
      </c>
      <c r="O319" s="567"/>
      <c r="P319" s="567"/>
      <c r="Q319" s="567"/>
      <c r="R319" s="567"/>
      <c r="S319" s="567"/>
      <c r="T319" s="567">
        <f>표준압력!M18</f>
        <v>0</v>
      </c>
      <c r="U319" s="567"/>
      <c r="V319" s="567"/>
      <c r="W319" s="567"/>
      <c r="X319" s="567"/>
      <c r="Y319" s="567"/>
      <c r="Z319" s="556">
        <v>2</v>
      </c>
      <c r="AA319" s="556"/>
      <c r="AB319" s="556"/>
      <c r="AC319" s="556"/>
      <c r="AD319" s="556"/>
      <c r="AE319" s="556"/>
      <c r="AF319" s="556">
        <f>MATCH(TRUE,Calcu_ADJ!C9:C38,0)</f>
        <v>1</v>
      </c>
      <c r="AG319" s="556"/>
      <c r="AH319" s="556"/>
      <c r="AI319" s="556"/>
      <c r="AJ319" s="556"/>
      <c r="AK319" s="556"/>
      <c r="AL319" s="556">
        <f>COUNT(E325:K354)/2</f>
        <v>0</v>
      </c>
      <c r="AM319" s="556"/>
      <c r="AN319" s="556"/>
      <c r="AO319" s="556"/>
      <c r="AP319" s="556"/>
      <c r="AQ319" s="556"/>
    </row>
    <row r="320" spans="1:56" ht="18" customHeight="1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6"/>
      <c r="N320" s="336"/>
      <c r="O320" s="336"/>
      <c r="P320" s="336"/>
      <c r="Q320" s="336"/>
      <c r="R320" s="336"/>
      <c r="S320" s="336"/>
      <c r="T320" s="336"/>
      <c r="U320" s="336"/>
      <c r="V320" s="336"/>
      <c r="W320" s="336"/>
      <c r="X320" s="336"/>
      <c r="Y320" s="336"/>
      <c r="Z320" s="336"/>
      <c r="AA320" s="336"/>
      <c r="AB320" s="336"/>
      <c r="AC320" s="336"/>
      <c r="AD320" s="336"/>
      <c r="AE320" s="336"/>
      <c r="AF320" s="336"/>
      <c r="AG320" s="336"/>
      <c r="AH320" s="336"/>
      <c r="AI320" s="336"/>
      <c r="AJ320" s="336"/>
      <c r="AK320" s="336"/>
      <c r="AL320" s="336"/>
      <c r="AM320" s="336"/>
      <c r="AN320" s="336"/>
      <c r="AO320" s="336"/>
      <c r="AP320" s="336"/>
      <c r="AQ320" s="336"/>
      <c r="AR320" s="336"/>
      <c r="AS320" s="336"/>
      <c r="AT320" s="336"/>
    </row>
    <row r="321" spans="1:46" ht="18" customHeight="1">
      <c r="A321" s="113" t="s">
        <v>854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36"/>
      <c r="Z321" s="336"/>
      <c r="AA321" s="336"/>
      <c r="AB321" s="336"/>
      <c r="AC321" s="336"/>
      <c r="AD321" s="336"/>
      <c r="AE321" s="336"/>
      <c r="AF321" s="336"/>
      <c r="AG321" s="336"/>
      <c r="AH321" s="336"/>
      <c r="AI321" s="336"/>
      <c r="AJ321" s="336"/>
      <c r="AK321" s="336"/>
      <c r="AL321" s="336"/>
      <c r="AM321" s="336"/>
      <c r="AN321" s="336"/>
      <c r="AO321" s="336"/>
      <c r="AP321" s="336"/>
      <c r="AQ321" s="336"/>
      <c r="AR321" s="336"/>
      <c r="AS321" s="336"/>
      <c r="AT321" s="336"/>
    </row>
    <row r="322" spans="1:46" ht="18" customHeight="1">
      <c r="A322" s="336"/>
      <c r="B322" s="557" t="s">
        <v>855</v>
      </c>
      <c r="C322" s="558"/>
      <c r="D322" s="558"/>
      <c r="E322" s="568" t="s">
        <v>65</v>
      </c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70"/>
      <c r="S322" s="571" t="s">
        <v>564</v>
      </c>
      <c r="T322" s="572"/>
      <c r="U322" s="572"/>
      <c r="V322" s="572"/>
      <c r="W322" s="572"/>
      <c r="X322" s="572"/>
      <c r="Y322" s="572"/>
      <c r="Z322" s="572"/>
      <c r="AA322" s="572"/>
      <c r="AB322" s="572"/>
      <c r="AC322" s="572"/>
      <c r="AD322" s="572"/>
      <c r="AE322" s="572"/>
      <c r="AF322" s="572"/>
      <c r="AG322" s="572"/>
      <c r="AH322" s="572"/>
      <c r="AI322" s="572"/>
      <c r="AJ322" s="572"/>
      <c r="AK322" s="572"/>
      <c r="AL322" s="572"/>
      <c r="AM322" s="572"/>
      <c r="AN322" s="572"/>
      <c r="AO322" s="572"/>
      <c r="AP322" s="572"/>
      <c r="AQ322" s="572"/>
      <c r="AR322" s="572"/>
      <c r="AS322" s="572"/>
      <c r="AT322" s="573"/>
    </row>
    <row r="323" spans="1:46" ht="18" customHeight="1">
      <c r="A323" s="336"/>
      <c r="B323" s="584"/>
      <c r="C323" s="560"/>
      <c r="D323" s="560"/>
      <c r="E323" s="568" t="s">
        <v>856</v>
      </c>
      <c r="F323" s="569"/>
      <c r="G323" s="569"/>
      <c r="H323" s="569"/>
      <c r="I323" s="569"/>
      <c r="J323" s="569"/>
      <c r="K323" s="570"/>
      <c r="L323" s="574" t="s">
        <v>857</v>
      </c>
      <c r="M323" s="575"/>
      <c r="N323" s="575"/>
      <c r="O323" s="575"/>
      <c r="P323" s="575"/>
      <c r="Q323" s="575"/>
      <c r="R323" s="576"/>
      <c r="S323" s="568" t="s">
        <v>63</v>
      </c>
      <c r="T323" s="577"/>
      <c r="U323" s="577"/>
      <c r="V323" s="577"/>
      <c r="W323" s="577"/>
      <c r="X323" s="577"/>
      <c r="Y323" s="578"/>
      <c r="Z323" s="568" t="s">
        <v>64</v>
      </c>
      <c r="AA323" s="577"/>
      <c r="AB323" s="577"/>
      <c r="AC323" s="577"/>
      <c r="AD323" s="577"/>
      <c r="AE323" s="577"/>
      <c r="AF323" s="578"/>
      <c r="AG323" s="568" t="s">
        <v>196</v>
      </c>
      <c r="AH323" s="577"/>
      <c r="AI323" s="577"/>
      <c r="AJ323" s="577"/>
      <c r="AK323" s="577"/>
      <c r="AL323" s="577"/>
      <c r="AM323" s="578"/>
      <c r="AN323" s="568" t="s">
        <v>858</v>
      </c>
      <c r="AO323" s="577"/>
      <c r="AP323" s="577"/>
      <c r="AQ323" s="577"/>
      <c r="AR323" s="577"/>
      <c r="AS323" s="577"/>
      <c r="AT323" s="578"/>
    </row>
    <row r="324" spans="1:46" ht="18" customHeight="1">
      <c r="A324" s="336"/>
      <c r="B324" s="561"/>
      <c r="C324" s="562"/>
      <c r="D324" s="562"/>
      <c r="E324" s="563">
        <f>Calcu_ADJ!H8</f>
        <v>0</v>
      </c>
      <c r="F324" s="564"/>
      <c r="G324" s="564"/>
      <c r="H324" s="564"/>
      <c r="I324" s="564"/>
      <c r="J324" s="564"/>
      <c r="K324" s="565"/>
      <c r="L324" s="601">
        <f>Calcu_ADJ!I8</f>
        <v>0</v>
      </c>
      <c r="M324" s="602"/>
      <c r="N324" s="602"/>
      <c r="O324" s="602"/>
      <c r="P324" s="602"/>
      <c r="Q324" s="602"/>
      <c r="R324" s="603"/>
      <c r="S324" s="604">
        <f>Calcu_ADJ!J8</f>
        <v>0</v>
      </c>
      <c r="T324" s="605"/>
      <c r="U324" s="605"/>
      <c r="V324" s="605"/>
      <c r="W324" s="605"/>
      <c r="X324" s="605"/>
      <c r="Y324" s="606"/>
      <c r="Z324" s="604">
        <f>Calcu_ADJ!K8</f>
        <v>0</v>
      </c>
      <c r="AA324" s="605"/>
      <c r="AB324" s="605"/>
      <c r="AC324" s="605"/>
      <c r="AD324" s="605"/>
      <c r="AE324" s="605"/>
      <c r="AF324" s="606"/>
      <c r="AG324" s="604">
        <f>Calcu_ADJ!L8</f>
        <v>0</v>
      </c>
      <c r="AH324" s="605"/>
      <c r="AI324" s="605"/>
      <c r="AJ324" s="605"/>
      <c r="AK324" s="605"/>
      <c r="AL324" s="605"/>
      <c r="AM324" s="606"/>
      <c r="AN324" s="604">
        <f>AG324</f>
        <v>0</v>
      </c>
      <c r="AO324" s="605"/>
      <c r="AP324" s="605"/>
      <c r="AQ324" s="605"/>
      <c r="AR324" s="605"/>
      <c r="AS324" s="605"/>
      <c r="AT324" s="606"/>
    </row>
    <row r="325" spans="1:46" ht="18" customHeight="1">
      <c r="A325" s="336"/>
      <c r="B325" s="535">
        <f>Calcu_ADJ!D9</f>
        <v>1</v>
      </c>
      <c r="C325" s="535"/>
      <c r="D325" s="535"/>
      <c r="E325" s="582" t="str">
        <f>Calcu_ADJ!H9</f>
        <v/>
      </c>
      <c r="F325" s="583"/>
      <c r="G325" s="583"/>
      <c r="H325" s="583"/>
      <c r="I325" s="583"/>
      <c r="J325" s="583"/>
      <c r="K325" s="583"/>
      <c r="L325" s="542" t="str">
        <f>Calcu_ADJ!I9</f>
        <v/>
      </c>
      <c r="M325" s="621"/>
      <c r="N325" s="621"/>
      <c r="O325" s="621"/>
      <c r="P325" s="621"/>
      <c r="Q325" s="621"/>
      <c r="R325" s="622"/>
      <c r="S325" s="535" t="str">
        <f>Calcu_ADJ!J9</f>
        <v/>
      </c>
      <c r="T325" s="535"/>
      <c r="U325" s="535"/>
      <c r="V325" s="535"/>
      <c r="W325" s="535"/>
      <c r="X325" s="535"/>
      <c r="Y325" s="535"/>
      <c r="Z325" s="535" t="str">
        <f>Calcu_ADJ!K9</f>
        <v/>
      </c>
      <c r="AA325" s="535"/>
      <c r="AB325" s="535"/>
      <c r="AC325" s="535"/>
      <c r="AD325" s="535"/>
      <c r="AE325" s="535"/>
      <c r="AF325" s="535"/>
      <c r="AG325" s="535" t="str">
        <f>Calcu_ADJ!L9</f>
        <v/>
      </c>
      <c r="AH325" s="535"/>
      <c r="AI325" s="535"/>
      <c r="AJ325" s="535"/>
      <c r="AK325" s="535"/>
      <c r="AL325" s="535"/>
      <c r="AM325" s="535"/>
      <c r="AN325" s="535" t="str">
        <f t="shared" ref="AN325:AN354" si="9">IF(E325="","",AVERAGE(S325:AM325))</f>
        <v/>
      </c>
      <c r="AO325" s="535"/>
      <c r="AP325" s="535"/>
      <c r="AQ325" s="535"/>
      <c r="AR325" s="535"/>
      <c r="AS325" s="535"/>
      <c r="AT325" s="535"/>
    </row>
    <row r="326" spans="1:46" ht="18" customHeight="1">
      <c r="A326" s="336"/>
      <c r="B326" s="546">
        <f>Calcu_ADJ!D10</f>
        <v>2</v>
      </c>
      <c r="C326" s="546"/>
      <c r="D326" s="546"/>
      <c r="E326" s="547" t="str">
        <f>Calcu_ADJ!H10</f>
        <v/>
      </c>
      <c r="F326" s="548"/>
      <c r="G326" s="548"/>
      <c r="H326" s="548"/>
      <c r="I326" s="548"/>
      <c r="J326" s="548"/>
      <c r="K326" s="548"/>
      <c r="L326" s="543" t="str">
        <f>Calcu_ADJ!I10</f>
        <v/>
      </c>
      <c r="M326" s="544"/>
      <c r="N326" s="544"/>
      <c r="O326" s="544"/>
      <c r="P326" s="544"/>
      <c r="Q326" s="544"/>
      <c r="R326" s="545"/>
      <c r="S326" s="522" t="str">
        <f>Calcu_ADJ!J10</f>
        <v/>
      </c>
      <c r="T326" s="522"/>
      <c r="U326" s="522"/>
      <c r="V326" s="522"/>
      <c r="W326" s="522"/>
      <c r="X326" s="522"/>
      <c r="Y326" s="522"/>
      <c r="Z326" s="522" t="str">
        <f>Calcu_ADJ!K10</f>
        <v/>
      </c>
      <c r="AA326" s="522"/>
      <c r="AB326" s="522"/>
      <c r="AC326" s="522"/>
      <c r="AD326" s="522"/>
      <c r="AE326" s="522"/>
      <c r="AF326" s="522"/>
      <c r="AG326" s="522" t="str">
        <f>Calcu_ADJ!L10</f>
        <v/>
      </c>
      <c r="AH326" s="522"/>
      <c r="AI326" s="522"/>
      <c r="AJ326" s="522"/>
      <c r="AK326" s="522"/>
      <c r="AL326" s="522"/>
      <c r="AM326" s="522"/>
      <c r="AN326" s="522" t="str">
        <f t="shared" si="9"/>
        <v/>
      </c>
      <c r="AO326" s="522"/>
      <c r="AP326" s="522"/>
      <c r="AQ326" s="522"/>
      <c r="AR326" s="522"/>
      <c r="AS326" s="522"/>
      <c r="AT326" s="522"/>
    </row>
    <row r="327" spans="1:46" ht="18" customHeight="1">
      <c r="A327" s="336"/>
      <c r="B327" s="546">
        <f>Calcu_ADJ!D11</f>
        <v>3</v>
      </c>
      <c r="C327" s="546"/>
      <c r="D327" s="546"/>
      <c r="E327" s="547" t="str">
        <f>Calcu_ADJ!H11</f>
        <v/>
      </c>
      <c r="F327" s="548"/>
      <c r="G327" s="548"/>
      <c r="H327" s="548"/>
      <c r="I327" s="548"/>
      <c r="J327" s="548"/>
      <c r="K327" s="548"/>
      <c r="L327" s="543" t="str">
        <f>Calcu_ADJ!I11</f>
        <v/>
      </c>
      <c r="M327" s="544"/>
      <c r="N327" s="544"/>
      <c r="O327" s="544"/>
      <c r="P327" s="544"/>
      <c r="Q327" s="544"/>
      <c r="R327" s="545"/>
      <c r="S327" s="522" t="str">
        <f>Calcu_ADJ!J11</f>
        <v/>
      </c>
      <c r="T327" s="522"/>
      <c r="U327" s="522"/>
      <c r="V327" s="522"/>
      <c r="W327" s="522"/>
      <c r="X327" s="522"/>
      <c r="Y327" s="522"/>
      <c r="Z327" s="522" t="str">
        <f>Calcu_ADJ!K11</f>
        <v/>
      </c>
      <c r="AA327" s="522"/>
      <c r="AB327" s="522"/>
      <c r="AC327" s="522"/>
      <c r="AD327" s="522"/>
      <c r="AE327" s="522"/>
      <c r="AF327" s="522"/>
      <c r="AG327" s="522" t="str">
        <f>Calcu_ADJ!L11</f>
        <v/>
      </c>
      <c r="AH327" s="522"/>
      <c r="AI327" s="522"/>
      <c r="AJ327" s="522"/>
      <c r="AK327" s="522"/>
      <c r="AL327" s="522"/>
      <c r="AM327" s="522"/>
      <c r="AN327" s="522" t="str">
        <f t="shared" si="9"/>
        <v/>
      </c>
      <c r="AO327" s="522"/>
      <c r="AP327" s="522"/>
      <c r="AQ327" s="522"/>
      <c r="AR327" s="522"/>
      <c r="AS327" s="522"/>
      <c r="AT327" s="522"/>
    </row>
    <row r="328" spans="1:46" ht="18" customHeight="1">
      <c r="A328" s="336"/>
      <c r="B328" s="546">
        <f>Calcu_ADJ!D12</f>
        <v>4</v>
      </c>
      <c r="C328" s="546"/>
      <c r="D328" s="546"/>
      <c r="E328" s="547" t="str">
        <f>Calcu_ADJ!H12</f>
        <v/>
      </c>
      <c r="F328" s="548"/>
      <c r="G328" s="548"/>
      <c r="H328" s="548"/>
      <c r="I328" s="548"/>
      <c r="J328" s="548"/>
      <c r="K328" s="548"/>
      <c r="L328" s="543" t="str">
        <f>Calcu_ADJ!I12</f>
        <v/>
      </c>
      <c r="M328" s="544"/>
      <c r="N328" s="544"/>
      <c r="O328" s="544"/>
      <c r="P328" s="544"/>
      <c r="Q328" s="544"/>
      <c r="R328" s="545"/>
      <c r="S328" s="522" t="str">
        <f>Calcu_ADJ!J12</f>
        <v/>
      </c>
      <c r="T328" s="522"/>
      <c r="U328" s="522"/>
      <c r="V328" s="522"/>
      <c r="W328" s="522"/>
      <c r="X328" s="522"/>
      <c r="Y328" s="522"/>
      <c r="Z328" s="522" t="str">
        <f>Calcu_ADJ!K12</f>
        <v/>
      </c>
      <c r="AA328" s="522"/>
      <c r="AB328" s="522"/>
      <c r="AC328" s="522"/>
      <c r="AD328" s="522"/>
      <c r="AE328" s="522"/>
      <c r="AF328" s="522"/>
      <c r="AG328" s="522" t="str">
        <f>Calcu_ADJ!L12</f>
        <v/>
      </c>
      <c r="AH328" s="522"/>
      <c r="AI328" s="522"/>
      <c r="AJ328" s="522"/>
      <c r="AK328" s="522"/>
      <c r="AL328" s="522"/>
      <c r="AM328" s="522"/>
      <c r="AN328" s="522" t="str">
        <f t="shared" si="9"/>
        <v/>
      </c>
      <c r="AO328" s="522"/>
      <c r="AP328" s="522"/>
      <c r="AQ328" s="522"/>
      <c r="AR328" s="522"/>
      <c r="AS328" s="522"/>
      <c r="AT328" s="522"/>
    </row>
    <row r="329" spans="1:46" ht="18" customHeight="1">
      <c r="A329" s="336"/>
      <c r="B329" s="546">
        <f>Calcu_ADJ!D13</f>
        <v>5</v>
      </c>
      <c r="C329" s="546"/>
      <c r="D329" s="546"/>
      <c r="E329" s="547" t="str">
        <f>Calcu_ADJ!H13</f>
        <v/>
      </c>
      <c r="F329" s="548"/>
      <c r="G329" s="548"/>
      <c r="H329" s="548"/>
      <c r="I329" s="548"/>
      <c r="J329" s="548"/>
      <c r="K329" s="548"/>
      <c r="L329" s="543" t="str">
        <f>Calcu_ADJ!I13</f>
        <v/>
      </c>
      <c r="M329" s="544"/>
      <c r="N329" s="544"/>
      <c r="O329" s="544"/>
      <c r="P329" s="544"/>
      <c r="Q329" s="544"/>
      <c r="R329" s="545"/>
      <c r="S329" s="522" t="str">
        <f>Calcu_ADJ!J13</f>
        <v/>
      </c>
      <c r="T329" s="522"/>
      <c r="U329" s="522"/>
      <c r="V329" s="522"/>
      <c r="W329" s="522"/>
      <c r="X329" s="522"/>
      <c r="Y329" s="522"/>
      <c r="Z329" s="522" t="str">
        <f>Calcu_ADJ!K13</f>
        <v/>
      </c>
      <c r="AA329" s="522"/>
      <c r="AB329" s="522"/>
      <c r="AC329" s="522"/>
      <c r="AD329" s="522"/>
      <c r="AE329" s="522"/>
      <c r="AF329" s="522"/>
      <c r="AG329" s="522" t="str">
        <f>Calcu_ADJ!L13</f>
        <v/>
      </c>
      <c r="AH329" s="522"/>
      <c r="AI329" s="522"/>
      <c r="AJ329" s="522"/>
      <c r="AK329" s="522"/>
      <c r="AL329" s="522"/>
      <c r="AM329" s="522"/>
      <c r="AN329" s="522" t="str">
        <f t="shared" si="9"/>
        <v/>
      </c>
      <c r="AO329" s="522"/>
      <c r="AP329" s="522"/>
      <c r="AQ329" s="522"/>
      <c r="AR329" s="522"/>
      <c r="AS329" s="522"/>
      <c r="AT329" s="522"/>
    </row>
    <row r="330" spans="1:46" ht="18" customHeight="1">
      <c r="A330" s="336"/>
      <c r="B330" s="546">
        <f>Calcu_ADJ!D14</f>
        <v>6</v>
      </c>
      <c r="C330" s="546"/>
      <c r="D330" s="546"/>
      <c r="E330" s="547" t="str">
        <f>Calcu_ADJ!H14</f>
        <v/>
      </c>
      <c r="F330" s="548"/>
      <c r="G330" s="548"/>
      <c r="H330" s="548"/>
      <c r="I330" s="548"/>
      <c r="J330" s="548"/>
      <c r="K330" s="548"/>
      <c r="L330" s="543" t="str">
        <f>Calcu_ADJ!I14</f>
        <v/>
      </c>
      <c r="M330" s="544"/>
      <c r="N330" s="544"/>
      <c r="O330" s="544"/>
      <c r="P330" s="544"/>
      <c r="Q330" s="544"/>
      <c r="R330" s="545"/>
      <c r="S330" s="522" t="str">
        <f>Calcu_ADJ!J14</f>
        <v/>
      </c>
      <c r="T330" s="522"/>
      <c r="U330" s="522"/>
      <c r="V330" s="522"/>
      <c r="W330" s="522"/>
      <c r="X330" s="522"/>
      <c r="Y330" s="522"/>
      <c r="Z330" s="522" t="str">
        <f>Calcu_ADJ!K14</f>
        <v/>
      </c>
      <c r="AA330" s="522"/>
      <c r="AB330" s="522"/>
      <c r="AC330" s="522"/>
      <c r="AD330" s="522"/>
      <c r="AE330" s="522"/>
      <c r="AF330" s="522"/>
      <c r="AG330" s="522" t="str">
        <f>Calcu_ADJ!L14</f>
        <v/>
      </c>
      <c r="AH330" s="522"/>
      <c r="AI330" s="522"/>
      <c r="AJ330" s="522"/>
      <c r="AK330" s="522"/>
      <c r="AL330" s="522"/>
      <c r="AM330" s="522"/>
      <c r="AN330" s="522" t="str">
        <f t="shared" si="9"/>
        <v/>
      </c>
      <c r="AO330" s="522"/>
      <c r="AP330" s="522"/>
      <c r="AQ330" s="522"/>
      <c r="AR330" s="522"/>
      <c r="AS330" s="522"/>
      <c r="AT330" s="522"/>
    </row>
    <row r="331" spans="1:46" ht="18" customHeight="1">
      <c r="A331" s="336"/>
      <c r="B331" s="546">
        <f>Calcu_ADJ!D15</f>
        <v>7</v>
      </c>
      <c r="C331" s="546"/>
      <c r="D331" s="546"/>
      <c r="E331" s="547" t="str">
        <f>Calcu_ADJ!H15</f>
        <v/>
      </c>
      <c r="F331" s="548"/>
      <c r="G331" s="548"/>
      <c r="H331" s="548"/>
      <c r="I331" s="548"/>
      <c r="J331" s="548"/>
      <c r="K331" s="548"/>
      <c r="L331" s="543" t="str">
        <f>Calcu_ADJ!I15</f>
        <v/>
      </c>
      <c r="M331" s="544"/>
      <c r="N331" s="544"/>
      <c r="O331" s="544"/>
      <c r="P331" s="544"/>
      <c r="Q331" s="544"/>
      <c r="R331" s="545"/>
      <c r="S331" s="522" t="str">
        <f>Calcu_ADJ!J15</f>
        <v/>
      </c>
      <c r="T331" s="522"/>
      <c r="U331" s="522"/>
      <c r="V331" s="522"/>
      <c r="W331" s="522"/>
      <c r="X331" s="522"/>
      <c r="Y331" s="522"/>
      <c r="Z331" s="522" t="str">
        <f>Calcu_ADJ!K15</f>
        <v/>
      </c>
      <c r="AA331" s="522"/>
      <c r="AB331" s="522"/>
      <c r="AC331" s="522"/>
      <c r="AD331" s="522"/>
      <c r="AE331" s="522"/>
      <c r="AF331" s="522"/>
      <c r="AG331" s="522" t="str">
        <f>Calcu_ADJ!L15</f>
        <v/>
      </c>
      <c r="AH331" s="522"/>
      <c r="AI331" s="522"/>
      <c r="AJ331" s="522"/>
      <c r="AK331" s="522"/>
      <c r="AL331" s="522"/>
      <c r="AM331" s="522"/>
      <c r="AN331" s="522" t="str">
        <f t="shared" si="9"/>
        <v/>
      </c>
      <c r="AO331" s="522"/>
      <c r="AP331" s="522"/>
      <c r="AQ331" s="522"/>
      <c r="AR331" s="522"/>
      <c r="AS331" s="522"/>
      <c r="AT331" s="522"/>
    </row>
    <row r="332" spans="1:46" ht="18" customHeight="1">
      <c r="A332" s="336"/>
      <c r="B332" s="546">
        <f>Calcu_ADJ!D16</f>
        <v>8</v>
      </c>
      <c r="C332" s="546"/>
      <c r="D332" s="546"/>
      <c r="E332" s="547" t="str">
        <f>Calcu_ADJ!H16</f>
        <v/>
      </c>
      <c r="F332" s="548"/>
      <c r="G332" s="548"/>
      <c r="H332" s="548"/>
      <c r="I332" s="548"/>
      <c r="J332" s="548"/>
      <c r="K332" s="548"/>
      <c r="L332" s="543" t="str">
        <f>Calcu_ADJ!I16</f>
        <v/>
      </c>
      <c r="M332" s="544"/>
      <c r="N332" s="544"/>
      <c r="O332" s="544"/>
      <c r="P332" s="544"/>
      <c r="Q332" s="544"/>
      <c r="R332" s="545"/>
      <c r="S332" s="522" t="str">
        <f>Calcu_ADJ!J16</f>
        <v/>
      </c>
      <c r="T332" s="522"/>
      <c r="U332" s="522"/>
      <c r="V332" s="522"/>
      <c r="W332" s="522"/>
      <c r="X332" s="522"/>
      <c r="Y332" s="522"/>
      <c r="Z332" s="522" t="str">
        <f>Calcu_ADJ!K16</f>
        <v/>
      </c>
      <c r="AA332" s="522"/>
      <c r="AB332" s="522"/>
      <c r="AC332" s="522"/>
      <c r="AD332" s="522"/>
      <c r="AE332" s="522"/>
      <c r="AF332" s="522"/>
      <c r="AG332" s="522" t="str">
        <f>Calcu_ADJ!L16</f>
        <v/>
      </c>
      <c r="AH332" s="522"/>
      <c r="AI332" s="522"/>
      <c r="AJ332" s="522"/>
      <c r="AK332" s="522"/>
      <c r="AL332" s="522"/>
      <c r="AM332" s="522"/>
      <c r="AN332" s="522" t="str">
        <f t="shared" si="9"/>
        <v/>
      </c>
      <c r="AO332" s="522"/>
      <c r="AP332" s="522"/>
      <c r="AQ332" s="522"/>
      <c r="AR332" s="522"/>
      <c r="AS332" s="522"/>
      <c r="AT332" s="522"/>
    </row>
    <row r="333" spans="1:46" ht="18" customHeight="1">
      <c r="A333" s="336"/>
      <c r="B333" s="546">
        <f>Calcu_ADJ!D17</f>
        <v>9</v>
      </c>
      <c r="C333" s="546"/>
      <c r="D333" s="546"/>
      <c r="E333" s="547" t="str">
        <f>Calcu_ADJ!H17</f>
        <v/>
      </c>
      <c r="F333" s="548"/>
      <c r="G333" s="548"/>
      <c r="H333" s="548"/>
      <c r="I333" s="548"/>
      <c r="J333" s="548"/>
      <c r="K333" s="548"/>
      <c r="L333" s="543" t="str">
        <f>Calcu_ADJ!I17</f>
        <v/>
      </c>
      <c r="M333" s="544"/>
      <c r="N333" s="544"/>
      <c r="O333" s="544"/>
      <c r="P333" s="544"/>
      <c r="Q333" s="544"/>
      <c r="R333" s="545"/>
      <c r="S333" s="522" t="str">
        <f>Calcu_ADJ!J17</f>
        <v/>
      </c>
      <c r="T333" s="522"/>
      <c r="U333" s="522"/>
      <c r="V333" s="522"/>
      <c r="W333" s="522"/>
      <c r="X333" s="522"/>
      <c r="Y333" s="522"/>
      <c r="Z333" s="522" t="str">
        <f>Calcu_ADJ!K17</f>
        <v/>
      </c>
      <c r="AA333" s="522"/>
      <c r="AB333" s="522"/>
      <c r="AC333" s="522"/>
      <c r="AD333" s="522"/>
      <c r="AE333" s="522"/>
      <c r="AF333" s="522"/>
      <c r="AG333" s="522" t="str">
        <f>Calcu_ADJ!L17</f>
        <v/>
      </c>
      <c r="AH333" s="522"/>
      <c r="AI333" s="522"/>
      <c r="AJ333" s="522"/>
      <c r="AK333" s="522"/>
      <c r="AL333" s="522"/>
      <c r="AM333" s="522"/>
      <c r="AN333" s="522" t="str">
        <f t="shared" si="9"/>
        <v/>
      </c>
      <c r="AO333" s="522"/>
      <c r="AP333" s="522"/>
      <c r="AQ333" s="522"/>
      <c r="AR333" s="522"/>
      <c r="AS333" s="522"/>
      <c r="AT333" s="522"/>
    </row>
    <row r="334" spans="1:46" ht="18" customHeight="1">
      <c r="A334" s="336"/>
      <c r="B334" s="546">
        <f>Calcu_ADJ!D18</f>
        <v>10</v>
      </c>
      <c r="C334" s="546"/>
      <c r="D334" s="546"/>
      <c r="E334" s="547" t="str">
        <f>Calcu_ADJ!H18</f>
        <v/>
      </c>
      <c r="F334" s="548"/>
      <c r="G334" s="548"/>
      <c r="H334" s="548"/>
      <c r="I334" s="548"/>
      <c r="J334" s="548"/>
      <c r="K334" s="548"/>
      <c r="L334" s="543" t="str">
        <f>Calcu_ADJ!I18</f>
        <v/>
      </c>
      <c r="M334" s="544"/>
      <c r="N334" s="544"/>
      <c r="O334" s="544"/>
      <c r="P334" s="544"/>
      <c r="Q334" s="544"/>
      <c r="R334" s="545"/>
      <c r="S334" s="522" t="str">
        <f>Calcu_ADJ!J18</f>
        <v/>
      </c>
      <c r="T334" s="522"/>
      <c r="U334" s="522"/>
      <c r="V334" s="522"/>
      <c r="W334" s="522"/>
      <c r="X334" s="522"/>
      <c r="Y334" s="522"/>
      <c r="Z334" s="522" t="str">
        <f>Calcu_ADJ!K18</f>
        <v/>
      </c>
      <c r="AA334" s="522"/>
      <c r="AB334" s="522"/>
      <c r="AC334" s="522"/>
      <c r="AD334" s="522"/>
      <c r="AE334" s="522"/>
      <c r="AF334" s="522"/>
      <c r="AG334" s="522" t="str">
        <f>Calcu_ADJ!L18</f>
        <v/>
      </c>
      <c r="AH334" s="522"/>
      <c r="AI334" s="522"/>
      <c r="AJ334" s="522"/>
      <c r="AK334" s="522"/>
      <c r="AL334" s="522"/>
      <c r="AM334" s="522"/>
      <c r="AN334" s="522" t="str">
        <f t="shared" si="9"/>
        <v/>
      </c>
      <c r="AO334" s="522"/>
      <c r="AP334" s="522"/>
      <c r="AQ334" s="522"/>
      <c r="AR334" s="522"/>
      <c r="AS334" s="522"/>
      <c r="AT334" s="522"/>
    </row>
    <row r="335" spans="1:46" ht="18" customHeight="1">
      <c r="A335" s="336"/>
      <c r="B335" s="546">
        <f>Calcu_ADJ!D19</f>
        <v>11</v>
      </c>
      <c r="C335" s="546"/>
      <c r="D335" s="546"/>
      <c r="E335" s="547" t="str">
        <f>Calcu_ADJ!H19</f>
        <v/>
      </c>
      <c r="F335" s="548"/>
      <c r="G335" s="548"/>
      <c r="H335" s="548"/>
      <c r="I335" s="548"/>
      <c r="J335" s="548"/>
      <c r="K335" s="548"/>
      <c r="L335" s="543" t="str">
        <f>Calcu_ADJ!I19</f>
        <v/>
      </c>
      <c r="M335" s="544"/>
      <c r="N335" s="544"/>
      <c r="O335" s="544"/>
      <c r="P335" s="544"/>
      <c r="Q335" s="544"/>
      <c r="R335" s="545"/>
      <c r="S335" s="522" t="str">
        <f>Calcu_ADJ!J19</f>
        <v/>
      </c>
      <c r="T335" s="522"/>
      <c r="U335" s="522"/>
      <c r="V335" s="522"/>
      <c r="W335" s="522"/>
      <c r="X335" s="522"/>
      <c r="Y335" s="522"/>
      <c r="Z335" s="522" t="str">
        <f>Calcu_ADJ!K19</f>
        <v/>
      </c>
      <c r="AA335" s="522"/>
      <c r="AB335" s="522"/>
      <c r="AC335" s="522"/>
      <c r="AD335" s="522"/>
      <c r="AE335" s="522"/>
      <c r="AF335" s="522"/>
      <c r="AG335" s="522" t="str">
        <f>Calcu_ADJ!L19</f>
        <v/>
      </c>
      <c r="AH335" s="522"/>
      <c r="AI335" s="522"/>
      <c r="AJ335" s="522"/>
      <c r="AK335" s="522"/>
      <c r="AL335" s="522"/>
      <c r="AM335" s="522"/>
      <c r="AN335" s="522" t="str">
        <f t="shared" si="9"/>
        <v/>
      </c>
      <c r="AO335" s="522"/>
      <c r="AP335" s="522"/>
      <c r="AQ335" s="522"/>
      <c r="AR335" s="522"/>
      <c r="AS335" s="522"/>
      <c r="AT335" s="522"/>
    </row>
    <row r="336" spans="1:46" ht="18" customHeight="1">
      <c r="A336" s="336"/>
      <c r="B336" s="546">
        <f>Calcu_ADJ!D20</f>
        <v>12</v>
      </c>
      <c r="C336" s="546"/>
      <c r="D336" s="546"/>
      <c r="E336" s="547" t="str">
        <f>Calcu_ADJ!H20</f>
        <v/>
      </c>
      <c r="F336" s="548"/>
      <c r="G336" s="548"/>
      <c r="H336" s="548"/>
      <c r="I336" s="548"/>
      <c r="J336" s="548"/>
      <c r="K336" s="548"/>
      <c r="L336" s="543" t="str">
        <f>Calcu_ADJ!I20</f>
        <v/>
      </c>
      <c r="M336" s="544"/>
      <c r="N336" s="544"/>
      <c r="O336" s="544"/>
      <c r="P336" s="544"/>
      <c r="Q336" s="544"/>
      <c r="R336" s="545"/>
      <c r="S336" s="522" t="str">
        <f>Calcu_ADJ!J20</f>
        <v/>
      </c>
      <c r="T336" s="522"/>
      <c r="U336" s="522"/>
      <c r="V336" s="522"/>
      <c r="W336" s="522"/>
      <c r="X336" s="522"/>
      <c r="Y336" s="522"/>
      <c r="Z336" s="522" t="str">
        <f>Calcu_ADJ!K20</f>
        <v/>
      </c>
      <c r="AA336" s="522"/>
      <c r="AB336" s="522"/>
      <c r="AC336" s="522"/>
      <c r="AD336" s="522"/>
      <c r="AE336" s="522"/>
      <c r="AF336" s="522"/>
      <c r="AG336" s="522" t="str">
        <f>Calcu_ADJ!L20</f>
        <v/>
      </c>
      <c r="AH336" s="522"/>
      <c r="AI336" s="522"/>
      <c r="AJ336" s="522"/>
      <c r="AK336" s="522"/>
      <c r="AL336" s="522"/>
      <c r="AM336" s="522"/>
      <c r="AN336" s="522" t="str">
        <f t="shared" si="9"/>
        <v/>
      </c>
      <c r="AO336" s="522"/>
      <c r="AP336" s="522"/>
      <c r="AQ336" s="522"/>
      <c r="AR336" s="522"/>
      <c r="AS336" s="522"/>
      <c r="AT336" s="522"/>
    </row>
    <row r="337" spans="1:46" ht="18" customHeight="1">
      <c r="A337" s="336"/>
      <c r="B337" s="546">
        <f>Calcu_ADJ!D21</f>
        <v>13</v>
      </c>
      <c r="C337" s="546"/>
      <c r="D337" s="546"/>
      <c r="E337" s="547" t="str">
        <f>Calcu_ADJ!H21</f>
        <v/>
      </c>
      <c r="F337" s="548"/>
      <c r="G337" s="548"/>
      <c r="H337" s="548"/>
      <c r="I337" s="548"/>
      <c r="J337" s="548"/>
      <c r="K337" s="548"/>
      <c r="L337" s="543" t="str">
        <f>Calcu_ADJ!I21</f>
        <v/>
      </c>
      <c r="M337" s="544"/>
      <c r="N337" s="544"/>
      <c r="O337" s="544"/>
      <c r="P337" s="544"/>
      <c r="Q337" s="544"/>
      <c r="R337" s="545"/>
      <c r="S337" s="522" t="str">
        <f>Calcu_ADJ!J21</f>
        <v/>
      </c>
      <c r="T337" s="522"/>
      <c r="U337" s="522"/>
      <c r="V337" s="522"/>
      <c r="W337" s="522"/>
      <c r="X337" s="522"/>
      <c r="Y337" s="522"/>
      <c r="Z337" s="522" t="str">
        <f>Calcu_ADJ!K21</f>
        <v/>
      </c>
      <c r="AA337" s="522"/>
      <c r="AB337" s="522"/>
      <c r="AC337" s="522"/>
      <c r="AD337" s="522"/>
      <c r="AE337" s="522"/>
      <c r="AF337" s="522"/>
      <c r="AG337" s="522" t="str">
        <f>Calcu_ADJ!L21</f>
        <v/>
      </c>
      <c r="AH337" s="522"/>
      <c r="AI337" s="522"/>
      <c r="AJ337" s="522"/>
      <c r="AK337" s="522"/>
      <c r="AL337" s="522"/>
      <c r="AM337" s="522"/>
      <c r="AN337" s="522" t="str">
        <f t="shared" si="9"/>
        <v/>
      </c>
      <c r="AO337" s="522"/>
      <c r="AP337" s="522"/>
      <c r="AQ337" s="522"/>
      <c r="AR337" s="522"/>
      <c r="AS337" s="522"/>
      <c r="AT337" s="522"/>
    </row>
    <row r="338" spans="1:46" ht="18" customHeight="1">
      <c r="A338" s="336"/>
      <c r="B338" s="546">
        <f>Calcu_ADJ!D22</f>
        <v>14</v>
      </c>
      <c r="C338" s="546"/>
      <c r="D338" s="546"/>
      <c r="E338" s="547" t="str">
        <f>Calcu_ADJ!H22</f>
        <v/>
      </c>
      <c r="F338" s="548"/>
      <c r="G338" s="548"/>
      <c r="H338" s="548"/>
      <c r="I338" s="548"/>
      <c r="J338" s="548"/>
      <c r="K338" s="548"/>
      <c r="L338" s="543" t="str">
        <f>Calcu_ADJ!I22</f>
        <v/>
      </c>
      <c r="M338" s="544"/>
      <c r="N338" s="544"/>
      <c r="O338" s="544"/>
      <c r="P338" s="544"/>
      <c r="Q338" s="544"/>
      <c r="R338" s="545"/>
      <c r="S338" s="522" t="str">
        <f>Calcu_ADJ!J22</f>
        <v/>
      </c>
      <c r="T338" s="522"/>
      <c r="U338" s="522"/>
      <c r="V338" s="522"/>
      <c r="W338" s="522"/>
      <c r="X338" s="522"/>
      <c r="Y338" s="522"/>
      <c r="Z338" s="522" t="str">
        <f>Calcu_ADJ!K22</f>
        <v/>
      </c>
      <c r="AA338" s="522"/>
      <c r="AB338" s="522"/>
      <c r="AC338" s="522"/>
      <c r="AD338" s="522"/>
      <c r="AE338" s="522"/>
      <c r="AF338" s="522"/>
      <c r="AG338" s="522" t="str">
        <f>Calcu_ADJ!L22</f>
        <v/>
      </c>
      <c r="AH338" s="522"/>
      <c r="AI338" s="522"/>
      <c r="AJ338" s="522"/>
      <c r="AK338" s="522"/>
      <c r="AL338" s="522"/>
      <c r="AM338" s="522"/>
      <c r="AN338" s="522" t="str">
        <f t="shared" si="9"/>
        <v/>
      </c>
      <c r="AO338" s="522"/>
      <c r="AP338" s="522"/>
      <c r="AQ338" s="522"/>
      <c r="AR338" s="522"/>
      <c r="AS338" s="522"/>
      <c r="AT338" s="522"/>
    </row>
    <row r="339" spans="1:46" ht="18" customHeight="1">
      <c r="A339" s="336"/>
      <c r="B339" s="546">
        <f>Calcu_ADJ!D23</f>
        <v>15</v>
      </c>
      <c r="C339" s="546"/>
      <c r="D339" s="546"/>
      <c r="E339" s="547" t="str">
        <f>Calcu_ADJ!H23</f>
        <v/>
      </c>
      <c r="F339" s="548"/>
      <c r="G339" s="548"/>
      <c r="H339" s="548"/>
      <c r="I339" s="548"/>
      <c r="J339" s="548"/>
      <c r="K339" s="548"/>
      <c r="L339" s="543" t="str">
        <f>Calcu_ADJ!I23</f>
        <v/>
      </c>
      <c r="M339" s="544"/>
      <c r="N339" s="544"/>
      <c r="O339" s="544"/>
      <c r="P339" s="544"/>
      <c r="Q339" s="544"/>
      <c r="R339" s="545"/>
      <c r="S339" s="522" t="str">
        <f>Calcu_ADJ!J23</f>
        <v/>
      </c>
      <c r="T339" s="522"/>
      <c r="U339" s="522"/>
      <c r="V339" s="522"/>
      <c r="W339" s="522"/>
      <c r="X339" s="522"/>
      <c r="Y339" s="522"/>
      <c r="Z339" s="522" t="str">
        <f>Calcu_ADJ!K23</f>
        <v/>
      </c>
      <c r="AA339" s="522"/>
      <c r="AB339" s="522"/>
      <c r="AC339" s="522"/>
      <c r="AD339" s="522"/>
      <c r="AE339" s="522"/>
      <c r="AF339" s="522"/>
      <c r="AG339" s="522" t="str">
        <f>Calcu_ADJ!L23</f>
        <v/>
      </c>
      <c r="AH339" s="522"/>
      <c r="AI339" s="522"/>
      <c r="AJ339" s="522"/>
      <c r="AK339" s="522"/>
      <c r="AL339" s="522"/>
      <c r="AM339" s="522"/>
      <c r="AN339" s="522" t="str">
        <f t="shared" si="9"/>
        <v/>
      </c>
      <c r="AO339" s="522"/>
      <c r="AP339" s="522"/>
      <c r="AQ339" s="522"/>
      <c r="AR339" s="522"/>
      <c r="AS339" s="522"/>
      <c r="AT339" s="522"/>
    </row>
    <row r="340" spans="1:46" ht="18" customHeight="1">
      <c r="A340" s="336"/>
      <c r="B340" s="546">
        <f>Calcu_ADJ!D24</f>
        <v>16</v>
      </c>
      <c r="C340" s="546"/>
      <c r="D340" s="546"/>
      <c r="E340" s="547" t="str">
        <f>Calcu_ADJ!H24</f>
        <v/>
      </c>
      <c r="F340" s="548"/>
      <c r="G340" s="548"/>
      <c r="H340" s="548"/>
      <c r="I340" s="548"/>
      <c r="J340" s="548"/>
      <c r="K340" s="548"/>
      <c r="L340" s="543" t="str">
        <f>Calcu_ADJ!I24</f>
        <v/>
      </c>
      <c r="M340" s="544"/>
      <c r="N340" s="544"/>
      <c r="O340" s="544"/>
      <c r="P340" s="544"/>
      <c r="Q340" s="544"/>
      <c r="R340" s="545"/>
      <c r="S340" s="522" t="str">
        <f>Calcu_ADJ!J24</f>
        <v/>
      </c>
      <c r="T340" s="522"/>
      <c r="U340" s="522"/>
      <c r="V340" s="522"/>
      <c r="W340" s="522"/>
      <c r="X340" s="522"/>
      <c r="Y340" s="522"/>
      <c r="Z340" s="522" t="str">
        <f>Calcu_ADJ!K24</f>
        <v/>
      </c>
      <c r="AA340" s="522"/>
      <c r="AB340" s="522"/>
      <c r="AC340" s="522"/>
      <c r="AD340" s="522"/>
      <c r="AE340" s="522"/>
      <c r="AF340" s="522"/>
      <c r="AG340" s="522" t="str">
        <f>Calcu_ADJ!L24</f>
        <v/>
      </c>
      <c r="AH340" s="522"/>
      <c r="AI340" s="522"/>
      <c r="AJ340" s="522"/>
      <c r="AK340" s="522"/>
      <c r="AL340" s="522"/>
      <c r="AM340" s="522"/>
      <c r="AN340" s="522" t="str">
        <f t="shared" si="9"/>
        <v/>
      </c>
      <c r="AO340" s="522"/>
      <c r="AP340" s="522"/>
      <c r="AQ340" s="522"/>
      <c r="AR340" s="522"/>
      <c r="AS340" s="522"/>
      <c r="AT340" s="522"/>
    </row>
    <row r="341" spans="1:46" ht="18" customHeight="1">
      <c r="A341" s="336"/>
      <c r="B341" s="546">
        <f>Calcu_ADJ!D25</f>
        <v>17</v>
      </c>
      <c r="C341" s="546"/>
      <c r="D341" s="546"/>
      <c r="E341" s="547" t="str">
        <f>Calcu_ADJ!H25</f>
        <v/>
      </c>
      <c r="F341" s="548"/>
      <c r="G341" s="548"/>
      <c r="H341" s="548"/>
      <c r="I341" s="548"/>
      <c r="J341" s="548"/>
      <c r="K341" s="548"/>
      <c r="L341" s="543" t="str">
        <f>Calcu_ADJ!I25</f>
        <v/>
      </c>
      <c r="M341" s="544"/>
      <c r="N341" s="544"/>
      <c r="O341" s="544"/>
      <c r="P341" s="544"/>
      <c r="Q341" s="544"/>
      <c r="R341" s="545"/>
      <c r="S341" s="522" t="str">
        <f>Calcu_ADJ!J25</f>
        <v/>
      </c>
      <c r="T341" s="522"/>
      <c r="U341" s="522"/>
      <c r="V341" s="522"/>
      <c r="W341" s="522"/>
      <c r="X341" s="522"/>
      <c r="Y341" s="522"/>
      <c r="Z341" s="522" t="str">
        <f>Calcu_ADJ!K25</f>
        <v/>
      </c>
      <c r="AA341" s="522"/>
      <c r="AB341" s="522"/>
      <c r="AC341" s="522"/>
      <c r="AD341" s="522"/>
      <c r="AE341" s="522"/>
      <c r="AF341" s="522"/>
      <c r="AG341" s="522" t="str">
        <f>Calcu_ADJ!L25</f>
        <v/>
      </c>
      <c r="AH341" s="522"/>
      <c r="AI341" s="522"/>
      <c r="AJ341" s="522"/>
      <c r="AK341" s="522"/>
      <c r="AL341" s="522"/>
      <c r="AM341" s="522"/>
      <c r="AN341" s="522" t="str">
        <f t="shared" si="9"/>
        <v/>
      </c>
      <c r="AO341" s="522"/>
      <c r="AP341" s="522"/>
      <c r="AQ341" s="522"/>
      <c r="AR341" s="522"/>
      <c r="AS341" s="522"/>
      <c r="AT341" s="522"/>
    </row>
    <row r="342" spans="1:46" ht="18" customHeight="1">
      <c r="A342" s="336"/>
      <c r="B342" s="546">
        <f>Calcu_ADJ!D26</f>
        <v>18</v>
      </c>
      <c r="C342" s="546"/>
      <c r="D342" s="546"/>
      <c r="E342" s="547" t="str">
        <f>Calcu_ADJ!H26</f>
        <v/>
      </c>
      <c r="F342" s="548"/>
      <c r="G342" s="548"/>
      <c r="H342" s="548"/>
      <c r="I342" s="548"/>
      <c r="J342" s="548"/>
      <c r="K342" s="548"/>
      <c r="L342" s="543" t="str">
        <f>Calcu_ADJ!I26</f>
        <v/>
      </c>
      <c r="M342" s="544"/>
      <c r="N342" s="544"/>
      <c r="O342" s="544"/>
      <c r="P342" s="544"/>
      <c r="Q342" s="544"/>
      <c r="R342" s="545"/>
      <c r="S342" s="522" t="str">
        <f>Calcu_ADJ!J26</f>
        <v/>
      </c>
      <c r="T342" s="522"/>
      <c r="U342" s="522"/>
      <c r="V342" s="522"/>
      <c r="W342" s="522"/>
      <c r="X342" s="522"/>
      <c r="Y342" s="522"/>
      <c r="Z342" s="522" t="str">
        <f>Calcu_ADJ!K26</f>
        <v/>
      </c>
      <c r="AA342" s="522"/>
      <c r="AB342" s="522"/>
      <c r="AC342" s="522"/>
      <c r="AD342" s="522"/>
      <c r="AE342" s="522"/>
      <c r="AF342" s="522"/>
      <c r="AG342" s="522" t="str">
        <f>Calcu_ADJ!L26</f>
        <v/>
      </c>
      <c r="AH342" s="522"/>
      <c r="AI342" s="522"/>
      <c r="AJ342" s="522"/>
      <c r="AK342" s="522"/>
      <c r="AL342" s="522"/>
      <c r="AM342" s="522"/>
      <c r="AN342" s="522" t="str">
        <f t="shared" si="9"/>
        <v/>
      </c>
      <c r="AO342" s="522"/>
      <c r="AP342" s="522"/>
      <c r="AQ342" s="522"/>
      <c r="AR342" s="522"/>
      <c r="AS342" s="522"/>
      <c r="AT342" s="522"/>
    </row>
    <row r="343" spans="1:46" ht="18" customHeight="1">
      <c r="A343" s="336"/>
      <c r="B343" s="546">
        <f>Calcu_ADJ!D27</f>
        <v>19</v>
      </c>
      <c r="C343" s="546"/>
      <c r="D343" s="546"/>
      <c r="E343" s="547" t="str">
        <f>Calcu_ADJ!H27</f>
        <v/>
      </c>
      <c r="F343" s="548"/>
      <c r="G343" s="548"/>
      <c r="H343" s="548"/>
      <c r="I343" s="548"/>
      <c r="J343" s="548"/>
      <c r="K343" s="548"/>
      <c r="L343" s="543" t="str">
        <f>Calcu_ADJ!I27</f>
        <v/>
      </c>
      <c r="M343" s="544"/>
      <c r="N343" s="544"/>
      <c r="O343" s="544"/>
      <c r="P343" s="544"/>
      <c r="Q343" s="544"/>
      <c r="R343" s="545"/>
      <c r="S343" s="522" t="str">
        <f>Calcu_ADJ!J27</f>
        <v/>
      </c>
      <c r="T343" s="522"/>
      <c r="U343" s="522"/>
      <c r="V343" s="522"/>
      <c r="W343" s="522"/>
      <c r="X343" s="522"/>
      <c r="Y343" s="522"/>
      <c r="Z343" s="522" t="str">
        <f>Calcu_ADJ!K27</f>
        <v/>
      </c>
      <c r="AA343" s="522"/>
      <c r="AB343" s="522"/>
      <c r="AC343" s="522"/>
      <c r="AD343" s="522"/>
      <c r="AE343" s="522"/>
      <c r="AF343" s="522"/>
      <c r="AG343" s="522" t="str">
        <f>Calcu_ADJ!L27</f>
        <v/>
      </c>
      <c r="AH343" s="522"/>
      <c r="AI343" s="522"/>
      <c r="AJ343" s="522"/>
      <c r="AK343" s="522"/>
      <c r="AL343" s="522"/>
      <c r="AM343" s="522"/>
      <c r="AN343" s="522" t="str">
        <f t="shared" si="9"/>
        <v/>
      </c>
      <c r="AO343" s="522"/>
      <c r="AP343" s="522"/>
      <c r="AQ343" s="522"/>
      <c r="AR343" s="522"/>
      <c r="AS343" s="522"/>
      <c r="AT343" s="522"/>
    </row>
    <row r="344" spans="1:46" ht="18" customHeight="1">
      <c r="A344" s="336"/>
      <c r="B344" s="546">
        <f>Calcu_ADJ!D28</f>
        <v>20</v>
      </c>
      <c r="C344" s="546"/>
      <c r="D344" s="546"/>
      <c r="E344" s="547" t="str">
        <f>Calcu_ADJ!H28</f>
        <v/>
      </c>
      <c r="F344" s="548"/>
      <c r="G344" s="548"/>
      <c r="H344" s="548"/>
      <c r="I344" s="548"/>
      <c r="J344" s="548"/>
      <c r="K344" s="548"/>
      <c r="L344" s="543" t="str">
        <f>Calcu_ADJ!I28</f>
        <v/>
      </c>
      <c r="M344" s="544"/>
      <c r="N344" s="544"/>
      <c r="O344" s="544"/>
      <c r="P344" s="544"/>
      <c r="Q344" s="544"/>
      <c r="R344" s="545"/>
      <c r="S344" s="522" t="str">
        <f>Calcu_ADJ!J28</f>
        <v/>
      </c>
      <c r="T344" s="522"/>
      <c r="U344" s="522"/>
      <c r="V344" s="522"/>
      <c r="W344" s="522"/>
      <c r="X344" s="522"/>
      <c r="Y344" s="522"/>
      <c r="Z344" s="522" t="str">
        <f>Calcu_ADJ!K28</f>
        <v/>
      </c>
      <c r="AA344" s="522"/>
      <c r="AB344" s="522"/>
      <c r="AC344" s="522"/>
      <c r="AD344" s="522"/>
      <c r="AE344" s="522"/>
      <c r="AF344" s="522"/>
      <c r="AG344" s="522" t="str">
        <f>Calcu_ADJ!L28</f>
        <v/>
      </c>
      <c r="AH344" s="522"/>
      <c r="AI344" s="522"/>
      <c r="AJ344" s="522"/>
      <c r="AK344" s="522"/>
      <c r="AL344" s="522"/>
      <c r="AM344" s="522"/>
      <c r="AN344" s="522" t="str">
        <f t="shared" si="9"/>
        <v/>
      </c>
      <c r="AO344" s="522"/>
      <c r="AP344" s="522"/>
      <c r="AQ344" s="522"/>
      <c r="AR344" s="522"/>
      <c r="AS344" s="522"/>
      <c r="AT344" s="522"/>
    </row>
    <row r="345" spans="1:46" ht="18" customHeight="1">
      <c r="A345" s="336"/>
      <c r="B345" s="546">
        <f>Calcu_ADJ!D29</f>
        <v>21</v>
      </c>
      <c r="C345" s="546"/>
      <c r="D345" s="546"/>
      <c r="E345" s="547" t="str">
        <f>Calcu_ADJ!H29</f>
        <v/>
      </c>
      <c r="F345" s="548"/>
      <c r="G345" s="548"/>
      <c r="H345" s="548"/>
      <c r="I345" s="548"/>
      <c r="J345" s="548"/>
      <c r="K345" s="548"/>
      <c r="L345" s="543" t="str">
        <f>Calcu_ADJ!I29</f>
        <v/>
      </c>
      <c r="M345" s="544"/>
      <c r="N345" s="544"/>
      <c r="O345" s="544"/>
      <c r="P345" s="544"/>
      <c r="Q345" s="544"/>
      <c r="R345" s="545"/>
      <c r="S345" s="522" t="str">
        <f>Calcu_ADJ!J29</f>
        <v/>
      </c>
      <c r="T345" s="522"/>
      <c r="U345" s="522"/>
      <c r="V345" s="522"/>
      <c r="W345" s="522"/>
      <c r="X345" s="522"/>
      <c r="Y345" s="522"/>
      <c r="Z345" s="522" t="str">
        <f>Calcu_ADJ!K29</f>
        <v/>
      </c>
      <c r="AA345" s="522"/>
      <c r="AB345" s="522"/>
      <c r="AC345" s="522"/>
      <c r="AD345" s="522"/>
      <c r="AE345" s="522"/>
      <c r="AF345" s="522"/>
      <c r="AG345" s="522" t="str">
        <f>Calcu_ADJ!L29</f>
        <v/>
      </c>
      <c r="AH345" s="522"/>
      <c r="AI345" s="522"/>
      <c r="AJ345" s="522"/>
      <c r="AK345" s="522"/>
      <c r="AL345" s="522"/>
      <c r="AM345" s="522"/>
      <c r="AN345" s="522" t="str">
        <f t="shared" si="9"/>
        <v/>
      </c>
      <c r="AO345" s="522"/>
      <c r="AP345" s="522"/>
      <c r="AQ345" s="522"/>
      <c r="AR345" s="522"/>
      <c r="AS345" s="522"/>
      <c r="AT345" s="522"/>
    </row>
    <row r="346" spans="1:46" ht="18" customHeight="1">
      <c r="A346" s="336"/>
      <c r="B346" s="546">
        <f>Calcu_ADJ!D30</f>
        <v>22</v>
      </c>
      <c r="C346" s="546"/>
      <c r="D346" s="546"/>
      <c r="E346" s="547" t="str">
        <f>Calcu_ADJ!H30</f>
        <v/>
      </c>
      <c r="F346" s="548"/>
      <c r="G346" s="548"/>
      <c r="H346" s="548"/>
      <c r="I346" s="548"/>
      <c r="J346" s="548"/>
      <c r="K346" s="548"/>
      <c r="L346" s="543" t="str">
        <f>Calcu_ADJ!I30</f>
        <v/>
      </c>
      <c r="M346" s="544"/>
      <c r="N346" s="544"/>
      <c r="O346" s="544"/>
      <c r="P346" s="544"/>
      <c r="Q346" s="544"/>
      <c r="R346" s="545"/>
      <c r="S346" s="522" t="str">
        <f>Calcu_ADJ!J30</f>
        <v/>
      </c>
      <c r="T346" s="522"/>
      <c r="U346" s="522"/>
      <c r="V346" s="522"/>
      <c r="W346" s="522"/>
      <c r="X346" s="522"/>
      <c r="Y346" s="522"/>
      <c r="Z346" s="522" t="str">
        <f>Calcu_ADJ!K30</f>
        <v/>
      </c>
      <c r="AA346" s="522"/>
      <c r="AB346" s="522"/>
      <c r="AC346" s="522"/>
      <c r="AD346" s="522"/>
      <c r="AE346" s="522"/>
      <c r="AF346" s="522"/>
      <c r="AG346" s="522" t="str">
        <f>Calcu_ADJ!L30</f>
        <v/>
      </c>
      <c r="AH346" s="522"/>
      <c r="AI346" s="522"/>
      <c r="AJ346" s="522"/>
      <c r="AK346" s="522"/>
      <c r="AL346" s="522"/>
      <c r="AM346" s="522"/>
      <c r="AN346" s="522" t="str">
        <f t="shared" si="9"/>
        <v/>
      </c>
      <c r="AO346" s="522"/>
      <c r="AP346" s="522"/>
      <c r="AQ346" s="522"/>
      <c r="AR346" s="522"/>
      <c r="AS346" s="522"/>
      <c r="AT346" s="522"/>
    </row>
    <row r="347" spans="1:46" ht="18" customHeight="1">
      <c r="A347" s="336"/>
      <c r="B347" s="546">
        <f>Calcu_ADJ!D31</f>
        <v>23</v>
      </c>
      <c r="C347" s="546"/>
      <c r="D347" s="546"/>
      <c r="E347" s="547" t="str">
        <f>Calcu_ADJ!H31</f>
        <v/>
      </c>
      <c r="F347" s="548"/>
      <c r="G347" s="548"/>
      <c r="H347" s="548"/>
      <c r="I347" s="548"/>
      <c r="J347" s="548"/>
      <c r="K347" s="548"/>
      <c r="L347" s="543" t="str">
        <f>Calcu_ADJ!I31</f>
        <v/>
      </c>
      <c r="M347" s="544"/>
      <c r="N347" s="544"/>
      <c r="O347" s="544"/>
      <c r="P347" s="544"/>
      <c r="Q347" s="544"/>
      <c r="R347" s="545"/>
      <c r="S347" s="522" t="str">
        <f>Calcu_ADJ!J31</f>
        <v/>
      </c>
      <c r="T347" s="522"/>
      <c r="U347" s="522"/>
      <c r="V347" s="522"/>
      <c r="W347" s="522"/>
      <c r="X347" s="522"/>
      <c r="Y347" s="522"/>
      <c r="Z347" s="522" t="str">
        <f>Calcu_ADJ!K31</f>
        <v/>
      </c>
      <c r="AA347" s="522"/>
      <c r="AB347" s="522"/>
      <c r="AC347" s="522"/>
      <c r="AD347" s="522"/>
      <c r="AE347" s="522"/>
      <c r="AF347" s="522"/>
      <c r="AG347" s="522" t="str">
        <f>Calcu_ADJ!L31</f>
        <v/>
      </c>
      <c r="AH347" s="522"/>
      <c r="AI347" s="522"/>
      <c r="AJ347" s="522"/>
      <c r="AK347" s="522"/>
      <c r="AL347" s="522"/>
      <c r="AM347" s="522"/>
      <c r="AN347" s="522" t="str">
        <f t="shared" si="9"/>
        <v/>
      </c>
      <c r="AO347" s="522"/>
      <c r="AP347" s="522"/>
      <c r="AQ347" s="522"/>
      <c r="AR347" s="522"/>
      <c r="AS347" s="522"/>
      <c r="AT347" s="522"/>
    </row>
    <row r="348" spans="1:46" ht="18" customHeight="1">
      <c r="A348" s="336"/>
      <c r="B348" s="546">
        <f>Calcu_ADJ!D32</f>
        <v>24</v>
      </c>
      <c r="C348" s="546"/>
      <c r="D348" s="546"/>
      <c r="E348" s="547" t="str">
        <f>Calcu_ADJ!H32</f>
        <v/>
      </c>
      <c r="F348" s="548"/>
      <c r="G348" s="548"/>
      <c r="H348" s="548"/>
      <c r="I348" s="548"/>
      <c r="J348" s="548"/>
      <c r="K348" s="548"/>
      <c r="L348" s="543" t="str">
        <f>Calcu_ADJ!I32</f>
        <v/>
      </c>
      <c r="M348" s="544"/>
      <c r="N348" s="544"/>
      <c r="O348" s="544"/>
      <c r="P348" s="544"/>
      <c r="Q348" s="544"/>
      <c r="R348" s="545"/>
      <c r="S348" s="522" t="str">
        <f>Calcu_ADJ!J32</f>
        <v/>
      </c>
      <c r="T348" s="522"/>
      <c r="U348" s="522"/>
      <c r="V348" s="522"/>
      <c r="W348" s="522"/>
      <c r="X348" s="522"/>
      <c r="Y348" s="522"/>
      <c r="Z348" s="522" t="str">
        <f>Calcu_ADJ!K32</f>
        <v/>
      </c>
      <c r="AA348" s="522"/>
      <c r="AB348" s="522"/>
      <c r="AC348" s="522"/>
      <c r="AD348" s="522"/>
      <c r="AE348" s="522"/>
      <c r="AF348" s="522"/>
      <c r="AG348" s="522" t="str">
        <f>Calcu_ADJ!L32</f>
        <v/>
      </c>
      <c r="AH348" s="522"/>
      <c r="AI348" s="522"/>
      <c r="AJ348" s="522"/>
      <c r="AK348" s="522"/>
      <c r="AL348" s="522"/>
      <c r="AM348" s="522"/>
      <c r="AN348" s="522" t="str">
        <f t="shared" si="9"/>
        <v/>
      </c>
      <c r="AO348" s="522"/>
      <c r="AP348" s="522"/>
      <c r="AQ348" s="522"/>
      <c r="AR348" s="522"/>
      <c r="AS348" s="522"/>
      <c r="AT348" s="522"/>
    </row>
    <row r="349" spans="1:46" ht="18" customHeight="1">
      <c r="A349" s="336"/>
      <c r="B349" s="546">
        <f>Calcu_ADJ!D33</f>
        <v>25</v>
      </c>
      <c r="C349" s="546"/>
      <c r="D349" s="546"/>
      <c r="E349" s="547" t="str">
        <f>Calcu_ADJ!H33</f>
        <v/>
      </c>
      <c r="F349" s="548"/>
      <c r="G349" s="548"/>
      <c r="H349" s="548"/>
      <c r="I349" s="548"/>
      <c r="J349" s="548"/>
      <c r="K349" s="548"/>
      <c r="L349" s="543" t="str">
        <f>Calcu_ADJ!I33</f>
        <v/>
      </c>
      <c r="M349" s="544"/>
      <c r="N349" s="544"/>
      <c r="O349" s="544"/>
      <c r="P349" s="544"/>
      <c r="Q349" s="544"/>
      <c r="R349" s="545"/>
      <c r="S349" s="522" t="str">
        <f>Calcu_ADJ!J33</f>
        <v/>
      </c>
      <c r="T349" s="522"/>
      <c r="U349" s="522"/>
      <c r="V349" s="522"/>
      <c r="W349" s="522"/>
      <c r="X349" s="522"/>
      <c r="Y349" s="522"/>
      <c r="Z349" s="522" t="str">
        <f>Calcu_ADJ!K33</f>
        <v/>
      </c>
      <c r="AA349" s="522"/>
      <c r="AB349" s="522"/>
      <c r="AC349" s="522"/>
      <c r="AD349" s="522"/>
      <c r="AE349" s="522"/>
      <c r="AF349" s="522"/>
      <c r="AG349" s="522" t="str">
        <f>Calcu_ADJ!L33</f>
        <v/>
      </c>
      <c r="AH349" s="522"/>
      <c r="AI349" s="522"/>
      <c r="AJ349" s="522"/>
      <c r="AK349" s="522"/>
      <c r="AL349" s="522"/>
      <c r="AM349" s="522"/>
      <c r="AN349" s="522" t="str">
        <f t="shared" si="9"/>
        <v/>
      </c>
      <c r="AO349" s="522"/>
      <c r="AP349" s="522"/>
      <c r="AQ349" s="522"/>
      <c r="AR349" s="522"/>
      <c r="AS349" s="522"/>
      <c r="AT349" s="522"/>
    </row>
    <row r="350" spans="1:46" ht="18" customHeight="1">
      <c r="A350" s="336"/>
      <c r="B350" s="546">
        <f>Calcu_ADJ!D34</f>
        <v>26</v>
      </c>
      <c r="C350" s="546"/>
      <c r="D350" s="546"/>
      <c r="E350" s="547" t="str">
        <f>Calcu_ADJ!H34</f>
        <v/>
      </c>
      <c r="F350" s="548"/>
      <c r="G350" s="548"/>
      <c r="H350" s="548"/>
      <c r="I350" s="548"/>
      <c r="J350" s="548"/>
      <c r="K350" s="548"/>
      <c r="L350" s="543" t="str">
        <f>Calcu_ADJ!I34</f>
        <v/>
      </c>
      <c r="M350" s="544"/>
      <c r="N350" s="544"/>
      <c r="O350" s="544"/>
      <c r="P350" s="544"/>
      <c r="Q350" s="544"/>
      <c r="R350" s="545"/>
      <c r="S350" s="522" t="str">
        <f>Calcu_ADJ!J34</f>
        <v/>
      </c>
      <c r="T350" s="522"/>
      <c r="U350" s="522"/>
      <c r="V350" s="522"/>
      <c r="W350" s="522"/>
      <c r="X350" s="522"/>
      <c r="Y350" s="522"/>
      <c r="Z350" s="522" t="str">
        <f>Calcu_ADJ!K34</f>
        <v/>
      </c>
      <c r="AA350" s="522"/>
      <c r="AB350" s="522"/>
      <c r="AC350" s="522"/>
      <c r="AD350" s="522"/>
      <c r="AE350" s="522"/>
      <c r="AF350" s="522"/>
      <c r="AG350" s="522" t="str">
        <f>Calcu_ADJ!L34</f>
        <v/>
      </c>
      <c r="AH350" s="522"/>
      <c r="AI350" s="522"/>
      <c r="AJ350" s="522"/>
      <c r="AK350" s="522"/>
      <c r="AL350" s="522"/>
      <c r="AM350" s="522"/>
      <c r="AN350" s="522" t="str">
        <f t="shared" si="9"/>
        <v/>
      </c>
      <c r="AO350" s="522"/>
      <c r="AP350" s="522"/>
      <c r="AQ350" s="522"/>
      <c r="AR350" s="522"/>
      <c r="AS350" s="522"/>
      <c r="AT350" s="522"/>
    </row>
    <row r="351" spans="1:46" ht="18" customHeight="1">
      <c r="A351" s="336"/>
      <c r="B351" s="546">
        <f>Calcu_ADJ!D35</f>
        <v>27</v>
      </c>
      <c r="C351" s="546"/>
      <c r="D351" s="546"/>
      <c r="E351" s="547" t="str">
        <f>Calcu_ADJ!H35</f>
        <v/>
      </c>
      <c r="F351" s="548"/>
      <c r="G351" s="548"/>
      <c r="H351" s="548"/>
      <c r="I351" s="548"/>
      <c r="J351" s="548"/>
      <c r="K351" s="548"/>
      <c r="L351" s="543" t="str">
        <f>Calcu_ADJ!I35</f>
        <v/>
      </c>
      <c r="M351" s="544"/>
      <c r="N351" s="544"/>
      <c r="O351" s="544"/>
      <c r="P351" s="544"/>
      <c r="Q351" s="544"/>
      <c r="R351" s="545"/>
      <c r="S351" s="522" t="str">
        <f>Calcu_ADJ!J35</f>
        <v/>
      </c>
      <c r="T351" s="522"/>
      <c r="U351" s="522"/>
      <c r="V351" s="522"/>
      <c r="W351" s="522"/>
      <c r="X351" s="522"/>
      <c r="Y351" s="522"/>
      <c r="Z351" s="522" t="str">
        <f>Calcu_ADJ!K35</f>
        <v/>
      </c>
      <c r="AA351" s="522"/>
      <c r="AB351" s="522"/>
      <c r="AC351" s="522"/>
      <c r="AD351" s="522"/>
      <c r="AE351" s="522"/>
      <c r="AF351" s="522"/>
      <c r="AG351" s="522" t="str">
        <f>Calcu_ADJ!L35</f>
        <v/>
      </c>
      <c r="AH351" s="522"/>
      <c r="AI351" s="522"/>
      <c r="AJ351" s="522"/>
      <c r="AK351" s="522"/>
      <c r="AL351" s="522"/>
      <c r="AM351" s="522"/>
      <c r="AN351" s="522" t="str">
        <f t="shared" si="9"/>
        <v/>
      </c>
      <c r="AO351" s="522"/>
      <c r="AP351" s="522"/>
      <c r="AQ351" s="522"/>
      <c r="AR351" s="522"/>
      <c r="AS351" s="522"/>
      <c r="AT351" s="522"/>
    </row>
    <row r="352" spans="1:46" ht="18" customHeight="1">
      <c r="A352" s="336"/>
      <c r="B352" s="546">
        <f>Calcu_ADJ!D36</f>
        <v>28</v>
      </c>
      <c r="C352" s="546"/>
      <c r="D352" s="546"/>
      <c r="E352" s="547" t="str">
        <f>Calcu_ADJ!H36</f>
        <v/>
      </c>
      <c r="F352" s="548"/>
      <c r="G352" s="548"/>
      <c r="H352" s="548"/>
      <c r="I352" s="548"/>
      <c r="J352" s="548"/>
      <c r="K352" s="548"/>
      <c r="L352" s="543" t="str">
        <f>Calcu_ADJ!I36</f>
        <v/>
      </c>
      <c r="M352" s="544"/>
      <c r="N352" s="544"/>
      <c r="O352" s="544"/>
      <c r="P352" s="544"/>
      <c r="Q352" s="544"/>
      <c r="R352" s="545"/>
      <c r="S352" s="522" t="str">
        <f>Calcu_ADJ!J36</f>
        <v/>
      </c>
      <c r="T352" s="522"/>
      <c r="U352" s="522"/>
      <c r="V352" s="522"/>
      <c r="W352" s="522"/>
      <c r="X352" s="522"/>
      <c r="Y352" s="522"/>
      <c r="Z352" s="522" t="str">
        <f>Calcu_ADJ!K36</f>
        <v/>
      </c>
      <c r="AA352" s="522"/>
      <c r="AB352" s="522"/>
      <c r="AC352" s="522"/>
      <c r="AD352" s="522"/>
      <c r="AE352" s="522"/>
      <c r="AF352" s="522"/>
      <c r="AG352" s="522" t="str">
        <f>Calcu_ADJ!L36</f>
        <v/>
      </c>
      <c r="AH352" s="522"/>
      <c r="AI352" s="522"/>
      <c r="AJ352" s="522"/>
      <c r="AK352" s="522"/>
      <c r="AL352" s="522"/>
      <c r="AM352" s="522"/>
      <c r="AN352" s="522" t="str">
        <f t="shared" si="9"/>
        <v/>
      </c>
      <c r="AO352" s="522"/>
      <c r="AP352" s="522"/>
      <c r="AQ352" s="522"/>
      <c r="AR352" s="522"/>
      <c r="AS352" s="522"/>
      <c r="AT352" s="522"/>
    </row>
    <row r="353" spans="1:46" ht="18" customHeight="1">
      <c r="A353" s="336"/>
      <c r="B353" s="546">
        <f>Calcu_ADJ!D37</f>
        <v>29</v>
      </c>
      <c r="C353" s="546"/>
      <c r="D353" s="546"/>
      <c r="E353" s="547" t="str">
        <f>Calcu_ADJ!H37</f>
        <v/>
      </c>
      <c r="F353" s="548"/>
      <c r="G353" s="548"/>
      <c r="H353" s="548"/>
      <c r="I353" s="548"/>
      <c r="J353" s="548"/>
      <c r="K353" s="548"/>
      <c r="L353" s="543" t="str">
        <f>Calcu_ADJ!I37</f>
        <v/>
      </c>
      <c r="M353" s="544"/>
      <c r="N353" s="544"/>
      <c r="O353" s="544"/>
      <c r="P353" s="544"/>
      <c r="Q353" s="544"/>
      <c r="R353" s="545"/>
      <c r="S353" s="522" t="str">
        <f>Calcu_ADJ!J37</f>
        <v/>
      </c>
      <c r="T353" s="522"/>
      <c r="U353" s="522"/>
      <c r="V353" s="522"/>
      <c r="W353" s="522"/>
      <c r="X353" s="522"/>
      <c r="Y353" s="522"/>
      <c r="Z353" s="522" t="str">
        <f>Calcu_ADJ!K37</f>
        <v/>
      </c>
      <c r="AA353" s="522"/>
      <c r="AB353" s="522"/>
      <c r="AC353" s="522"/>
      <c r="AD353" s="522"/>
      <c r="AE353" s="522"/>
      <c r="AF353" s="522"/>
      <c r="AG353" s="522" t="str">
        <f>Calcu_ADJ!L37</f>
        <v/>
      </c>
      <c r="AH353" s="522"/>
      <c r="AI353" s="522"/>
      <c r="AJ353" s="522"/>
      <c r="AK353" s="522"/>
      <c r="AL353" s="522"/>
      <c r="AM353" s="522"/>
      <c r="AN353" s="522" t="str">
        <f t="shared" si="9"/>
        <v/>
      </c>
      <c r="AO353" s="522"/>
      <c r="AP353" s="522"/>
      <c r="AQ353" s="522"/>
      <c r="AR353" s="522"/>
      <c r="AS353" s="522"/>
      <c r="AT353" s="522"/>
    </row>
    <row r="354" spans="1:46" ht="18" customHeight="1">
      <c r="A354" s="336"/>
      <c r="B354" s="549">
        <f>Calcu_ADJ!D38</f>
        <v>30</v>
      </c>
      <c r="C354" s="549"/>
      <c r="D354" s="549"/>
      <c r="E354" s="599" t="str">
        <f>Calcu_ADJ!H38</f>
        <v/>
      </c>
      <c r="F354" s="600"/>
      <c r="G354" s="600"/>
      <c r="H354" s="600"/>
      <c r="I354" s="600"/>
      <c r="J354" s="600"/>
      <c r="K354" s="600"/>
      <c r="L354" s="623" t="str">
        <f>Calcu_ADJ!I38</f>
        <v/>
      </c>
      <c r="M354" s="624"/>
      <c r="N354" s="624"/>
      <c r="O354" s="624"/>
      <c r="P354" s="624"/>
      <c r="Q354" s="624"/>
      <c r="R354" s="625"/>
      <c r="S354" s="549" t="str">
        <f>Calcu_ADJ!J38</f>
        <v/>
      </c>
      <c r="T354" s="549"/>
      <c r="U354" s="549"/>
      <c r="V354" s="549"/>
      <c r="W354" s="549"/>
      <c r="X354" s="549"/>
      <c r="Y354" s="549"/>
      <c r="Z354" s="549" t="str">
        <f>Calcu_ADJ!K38</f>
        <v/>
      </c>
      <c r="AA354" s="549"/>
      <c r="AB354" s="549"/>
      <c r="AC354" s="549"/>
      <c r="AD354" s="549"/>
      <c r="AE354" s="549"/>
      <c r="AF354" s="549"/>
      <c r="AG354" s="549" t="str">
        <f>Calcu_ADJ!L38</f>
        <v/>
      </c>
      <c r="AH354" s="549"/>
      <c r="AI354" s="549"/>
      <c r="AJ354" s="549"/>
      <c r="AK354" s="549"/>
      <c r="AL354" s="549"/>
      <c r="AM354" s="549"/>
      <c r="AN354" s="549" t="str">
        <f t="shared" si="9"/>
        <v/>
      </c>
      <c r="AO354" s="549"/>
      <c r="AP354" s="549"/>
      <c r="AQ354" s="549"/>
      <c r="AR354" s="549"/>
      <c r="AS354" s="549"/>
      <c r="AT354" s="549"/>
    </row>
    <row r="355" spans="1:46" s="336" customFormat="1" ht="18" customHeight="1">
      <c r="B355" s="233"/>
      <c r="C355" s="233"/>
      <c r="D355" s="233"/>
      <c r="E355" s="233"/>
      <c r="F355" s="233"/>
      <c r="G355" s="233"/>
      <c r="H355" s="233"/>
      <c r="I355" s="233"/>
      <c r="J355" s="233"/>
      <c r="K355" s="233"/>
      <c r="L355" s="233"/>
      <c r="M355" s="233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  <c r="Y355" s="233"/>
      <c r="Z355" s="233"/>
      <c r="AA355" s="233"/>
      <c r="AB355" s="233"/>
      <c r="AC355" s="233"/>
      <c r="AD355" s="233"/>
      <c r="AE355" s="233"/>
      <c r="AF355" s="233"/>
      <c r="AG355" s="233"/>
      <c r="AH355" s="233"/>
      <c r="AI355" s="233"/>
      <c r="AJ355" s="233"/>
      <c r="AK355" s="233"/>
      <c r="AL355" s="233"/>
      <c r="AM355" s="233"/>
      <c r="AN355" s="233"/>
      <c r="AO355" s="233"/>
      <c r="AP355" s="233"/>
      <c r="AQ355" s="233"/>
      <c r="AR355" s="80"/>
      <c r="AS355" s="80"/>
    </row>
    <row r="356" spans="1:46" s="83" customFormat="1" ht="18.75" customHeight="1">
      <c r="A356" s="90" t="s">
        <v>571</v>
      </c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</row>
    <row r="357" spans="1:46" s="83" customFormat="1" ht="18.75" customHeight="1">
      <c r="A357" s="114"/>
      <c r="B357" s="626" t="s">
        <v>859</v>
      </c>
      <c r="C357" s="627"/>
      <c r="D357" s="628"/>
      <c r="E357" s="635" t="s">
        <v>860</v>
      </c>
      <c r="F357" s="636"/>
      <c r="G357" s="636"/>
      <c r="H357" s="636"/>
      <c r="I357" s="636"/>
      <c r="J357" s="636"/>
      <c r="K357" s="636"/>
      <c r="L357" s="636"/>
      <c r="M357" s="636"/>
      <c r="N357" s="636"/>
      <c r="O357" s="636"/>
      <c r="P357" s="636"/>
      <c r="Q357" s="636"/>
      <c r="R357" s="637"/>
      <c r="S357" s="638" t="s">
        <v>861</v>
      </c>
      <c r="T357" s="639"/>
      <c r="U357" s="639"/>
      <c r="V357" s="639"/>
      <c r="W357" s="639"/>
      <c r="X357" s="639"/>
      <c r="Y357" s="639"/>
      <c r="Z357" s="639"/>
      <c r="AA357" s="639"/>
      <c r="AB357" s="639"/>
      <c r="AC357" s="639"/>
      <c r="AD357" s="639"/>
      <c r="AE357" s="639"/>
      <c r="AF357" s="639"/>
      <c r="AG357" s="639"/>
      <c r="AH357" s="639"/>
      <c r="AI357" s="639"/>
      <c r="AJ357" s="639"/>
      <c r="AK357" s="639"/>
      <c r="AL357" s="639"/>
      <c r="AM357" s="639"/>
      <c r="AN357" s="639"/>
      <c r="AO357" s="639"/>
      <c r="AP357" s="639"/>
      <c r="AQ357" s="639"/>
      <c r="AR357" s="639"/>
      <c r="AS357" s="639"/>
      <c r="AT357" s="640"/>
    </row>
    <row r="358" spans="1:46" s="83" customFormat="1" ht="18.75" customHeight="1">
      <c r="A358" s="114"/>
      <c r="B358" s="629"/>
      <c r="C358" s="630"/>
      <c r="D358" s="631"/>
      <c r="E358" s="626" t="s">
        <v>576</v>
      </c>
      <c r="F358" s="641"/>
      <c r="G358" s="641"/>
      <c r="H358" s="641"/>
      <c r="I358" s="641"/>
      <c r="J358" s="641"/>
      <c r="K358" s="642"/>
      <c r="L358" s="646" t="s">
        <v>862</v>
      </c>
      <c r="M358" s="647"/>
      <c r="N358" s="647"/>
      <c r="O358" s="647"/>
      <c r="P358" s="647"/>
      <c r="Q358" s="647"/>
      <c r="R358" s="648"/>
      <c r="S358" s="652" t="s">
        <v>863</v>
      </c>
      <c r="T358" s="647"/>
      <c r="U358" s="647"/>
      <c r="V358" s="647"/>
      <c r="W358" s="647"/>
      <c r="X358" s="647"/>
      <c r="Y358" s="648"/>
      <c r="Z358" s="652" t="s">
        <v>864</v>
      </c>
      <c r="AA358" s="647"/>
      <c r="AB358" s="647"/>
      <c r="AC358" s="647"/>
      <c r="AD358" s="647"/>
      <c r="AE358" s="647"/>
      <c r="AF358" s="648"/>
      <c r="AG358" s="652" t="s">
        <v>865</v>
      </c>
      <c r="AH358" s="647"/>
      <c r="AI358" s="647"/>
      <c r="AJ358" s="647"/>
      <c r="AK358" s="647"/>
      <c r="AL358" s="647"/>
      <c r="AM358" s="648"/>
      <c r="AN358" s="646" t="s">
        <v>599</v>
      </c>
      <c r="AO358" s="653"/>
      <c r="AP358" s="653"/>
      <c r="AQ358" s="653"/>
      <c r="AR358" s="653"/>
      <c r="AS358" s="653"/>
      <c r="AT358" s="654"/>
    </row>
    <row r="359" spans="1:46" s="83" customFormat="1" ht="18.75" customHeight="1">
      <c r="A359" s="114"/>
      <c r="B359" s="629"/>
      <c r="C359" s="630"/>
      <c r="D359" s="631"/>
      <c r="E359" s="643"/>
      <c r="F359" s="644"/>
      <c r="G359" s="644"/>
      <c r="H359" s="644"/>
      <c r="I359" s="644"/>
      <c r="J359" s="644"/>
      <c r="K359" s="645"/>
      <c r="L359" s="649"/>
      <c r="M359" s="650"/>
      <c r="N359" s="650"/>
      <c r="O359" s="650"/>
      <c r="P359" s="650"/>
      <c r="Q359" s="650"/>
      <c r="R359" s="651"/>
      <c r="S359" s="649"/>
      <c r="T359" s="650"/>
      <c r="U359" s="650"/>
      <c r="V359" s="650"/>
      <c r="W359" s="650"/>
      <c r="X359" s="650"/>
      <c r="Y359" s="651"/>
      <c r="Z359" s="649"/>
      <c r="AA359" s="650"/>
      <c r="AB359" s="650"/>
      <c r="AC359" s="650"/>
      <c r="AD359" s="650"/>
      <c r="AE359" s="650"/>
      <c r="AF359" s="651"/>
      <c r="AG359" s="649"/>
      <c r="AH359" s="650"/>
      <c r="AI359" s="650"/>
      <c r="AJ359" s="650"/>
      <c r="AK359" s="650"/>
      <c r="AL359" s="650"/>
      <c r="AM359" s="651"/>
      <c r="AN359" s="655"/>
      <c r="AO359" s="656"/>
      <c r="AP359" s="656"/>
      <c r="AQ359" s="656"/>
      <c r="AR359" s="656"/>
      <c r="AS359" s="656"/>
      <c r="AT359" s="657"/>
    </row>
    <row r="360" spans="1:46" s="83" customFormat="1" ht="18.75" customHeight="1">
      <c r="A360" s="114"/>
      <c r="B360" s="632"/>
      <c r="C360" s="633"/>
      <c r="D360" s="634"/>
      <c r="E360" s="658">
        <f t="shared" ref="E360:E390" si="10">E324</f>
        <v>0</v>
      </c>
      <c r="F360" s="636"/>
      <c r="G360" s="636"/>
      <c r="H360" s="636"/>
      <c r="I360" s="636"/>
      <c r="J360" s="636"/>
      <c r="K360" s="637"/>
      <c r="L360" s="659">
        <f t="shared" ref="L360:L390" si="11">L324</f>
        <v>0</v>
      </c>
      <c r="M360" s="639"/>
      <c r="N360" s="639"/>
      <c r="O360" s="639"/>
      <c r="P360" s="639"/>
      <c r="Q360" s="639"/>
      <c r="R360" s="640"/>
      <c r="S360" s="638">
        <f>S324</f>
        <v>0</v>
      </c>
      <c r="T360" s="639"/>
      <c r="U360" s="639"/>
      <c r="V360" s="639"/>
      <c r="W360" s="639"/>
      <c r="X360" s="639"/>
      <c r="Y360" s="640"/>
      <c r="Z360" s="638">
        <f>Z324</f>
        <v>0</v>
      </c>
      <c r="AA360" s="639"/>
      <c r="AB360" s="639"/>
      <c r="AC360" s="639"/>
      <c r="AD360" s="639"/>
      <c r="AE360" s="639"/>
      <c r="AF360" s="640"/>
      <c r="AG360" s="638">
        <f>AG324</f>
        <v>0</v>
      </c>
      <c r="AH360" s="639"/>
      <c r="AI360" s="639"/>
      <c r="AJ360" s="639"/>
      <c r="AK360" s="639"/>
      <c r="AL360" s="639"/>
      <c r="AM360" s="640"/>
      <c r="AN360" s="660">
        <f>AN324</f>
        <v>0</v>
      </c>
      <c r="AO360" s="661"/>
      <c r="AP360" s="661"/>
      <c r="AQ360" s="661"/>
      <c r="AR360" s="661"/>
      <c r="AS360" s="661"/>
      <c r="AT360" s="662"/>
    </row>
    <row r="361" spans="1:46" s="83" customFormat="1" ht="18.75" customHeight="1">
      <c r="A361" s="114"/>
      <c r="B361" s="535">
        <f>B325</f>
        <v>1</v>
      </c>
      <c r="C361" s="535"/>
      <c r="D361" s="535"/>
      <c r="E361" s="547" t="str">
        <f t="shared" si="10"/>
        <v/>
      </c>
      <c r="F361" s="548"/>
      <c r="G361" s="548"/>
      <c r="H361" s="548"/>
      <c r="I361" s="548"/>
      <c r="J361" s="548"/>
      <c r="K361" s="548"/>
      <c r="L361" s="543" t="str">
        <f t="shared" si="11"/>
        <v/>
      </c>
      <c r="M361" s="544"/>
      <c r="N361" s="544"/>
      <c r="O361" s="544"/>
      <c r="P361" s="544"/>
      <c r="Q361" s="544"/>
      <c r="R361" s="545"/>
      <c r="S361" s="522" t="str">
        <f ca="1">IF($L361="","",S325-IF($B361&lt;=$AL$319,S$325,OFFSET(S$324,$AL$319*2,0)))</f>
        <v/>
      </c>
      <c r="T361" s="522"/>
      <c r="U361" s="522"/>
      <c r="V361" s="522"/>
      <c r="W361" s="522"/>
      <c r="X361" s="522"/>
      <c r="Y361" s="522"/>
      <c r="Z361" s="523" t="str">
        <f t="shared" ref="Z361:Z390" ca="1" si="12">IF(OR($L361="",Z325="ⅹ"),"",Z325-IF($B361&lt;=$AL$319,$S$325,OFFSET($S$324,$AL$319*2,0)))</f>
        <v/>
      </c>
      <c r="AA361" s="524"/>
      <c r="AB361" s="524"/>
      <c r="AC361" s="524"/>
      <c r="AD361" s="524"/>
      <c r="AE361" s="524"/>
      <c r="AF361" s="525"/>
      <c r="AG361" s="523" t="str">
        <f t="shared" ref="AG361:AG390" ca="1" si="13">IF(OR($L361="",AG325="ⅹ"),"",AG325-IF($B361&lt;=$AL$319,$S$325,OFFSET($S$324,$AL$319*2,0)))</f>
        <v/>
      </c>
      <c r="AH361" s="524"/>
      <c r="AI361" s="524"/>
      <c r="AJ361" s="524"/>
      <c r="AK361" s="524"/>
      <c r="AL361" s="524"/>
      <c r="AM361" s="525"/>
      <c r="AN361" s="523" t="str">
        <f t="shared" ref="AN361:AN390" ca="1" si="14">IF(Z361="","",MAX(ABS(Z361-S361),ABS(AG361-S361),ABS(AG361-Z361)))</f>
        <v/>
      </c>
      <c r="AO361" s="524"/>
      <c r="AP361" s="524"/>
      <c r="AQ361" s="524"/>
      <c r="AR361" s="524"/>
      <c r="AS361" s="524"/>
      <c r="AT361" s="525"/>
    </row>
    <row r="362" spans="1:46" s="83" customFormat="1" ht="18.75" customHeight="1">
      <c r="A362" s="114"/>
      <c r="B362" s="546">
        <f t="shared" ref="B362:B390" si="15">B326</f>
        <v>2</v>
      </c>
      <c r="C362" s="546"/>
      <c r="D362" s="546"/>
      <c r="E362" s="547" t="str">
        <f t="shared" si="10"/>
        <v/>
      </c>
      <c r="F362" s="548"/>
      <c r="G362" s="548"/>
      <c r="H362" s="548"/>
      <c r="I362" s="548"/>
      <c r="J362" s="548"/>
      <c r="K362" s="548"/>
      <c r="L362" s="543" t="str">
        <f t="shared" si="11"/>
        <v/>
      </c>
      <c r="M362" s="544"/>
      <c r="N362" s="544"/>
      <c r="O362" s="544"/>
      <c r="P362" s="544"/>
      <c r="Q362" s="544"/>
      <c r="R362" s="545"/>
      <c r="S362" s="522" t="str">
        <f t="shared" ref="S362:S390" ca="1" si="16">IF(L362="","",S326-IF(B362&lt;=AL$319,S$325,OFFSET(S$324,AL$319*2,0)))</f>
        <v/>
      </c>
      <c r="T362" s="522"/>
      <c r="U362" s="522"/>
      <c r="V362" s="522"/>
      <c r="W362" s="522"/>
      <c r="X362" s="522"/>
      <c r="Y362" s="522"/>
      <c r="Z362" s="523" t="str">
        <f t="shared" ca="1" si="12"/>
        <v/>
      </c>
      <c r="AA362" s="524"/>
      <c r="AB362" s="524"/>
      <c r="AC362" s="524"/>
      <c r="AD362" s="524"/>
      <c r="AE362" s="524"/>
      <c r="AF362" s="525"/>
      <c r="AG362" s="523" t="str">
        <f t="shared" ca="1" si="13"/>
        <v/>
      </c>
      <c r="AH362" s="524"/>
      <c r="AI362" s="524"/>
      <c r="AJ362" s="524"/>
      <c r="AK362" s="524"/>
      <c r="AL362" s="524"/>
      <c r="AM362" s="525"/>
      <c r="AN362" s="523" t="str">
        <f t="shared" ca="1" si="14"/>
        <v/>
      </c>
      <c r="AO362" s="524"/>
      <c r="AP362" s="524"/>
      <c r="AQ362" s="524"/>
      <c r="AR362" s="524"/>
      <c r="AS362" s="524"/>
      <c r="AT362" s="525"/>
    </row>
    <row r="363" spans="1:46" s="83" customFormat="1" ht="18.75" customHeight="1">
      <c r="A363" s="114"/>
      <c r="B363" s="546">
        <f t="shared" si="15"/>
        <v>3</v>
      </c>
      <c r="C363" s="546"/>
      <c r="D363" s="546"/>
      <c r="E363" s="547" t="str">
        <f t="shared" si="10"/>
        <v/>
      </c>
      <c r="F363" s="548"/>
      <c r="G363" s="548"/>
      <c r="H363" s="548"/>
      <c r="I363" s="548"/>
      <c r="J363" s="548"/>
      <c r="K363" s="548"/>
      <c r="L363" s="543" t="str">
        <f t="shared" si="11"/>
        <v/>
      </c>
      <c r="M363" s="544"/>
      <c r="N363" s="544"/>
      <c r="O363" s="544"/>
      <c r="P363" s="544"/>
      <c r="Q363" s="544"/>
      <c r="R363" s="545"/>
      <c r="S363" s="522" t="str">
        <f t="shared" ca="1" si="16"/>
        <v/>
      </c>
      <c r="T363" s="522"/>
      <c r="U363" s="522"/>
      <c r="V363" s="522"/>
      <c r="W363" s="522"/>
      <c r="X363" s="522"/>
      <c r="Y363" s="522"/>
      <c r="Z363" s="523" t="str">
        <f t="shared" ca="1" si="12"/>
        <v/>
      </c>
      <c r="AA363" s="524"/>
      <c r="AB363" s="524"/>
      <c r="AC363" s="524"/>
      <c r="AD363" s="524"/>
      <c r="AE363" s="524"/>
      <c r="AF363" s="525"/>
      <c r="AG363" s="523" t="str">
        <f t="shared" ca="1" si="13"/>
        <v/>
      </c>
      <c r="AH363" s="524"/>
      <c r="AI363" s="524"/>
      <c r="AJ363" s="524"/>
      <c r="AK363" s="524"/>
      <c r="AL363" s="524"/>
      <c r="AM363" s="525"/>
      <c r="AN363" s="523" t="str">
        <f t="shared" ca="1" si="14"/>
        <v/>
      </c>
      <c r="AO363" s="524"/>
      <c r="AP363" s="524"/>
      <c r="AQ363" s="524"/>
      <c r="AR363" s="524"/>
      <c r="AS363" s="524"/>
      <c r="AT363" s="525"/>
    </row>
    <row r="364" spans="1:46" s="83" customFormat="1" ht="18.75" customHeight="1">
      <c r="A364" s="114"/>
      <c r="B364" s="546">
        <f t="shared" si="15"/>
        <v>4</v>
      </c>
      <c r="C364" s="546"/>
      <c r="D364" s="546"/>
      <c r="E364" s="547" t="str">
        <f t="shared" si="10"/>
        <v/>
      </c>
      <c r="F364" s="548"/>
      <c r="G364" s="548"/>
      <c r="H364" s="548"/>
      <c r="I364" s="548"/>
      <c r="J364" s="548"/>
      <c r="K364" s="548"/>
      <c r="L364" s="543" t="str">
        <f t="shared" si="11"/>
        <v/>
      </c>
      <c r="M364" s="544"/>
      <c r="N364" s="544"/>
      <c r="O364" s="544"/>
      <c r="P364" s="544"/>
      <c r="Q364" s="544"/>
      <c r="R364" s="545"/>
      <c r="S364" s="522" t="str">
        <f t="shared" ca="1" si="16"/>
        <v/>
      </c>
      <c r="T364" s="522"/>
      <c r="U364" s="522"/>
      <c r="V364" s="522"/>
      <c r="W364" s="522"/>
      <c r="X364" s="522"/>
      <c r="Y364" s="522"/>
      <c r="Z364" s="523" t="str">
        <f t="shared" ca="1" si="12"/>
        <v/>
      </c>
      <c r="AA364" s="524"/>
      <c r="AB364" s="524"/>
      <c r="AC364" s="524"/>
      <c r="AD364" s="524"/>
      <c r="AE364" s="524"/>
      <c r="AF364" s="525"/>
      <c r="AG364" s="523" t="str">
        <f t="shared" ca="1" si="13"/>
        <v/>
      </c>
      <c r="AH364" s="524"/>
      <c r="AI364" s="524"/>
      <c r="AJ364" s="524"/>
      <c r="AK364" s="524"/>
      <c r="AL364" s="524"/>
      <c r="AM364" s="525"/>
      <c r="AN364" s="523" t="str">
        <f t="shared" ca="1" si="14"/>
        <v/>
      </c>
      <c r="AO364" s="524"/>
      <c r="AP364" s="524"/>
      <c r="AQ364" s="524"/>
      <c r="AR364" s="524"/>
      <c r="AS364" s="524"/>
      <c r="AT364" s="525"/>
    </row>
    <row r="365" spans="1:46" s="83" customFormat="1" ht="18.75" customHeight="1">
      <c r="A365" s="114"/>
      <c r="B365" s="546">
        <f t="shared" si="15"/>
        <v>5</v>
      </c>
      <c r="C365" s="546"/>
      <c r="D365" s="546"/>
      <c r="E365" s="547" t="str">
        <f t="shared" si="10"/>
        <v/>
      </c>
      <c r="F365" s="548"/>
      <c r="G365" s="548"/>
      <c r="H365" s="548"/>
      <c r="I365" s="548"/>
      <c r="J365" s="548"/>
      <c r="K365" s="548"/>
      <c r="L365" s="543" t="str">
        <f t="shared" si="11"/>
        <v/>
      </c>
      <c r="M365" s="544"/>
      <c r="N365" s="544"/>
      <c r="O365" s="544"/>
      <c r="P365" s="544"/>
      <c r="Q365" s="544"/>
      <c r="R365" s="545"/>
      <c r="S365" s="522" t="str">
        <f t="shared" ca="1" si="16"/>
        <v/>
      </c>
      <c r="T365" s="522"/>
      <c r="U365" s="522"/>
      <c r="V365" s="522"/>
      <c r="W365" s="522"/>
      <c r="X365" s="522"/>
      <c r="Y365" s="522"/>
      <c r="Z365" s="523" t="str">
        <f t="shared" ca="1" si="12"/>
        <v/>
      </c>
      <c r="AA365" s="524"/>
      <c r="AB365" s="524"/>
      <c r="AC365" s="524"/>
      <c r="AD365" s="524"/>
      <c r="AE365" s="524"/>
      <c r="AF365" s="525"/>
      <c r="AG365" s="523" t="str">
        <f t="shared" ca="1" si="13"/>
        <v/>
      </c>
      <c r="AH365" s="524"/>
      <c r="AI365" s="524"/>
      <c r="AJ365" s="524"/>
      <c r="AK365" s="524"/>
      <c r="AL365" s="524"/>
      <c r="AM365" s="525"/>
      <c r="AN365" s="523" t="str">
        <f t="shared" ca="1" si="14"/>
        <v/>
      </c>
      <c r="AO365" s="524"/>
      <c r="AP365" s="524"/>
      <c r="AQ365" s="524"/>
      <c r="AR365" s="524"/>
      <c r="AS365" s="524"/>
      <c r="AT365" s="525"/>
    </row>
    <row r="366" spans="1:46" s="83" customFormat="1" ht="18.75" customHeight="1">
      <c r="A366" s="114"/>
      <c r="B366" s="546">
        <f t="shared" si="15"/>
        <v>6</v>
      </c>
      <c r="C366" s="546"/>
      <c r="D366" s="546"/>
      <c r="E366" s="547" t="str">
        <f t="shared" si="10"/>
        <v/>
      </c>
      <c r="F366" s="548"/>
      <c r="G366" s="548"/>
      <c r="H366" s="548"/>
      <c r="I366" s="548"/>
      <c r="J366" s="548"/>
      <c r="K366" s="548"/>
      <c r="L366" s="543" t="str">
        <f t="shared" si="11"/>
        <v/>
      </c>
      <c r="M366" s="544"/>
      <c r="N366" s="544"/>
      <c r="O366" s="544"/>
      <c r="P366" s="544"/>
      <c r="Q366" s="544"/>
      <c r="R366" s="545"/>
      <c r="S366" s="522" t="str">
        <f t="shared" ca="1" si="16"/>
        <v/>
      </c>
      <c r="T366" s="522"/>
      <c r="U366" s="522"/>
      <c r="V366" s="522"/>
      <c r="W366" s="522"/>
      <c r="X366" s="522"/>
      <c r="Y366" s="522"/>
      <c r="Z366" s="523" t="str">
        <f t="shared" ca="1" si="12"/>
        <v/>
      </c>
      <c r="AA366" s="524"/>
      <c r="AB366" s="524"/>
      <c r="AC366" s="524"/>
      <c r="AD366" s="524"/>
      <c r="AE366" s="524"/>
      <c r="AF366" s="525"/>
      <c r="AG366" s="523" t="str">
        <f t="shared" ca="1" si="13"/>
        <v/>
      </c>
      <c r="AH366" s="524"/>
      <c r="AI366" s="524"/>
      <c r="AJ366" s="524"/>
      <c r="AK366" s="524"/>
      <c r="AL366" s="524"/>
      <c r="AM366" s="525"/>
      <c r="AN366" s="523" t="str">
        <f t="shared" ca="1" si="14"/>
        <v/>
      </c>
      <c r="AO366" s="524"/>
      <c r="AP366" s="524"/>
      <c r="AQ366" s="524"/>
      <c r="AR366" s="524"/>
      <c r="AS366" s="524"/>
      <c r="AT366" s="525"/>
    </row>
    <row r="367" spans="1:46" s="83" customFormat="1" ht="18.75" customHeight="1">
      <c r="A367" s="114"/>
      <c r="B367" s="546">
        <f t="shared" si="15"/>
        <v>7</v>
      </c>
      <c r="C367" s="546"/>
      <c r="D367" s="546"/>
      <c r="E367" s="547" t="str">
        <f t="shared" si="10"/>
        <v/>
      </c>
      <c r="F367" s="548"/>
      <c r="G367" s="548"/>
      <c r="H367" s="548"/>
      <c r="I367" s="548"/>
      <c r="J367" s="548"/>
      <c r="K367" s="548"/>
      <c r="L367" s="543" t="str">
        <f t="shared" si="11"/>
        <v/>
      </c>
      <c r="M367" s="544"/>
      <c r="N367" s="544"/>
      <c r="O367" s="544"/>
      <c r="P367" s="544"/>
      <c r="Q367" s="544"/>
      <c r="R367" s="545"/>
      <c r="S367" s="522" t="str">
        <f t="shared" ca="1" si="16"/>
        <v/>
      </c>
      <c r="T367" s="522"/>
      <c r="U367" s="522"/>
      <c r="V367" s="522"/>
      <c r="W367" s="522"/>
      <c r="X367" s="522"/>
      <c r="Y367" s="522"/>
      <c r="Z367" s="523" t="str">
        <f t="shared" ca="1" si="12"/>
        <v/>
      </c>
      <c r="AA367" s="524"/>
      <c r="AB367" s="524"/>
      <c r="AC367" s="524"/>
      <c r="AD367" s="524"/>
      <c r="AE367" s="524"/>
      <c r="AF367" s="525"/>
      <c r="AG367" s="523" t="str">
        <f t="shared" ca="1" si="13"/>
        <v/>
      </c>
      <c r="AH367" s="524"/>
      <c r="AI367" s="524"/>
      <c r="AJ367" s="524"/>
      <c r="AK367" s="524"/>
      <c r="AL367" s="524"/>
      <c r="AM367" s="525"/>
      <c r="AN367" s="523" t="str">
        <f t="shared" ca="1" si="14"/>
        <v/>
      </c>
      <c r="AO367" s="524"/>
      <c r="AP367" s="524"/>
      <c r="AQ367" s="524"/>
      <c r="AR367" s="524"/>
      <c r="AS367" s="524"/>
      <c r="AT367" s="525"/>
    </row>
    <row r="368" spans="1:46" s="83" customFormat="1" ht="18.75" customHeight="1">
      <c r="A368" s="114"/>
      <c r="B368" s="546">
        <f t="shared" si="15"/>
        <v>8</v>
      </c>
      <c r="C368" s="546"/>
      <c r="D368" s="546"/>
      <c r="E368" s="547" t="str">
        <f t="shared" si="10"/>
        <v/>
      </c>
      <c r="F368" s="548"/>
      <c r="G368" s="548"/>
      <c r="H368" s="548"/>
      <c r="I368" s="548"/>
      <c r="J368" s="548"/>
      <c r="K368" s="548"/>
      <c r="L368" s="543" t="str">
        <f t="shared" si="11"/>
        <v/>
      </c>
      <c r="M368" s="544"/>
      <c r="N368" s="544"/>
      <c r="O368" s="544"/>
      <c r="P368" s="544"/>
      <c r="Q368" s="544"/>
      <c r="R368" s="545"/>
      <c r="S368" s="522" t="str">
        <f t="shared" ca="1" si="16"/>
        <v/>
      </c>
      <c r="T368" s="522"/>
      <c r="U368" s="522"/>
      <c r="V368" s="522"/>
      <c r="W368" s="522"/>
      <c r="X368" s="522"/>
      <c r="Y368" s="522"/>
      <c r="Z368" s="523" t="str">
        <f t="shared" ca="1" si="12"/>
        <v/>
      </c>
      <c r="AA368" s="524"/>
      <c r="AB368" s="524"/>
      <c r="AC368" s="524"/>
      <c r="AD368" s="524"/>
      <c r="AE368" s="524"/>
      <c r="AF368" s="525"/>
      <c r="AG368" s="523" t="str">
        <f t="shared" ca="1" si="13"/>
        <v/>
      </c>
      <c r="AH368" s="524"/>
      <c r="AI368" s="524"/>
      <c r="AJ368" s="524"/>
      <c r="AK368" s="524"/>
      <c r="AL368" s="524"/>
      <c r="AM368" s="525"/>
      <c r="AN368" s="523" t="str">
        <f t="shared" ca="1" si="14"/>
        <v/>
      </c>
      <c r="AO368" s="524"/>
      <c r="AP368" s="524"/>
      <c r="AQ368" s="524"/>
      <c r="AR368" s="524"/>
      <c r="AS368" s="524"/>
      <c r="AT368" s="525"/>
    </row>
    <row r="369" spans="1:46" s="83" customFormat="1" ht="18.75" customHeight="1">
      <c r="A369" s="114"/>
      <c r="B369" s="546">
        <f t="shared" si="15"/>
        <v>9</v>
      </c>
      <c r="C369" s="546"/>
      <c r="D369" s="546"/>
      <c r="E369" s="547" t="str">
        <f t="shared" si="10"/>
        <v/>
      </c>
      <c r="F369" s="548"/>
      <c r="G369" s="548"/>
      <c r="H369" s="548"/>
      <c r="I369" s="548"/>
      <c r="J369" s="548"/>
      <c r="K369" s="548"/>
      <c r="L369" s="543" t="str">
        <f t="shared" si="11"/>
        <v/>
      </c>
      <c r="M369" s="544"/>
      <c r="N369" s="544"/>
      <c r="O369" s="544"/>
      <c r="P369" s="544"/>
      <c r="Q369" s="544"/>
      <c r="R369" s="545"/>
      <c r="S369" s="522" t="str">
        <f t="shared" ca="1" si="16"/>
        <v/>
      </c>
      <c r="T369" s="522"/>
      <c r="U369" s="522"/>
      <c r="V369" s="522"/>
      <c r="W369" s="522"/>
      <c r="X369" s="522"/>
      <c r="Y369" s="522"/>
      <c r="Z369" s="523" t="str">
        <f t="shared" ca="1" si="12"/>
        <v/>
      </c>
      <c r="AA369" s="524"/>
      <c r="AB369" s="524"/>
      <c r="AC369" s="524"/>
      <c r="AD369" s="524"/>
      <c r="AE369" s="524"/>
      <c r="AF369" s="525"/>
      <c r="AG369" s="523" t="str">
        <f t="shared" ca="1" si="13"/>
        <v/>
      </c>
      <c r="AH369" s="524"/>
      <c r="AI369" s="524"/>
      <c r="AJ369" s="524"/>
      <c r="AK369" s="524"/>
      <c r="AL369" s="524"/>
      <c r="AM369" s="525"/>
      <c r="AN369" s="523" t="str">
        <f t="shared" ca="1" si="14"/>
        <v/>
      </c>
      <c r="AO369" s="524"/>
      <c r="AP369" s="524"/>
      <c r="AQ369" s="524"/>
      <c r="AR369" s="524"/>
      <c r="AS369" s="524"/>
      <c r="AT369" s="525"/>
    </row>
    <row r="370" spans="1:46" s="83" customFormat="1" ht="18.75" customHeight="1">
      <c r="A370" s="114"/>
      <c r="B370" s="546">
        <f t="shared" si="15"/>
        <v>10</v>
      </c>
      <c r="C370" s="546"/>
      <c r="D370" s="546"/>
      <c r="E370" s="547" t="str">
        <f t="shared" si="10"/>
        <v/>
      </c>
      <c r="F370" s="548"/>
      <c r="G370" s="548"/>
      <c r="H370" s="548"/>
      <c r="I370" s="548"/>
      <c r="J370" s="548"/>
      <c r="K370" s="548"/>
      <c r="L370" s="543" t="str">
        <f t="shared" si="11"/>
        <v/>
      </c>
      <c r="M370" s="544"/>
      <c r="N370" s="544"/>
      <c r="O370" s="544"/>
      <c r="P370" s="544"/>
      <c r="Q370" s="544"/>
      <c r="R370" s="545"/>
      <c r="S370" s="522" t="str">
        <f t="shared" ca="1" si="16"/>
        <v/>
      </c>
      <c r="T370" s="522"/>
      <c r="U370" s="522"/>
      <c r="V370" s="522"/>
      <c r="W370" s="522"/>
      <c r="X370" s="522"/>
      <c r="Y370" s="522"/>
      <c r="Z370" s="523" t="str">
        <f t="shared" ca="1" si="12"/>
        <v/>
      </c>
      <c r="AA370" s="524"/>
      <c r="AB370" s="524"/>
      <c r="AC370" s="524"/>
      <c r="AD370" s="524"/>
      <c r="AE370" s="524"/>
      <c r="AF370" s="525"/>
      <c r="AG370" s="523" t="str">
        <f t="shared" ca="1" si="13"/>
        <v/>
      </c>
      <c r="AH370" s="524"/>
      <c r="AI370" s="524"/>
      <c r="AJ370" s="524"/>
      <c r="AK370" s="524"/>
      <c r="AL370" s="524"/>
      <c r="AM370" s="525"/>
      <c r="AN370" s="523" t="str">
        <f t="shared" ca="1" si="14"/>
        <v/>
      </c>
      <c r="AO370" s="524"/>
      <c r="AP370" s="524"/>
      <c r="AQ370" s="524"/>
      <c r="AR370" s="524"/>
      <c r="AS370" s="524"/>
      <c r="AT370" s="525"/>
    </row>
    <row r="371" spans="1:46" s="83" customFormat="1" ht="18.75" customHeight="1">
      <c r="A371" s="114"/>
      <c r="B371" s="546">
        <f t="shared" si="15"/>
        <v>11</v>
      </c>
      <c r="C371" s="546"/>
      <c r="D371" s="546"/>
      <c r="E371" s="547" t="str">
        <f t="shared" si="10"/>
        <v/>
      </c>
      <c r="F371" s="548"/>
      <c r="G371" s="548"/>
      <c r="H371" s="548"/>
      <c r="I371" s="548"/>
      <c r="J371" s="548"/>
      <c r="K371" s="548"/>
      <c r="L371" s="543" t="str">
        <f t="shared" si="11"/>
        <v/>
      </c>
      <c r="M371" s="544"/>
      <c r="N371" s="544"/>
      <c r="O371" s="544"/>
      <c r="P371" s="544"/>
      <c r="Q371" s="544"/>
      <c r="R371" s="545"/>
      <c r="S371" s="522" t="str">
        <f t="shared" ca="1" si="16"/>
        <v/>
      </c>
      <c r="T371" s="522"/>
      <c r="U371" s="522"/>
      <c r="V371" s="522"/>
      <c r="W371" s="522"/>
      <c r="X371" s="522"/>
      <c r="Y371" s="522"/>
      <c r="Z371" s="523" t="str">
        <f t="shared" ca="1" si="12"/>
        <v/>
      </c>
      <c r="AA371" s="524"/>
      <c r="AB371" s="524"/>
      <c r="AC371" s="524"/>
      <c r="AD371" s="524"/>
      <c r="AE371" s="524"/>
      <c r="AF371" s="525"/>
      <c r="AG371" s="523" t="str">
        <f t="shared" ca="1" si="13"/>
        <v/>
      </c>
      <c r="AH371" s="524"/>
      <c r="AI371" s="524"/>
      <c r="AJ371" s="524"/>
      <c r="AK371" s="524"/>
      <c r="AL371" s="524"/>
      <c r="AM371" s="525"/>
      <c r="AN371" s="523" t="str">
        <f t="shared" ca="1" si="14"/>
        <v/>
      </c>
      <c r="AO371" s="524"/>
      <c r="AP371" s="524"/>
      <c r="AQ371" s="524"/>
      <c r="AR371" s="524"/>
      <c r="AS371" s="524"/>
      <c r="AT371" s="525"/>
    </row>
    <row r="372" spans="1:46" s="83" customFormat="1" ht="18.75" customHeight="1">
      <c r="A372" s="114"/>
      <c r="B372" s="546">
        <f t="shared" si="15"/>
        <v>12</v>
      </c>
      <c r="C372" s="546"/>
      <c r="D372" s="546"/>
      <c r="E372" s="547" t="str">
        <f t="shared" si="10"/>
        <v/>
      </c>
      <c r="F372" s="548"/>
      <c r="G372" s="548"/>
      <c r="H372" s="548"/>
      <c r="I372" s="548"/>
      <c r="J372" s="548"/>
      <c r="K372" s="548"/>
      <c r="L372" s="543" t="str">
        <f t="shared" si="11"/>
        <v/>
      </c>
      <c r="M372" s="544"/>
      <c r="N372" s="544"/>
      <c r="O372" s="544"/>
      <c r="P372" s="544"/>
      <c r="Q372" s="544"/>
      <c r="R372" s="545"/>
      <c r="S372" s="522" t="str">
        <f t="shared" ca="1" si="16"/>
        <v/>
      </c>
      <c r="T372" s="522"/>
      <c r="U372" s="522"/>
      <c r="V372" s="522"/>
      <c r="W372" s="522"/>
      <c r="X372" s="522"/>
      <c r="Y372" s="522"/>
      <c r="Z372" s="523" t="str">
        <f t="shared" ca="1" si="12"/>
        <v/>
      </c>
      <c r="AA372" s="524"/>
      <c r="AB372" s="524"/>
      <c r="AC372" s="524"/>
      <c r="AD372" s="524"/>
      <c r="AE372" s="524"/>
      <c r="AF372" s="525"/>
      <c r="AG372" s="523" t="str">
        <f t="shared" ca="1" si="13"/>
        <v/>
      </c>
      <c r="AH372" s="524"/>
      <c r="AI372" s="524"/>
      <c r="AJ372" s="524"/>
      <c r="AK372" s="524"/>
      <c r="AL372" s="524"/>
      <c r="AM372" s="525"/>
      <c r="AN372" s="523" t="str">
        <f t="shared" ca="1" si="14"/>
        <v/>
      </c>
      <c r="AO372" s="524"/>
      <c r="AP372" s="524"/>
      <c r="AQ372" s="524"/>
      <c r="AR372" s="524"/>
      <c r="AS372" s="524"/>
      <c r="AT372" s="525"/>
    </row>
    <row r="373" spans="1:46" s="83" customFormat="1" ht="18.75" customHeight="1">
      <c r="A373" s="114"/>
      <c r="B373" s="546">
        <f t="shared" si="15"/>
        <v>13</v>
      </c>
      <c r="C373" s="546"/>
      <c r="D373" s="546"/>
      <c r="E373" s="547" t="str">
        <f t="shared" si="10"/>
        <v/>
      </c>
      <c r="F373" s="548"/>
      <c r="G373" s="548"/>
      <c r="H373" s="548"/>
      <c r="I373" s="548"/>
      <c r="J373" s="548"/>
      <c r="K373" s="548"/>
      <c r="L373" s="543" t="str">
        <f t="shared" si="11"/>
        <v/>
      </c>
      <c r="M373" s="544"/>
      <c r="N373" s="544"/>
      <c r="O373" s="544"/>
      <c r="P373" s="544"/>
      <c r="Q373" s="544"/>
      <c r="R373" s="545"/>
      <c r="S373" s="522" t="str">
        <f t="shared" ca="1" si="16"/>
        <v/>
      </c>
      <c r="T373" s="522"/>
      <c r="U373" s="522"/>
      <c r="V373" s="522"/>
      <c r="W373" s="522"/>
      <c r="X373" s="522"/>
      <c r="Y373" s="522"/>
      <c r="Z373" s="523" t="str">
        <f t="shared" ca="1" si="12"/>
        <v/>
      </c>
      <c r="AA373" s="524"/>
      <c r="AB373" s="524"/>
      <c r="AC373" s="524"/>
      <c r="AD373" s="524"/>
      <c r="AE373" s="524"/>
      <c r="AF373" s="525"/>
      <c r="AG373" s="523" t="str">
        <f t="shared" ca="1" si="13"/>
        <v/>
      </c>
      <c r="AH373" s="524"/>
      <c r="AI373" s="524"/>
      <c r="AJ373" s="524"/>
      <c r="AK373" s="524"/>
      <c r="AL373" s="524"/>
      <c r="AM373" s="525"/>
      <c r="AN373" s="523" t="str">
        <f t="shared" ca="1" si="14"/>
        <v/>
      </c>
      <c r="AO373" s="524"/>
      <c r="AP373" s="524"/>
      <c r="AQ373" s="524"/>
      <c r="AR373" s="524"/>
      <c r="AS373" s="524"/>
      <c r="AT373" s="525"/>
    </row>
    <row r="374" spans="1:46" s="83" customFormat="1" ht="18.75" customHeight="1">
      <c r="A374" s="114"/>
      <c r="B374" s="546">
        <f t="shared" si="15"/>
        <v>14</v>
      </c>
      <c r="C374" s="546"/>
      <c r="D374" s="546"/>
      <c r="E374" s="547" t="str">
        <f t="shared" si="10"/>
        <v/>
      </c>
      <c r="F374" s="548"/>
      <c r="G374" s="548"/>
      <c r="H374" s="548"/>
      <c r="I374" s="548"/>
      <c r="J374" s="548"/>
      <c r="K374" s="548"/>
      <c r="L374" s="543" t="str">
        <f t="shared" si="11"/>
        <v/>
      </c>
      <c r="M374" s="544"/>
      <c r="N374" s="544"/>
      <c r="O374" s="544"/>
      <c r="P374" s="544"/>
      <c r="Q374" s="544"/>
      <c r="R374" s="545"/>
      <c r="S374" s="522" t="str">
        <f t="shared" ca="1" si="16"/>
        <v/>
      </c>
      <c r="T374" s="522"/>
      <c r="U374" s="522"/>
      <c r="V374" s="522"/>
      <c r="W374" s="522"/>
      <c r="X374" s="522"/>
      <c r="Y374" s="522"/>
      <c r="Z374" s="523" t="str">
        <f t="shared" ca="1" si="12"/>
        <v/>
      </c>
      <c r="AA374" s="524"/>
      <c r="AB374" s="524"/>
      <c r="AC374" s="524"/>
      <c r="AD374" s="524"/>
      <c r="AE374" s="524"/>
      <c r="AF374" s="525"/>
      <c r="AG374" s="523" t="str">
        <f t="shared" ca="1" si="13"/>
        <v/>
      </c>
      <c r="AH374" s="524"/>
      <c r="AI374" s="524"/>
      <c r="AJ374" s="524"/>
      <c r="AK374" s="524"/>
      <c r="AL374" s="524"/>
      <c r="AM374" s="525"/>
      <c r="AN374" s="523" t="str">
        <f t="shared" ca="1" si="14"/>
        <v/>
      </c>
      <c r="AO374" s="524"/>
      <c r="AP374" s="524"/>
      <c r="AQ374" s="524"/>
      <c r="AR374" s="524"/>
      <c r="AS374" s="524"/>
      <c r="AT374" s="525"/>
    </row>
    <row r="375" spans="1:46" s="83" customFormat="1" ht="18.75" customHeight="1">
      <c r="A375" s="114"/>
      <c r="B375" s="546">
        <f t="shared" si="15"/>
        <v>15</v>
      </c>
      <c r="C375" s="546"/>
      <c r="D375" s="546"/>
      <c r="E375" s="547" t="str">
        <f t="shared" si="10"/>
        <v/>
      </c>
      <c r="F375" s="548"/>
      <c r="G375" s="548"/>
      <c r="H375" s="548"/>
      <c r="I375" s="548"/>
      <c r="J375" s="548"/>
      <c r="K375" s="548"/>
      <c r="L375" s="543" t="str">
        <f t="shared" si="11"/>
        <v/>
      </c>
      <c r="M375" s="544"/>
      <c r="N375" s="544"/>
      <c r="O375" s="544"/>
      <c r="P375" s="544"/>
      <c r="Q375" s="544"/>
      <c r="R375" s="545"/>
      <c r="S375" s="522" t="str">
        <f t="shared" ca="1" si="16"/>
        <v/>
      </c>
      <c r="T375" s="522"/>
      <c r="U375" s="522"/>
      <c r="V375" s="522"/>
      <c r="W375" s="522"/>
      <c r="X375" s="522"/>
      <c r="Y375" s="522"/>
      <c r="Z375" s="523" t="str">
        <f t="shared" ca="1" si="12"/>
        <v/>
      </c>
      <c r="AA375" s="524"/>
      <c r="AB375" s="524"/>
      <c r="AC375" s="524"/>
      <c r="AD375" s="524"/>
      <c r="AE375" s="524"/>
      <c r="AF375" s="525"/>
      <c r="AG375" s="523" t="str">
        <f t="shared" ca="1" si="13"/>
        <v/>
      </c>
      <c r="AH375" s="524"/>
      <c r="AI375" s="524"/>
      <c r="AJ375" s="524"/>
      <c r="AK375" s="524"/>
      <c r="AL375" s="524"/>
      <c r="AM375" s="525"/>
      <c r="AN375" s="523" t="str">
        <f t="shared" ca="1" si="14"/>
        <v/>
      </c>
      <c r="AO375" s="524"/>
      <c r="AP375" s="524"/>
      <c r="AQ375" s="524"/>
      <c r="AR375" s="524"/>
      <c r="AS375" s="524"/>
      <c r="AT375" s="525"/>
    </row>
    <row r="376" spans="1:46" s="83" customFormat="1" ht="18.75" customHeight="1">
      <c r="A376" s="114"/>
      <c r="B376" s="546">
        <f t="shared" si="15"/>
        <v>16</v>
      </c>
      <c r="C376" s="546"/>
      <c r="D376" s="546"/>
      <c r="E376" s="547" t="str">
        <f t="shared" si="10"/>
        <v/>
      </c>
      <c r="F376" s="548"/>
      <c r="G376" s="548"/>
      <c r="H376" s="548"/>
      <c r="I376" s="548"/>
      <c r="J376" s="548"/>
      <c r="K376" s="548"/>
      <c r="L376" s="543" t="str">
        <f t="shared" si="11"/>
        <v/>
      </c>
      <c r="M376" s="544"/>
      <c r="N376" s="544"/>
      <c r="O376" s="544"/>
      <c r="P376" s="544"/>
      <c r="Q376" s="544"/>
      <c r="R376" s="545"/>
      <c r="S376" s="522" t="str">
        <f t="shared" ca="1" si="16"/>
        <v/>
      </c>
      <c r="T376" s="522"/>
      <c r="U376" s="522"/>
      <c r="V376" s="522"/>
      <c r="W376" s="522"/>
      <c r="X376" s="522"/>
      <c r="Y376" s="522"/>
      <c r="Z376" s="523" t="str">
        <f t="shared" ca="1" si="12"/>
        <v/>
      </c>
      <c r="AA376" s="524"/>
      <c r="AB376" s="524"/>
      <c r="AC376" s="524"/>
      <c r="AD376" s="524"/>
      <c r="AE376" s="524"/>
      <c r="AF376" s="525"/>
      <c r="AG376" s="523" t="str">
        <f t="shared" ca="1" si="13"/>
        <v/>
      </c>
      <c r="AH376" s="524"/>
      <c r="AI376" s="524"/>
      <c r="AJ376" s="524"/>
      <c r="AK376" s="524"/>
      <c r="AL376" s="524"/>
      <c r="AM376" s="525"/>
      <c r="AN376" s="523" t="str">
        <f t="shared" ca="1" si="14"/>
        <v/>
      </c>
      <c r="AO376" s="524"/>
      <c r="AP376" s="524"/>
      <c r="AQ376" s="524"/>
      <c r="AR376" s="524"/>
      <c r="AS376" s="524"/>
      <c r="AT376" s="525"/>
    </row>
    <row r="377" spans="1:46" s="83" customFormat="1" ht="18.75" customHeight="1">
      <c r="A377" s="114"/>
      <c r="B377" s="546">
        <f t="shared" si="15"/>
        <v>17</v>
      </c>
      <c r="C377" s="546"/>
      <c r="D377" s="546"/>
      <c r="E377" s="547" t="str">
        <f t="shared" si="10"/>
        <v/>
      </c>
      <c r="F377" s="548"/>
      <c r="G377" s="548"/>
      <c r="H377" s="548"/>
      <c r="I377" s="548"/>
      <c r="J377" s="548"/>
      <c r="K377" s="548"/>
      <c r="L377" s="543" t="str">
        <f t="shared" si="11"/>
        <v/>
      </c>
      <c r="M377" s="544"/>
      <c r="N377" s="544"/>
      <c r="O377" s="544"/>
      <c r="P377" s="544"/>
      <c r="Q377" s="544"/>
      <c r="R377" s="545"/>
      <c r="S377" s="522" t="str">
        <f t="shared" ca="1" si="16"/>
        <v/>
      </c>
      <c r="T377" s="522"/>
      <c r="U377" s="522"/>
      <c r="V377" s="522"/>
      <c r="W377" s="522"/>
      <c r="X377" s="522"/>
      <c r="Y377" s="522"/>
      <c r="Z377" s="523" t="str">
        <f t="shared" ca="1" si="12"/>
        <v/>
      </c>
      <c r="AA377" s="524"/>
      <c r="AB377" s="524"/>
      <c r="AC377" s="524"/>
      <c r="AD377" s="524"/>
      <c r="AE377" s="524"/>
      <c r="AF377" s="525"/>
      <c r="AG377" s="523" t="str">
        <f t="shared" ca="1" si="13"/>
        <v/>
      </c>
      <c r="AH377" s="524"/>
      <c r="AI377" s="524"/>
      <c r="AJ377" s="524"/>
      <c r="AK377" s="524"/>
      <c r="AL377" s="524"/>
      <c r="AM377" s="525"/>
      <c r="AN377" s="523" t="str">
        <f t="shared" ca="1" si="14"/>
        <v/>
      </c>
      <c r="AO377" s="524"/>
      <c r="AP377" s="524"/>
      <c r="AQ377" s="524"/>
      <c r="AR377" s="524"/>
      <c r="AS377" s="524"/>
      <c r="AT377" s="525"/>
    </row>
    <row r="378" spans="1:46" s="83" customFormat="1" ht="18.75" customHeight="1">
      <c r="A378" s="114"/>
      <c r="B378" s="546">
        <f t="shared" si="15"/>
        <v>18</v>
      </c>
      <c r="C378" s="546"/>
      <c r="D378" s="546"/>
      <c r="E378" s="547" t="str">
        <f t="shared" si="10"/>
        <v/>
      </c>
      <c r="F378" s="548"/>
      <c r="G378" s="548"/>
      <c r="H378" s="548"/>
      <c r="I378" s="548"/>
      <c r="J378" s="548"/>
      <c r="K378" s="548"/>
      <c r="L378" s="543" t="str">
        <f t="shared" si="11"/>
        <v/>
      </c>
      <c r="M378" s="544"/>
      <c r="N378" s="544"/>
      <c r="O378" s="544"/>
      <c r="P378" s="544"/>
      <c r="Q378" s="544"/>
      <c r="R378" s="545"/>
      <c r="S378" s="522" t="str">
        <f t="shared" ca="1" si="16"/>
        <v/>
      </c>
      <c r="T378" s="522"/>
      <c r="U378" s="522"/>
      <c r="V378" s="522"/>
      <c r="W378" s="522"/>
      <c r="X378" s="522"/>
      <c r="Y378" s="522"/>
      <c r="Z378" s="523" t="str">
        <f t="shared" ca="1" si="12"/>
        <v/>
      </c>
      <c r="AA378" s="524"/>
      <c r="AB378" s="524"/>
      <c r="AC378" s="524"/>
      <c r="AD378" s="524"/>
      <c r="AE378" s="524"/>
      <c r="AF378" s="525"/>
      <c r="AG378" s="523" t="str">
        <f t="shared" ca="1" si="13"/>
        <v/>
      </c>
      <c r="AH378" s="524"/>
      <c r="AI378" s="524"/>
      <c r="AJ378" s="524"/>
      <c r="AK378" s="524"/>
      <c r="AL378" s="524"/>
      <c r="AM378" s="525"/>
      <c r="AN378" s="523" t="str">
        <f t="shared" ca="1" si="14"/>
        <v/>
      </c>
      <c r="AO378" s="524"/>
      <c r="AP378" s="524"/>
      <c r="AQ378" s="524"/>
      <c r="AR378" s="524"/>
      <c r="AS378" s="524"/>
      <c r="AT378" s="525"/>
    </row>
    <row r="379" spans="1:46" s="83" customFormat="1" ht="18.75" customHeight="1">
      <c r="A379" s="114"/>
      <c r="B379" s="546">
        <f t="shared" si="15"/>
        <v>19</v>
      </c>
      <c r="C379" s="546"/>
      <c r="D379" s="546"/>
      <c r="E379" s="547" t="str">
        <f t="shared" si="10"/>
        <v/>
      </c>
      <c r="F379" s="548"/>
      <c r="G379" s="548"/>
      <c r="H379" s="548"/>
      <c r="I379" s="548"/>
      <c r="J379" s="548"/>
      <c r="K379" s="548"/>
      <c r="L379" s="543" t="str">
        <f t="shared" si="11"/>
        <v/>
      </c>
      <c r="M379" s="544"/>
      <c r="N379" s="544"/>
      <c r="O379" s="544"/>
      <c r="P379" s="544"/>
      <c r="Q379" s="544"/>
      <c r="R379" s="545"/>
      <c r="S379" s="522" t="str">
        <f t="shared" ca="1" si="16"/>
        <v/>
      </c>
      <c r="T379" s="522"/>
      <c r="U379" s="522"/>
      <c r="V379" s="522"/>
      <c r="W379" s="522"/>
      <c r="X379" s="522"/>
      <c r="Y379" s="522"/>
      <c r="Z379" s="523" t="str">
        <f t="shared" ca="1" si="12"/>
        <v/>
      </c>
      <c r="AA379" s="524"/>
      <c r="AB379" s="524"/>
      <c r="AC379" s="524"/>
      <c r="AD379" s="524"/>
      <c r="AE379" s="524"/>
      <c r="AF379" s="525"/>
      <c r="AG379" s="523" t="str">
        <f t="shared" ca="1" si="13"/>
        <v/>
      </c>
      <c r="AH379" s="524"/>
      <c r="AI379" s="524"/>
      <c r="AJ379" s="524"/>
      <c r="AK379" s="524"/>
      <c r="AL379" s="524"/>
      <c r="AM379" s="525"/>
      <c r="AN379" s="523" t="str">
        <f t="shared" ca="1" si="14"/>
        <v/>
      </c>
      <c r="AO379" s="524"/>
      <c r="AP379" s="524"/>
      <c r="AQ379" s="524"/>
      <c r="AR379" s="524"/>
      <c r="AS379" s="524"/>
      <c r="AT379" s="525"/>
    </row>
    <row r="380" spans="1:46" s="83" customFormat="1" ht="18.75" customHeight="1">
      <c r="A380" s="114"/>
      <c r="B380" s="546">
        <f t="shared" si="15"/>
        <v>20</v>
      </c>
      <c r="C380" s="546"/>
      <c r="D380" s="546"/>
      <c r="E380" s="547" t="str">
        <f t="shared" si="10"/>
        <v/>
      </c>
      <c r="F380" s="548"/>
      <c r="G380" s="548"/>
      <c r="H380" s="548"/>
      <c r="I380" s="548"/>
      <c r="J380" s="548"/>
      <c r="K380" s="548"/>
      <c r="L380" s="543" t="str">
        <f t="shared" si="11"/>
        <v/>
      </c>
      <c r="M380" s="544"/>
      <c r="N380" s="544"/>
      <c r="O380" s="544"/>
      <c r="P380" s="544"/>
      <c r="Q380" s="544"/>
      <c r="R380" s="545"/>
      <c r="S380" s="522" t="str">
        <f t="shared" ca="1" si="16"/>
        <v/>
      </c>
      <c r="T380" s="522"/>
      <c r="U380" s="522"/>
      <c r="V380" s="522"/>
      <c r="W380" s="522"/>
      <c r="X380" s="522"/>
      <c r="Y380" s="522"/>
      <c r="Z380" s="523" t="str">
        <f t="shared" ca="1" si="12"/>
        <v/>
      </c>
      <c r="AA380" s="524"/>
      <c r="AB380" s="524"/>
      <c r="AC380" s="524"/>
      <c r="AD380" s="524"/>
      <c r="AE380" s="524"/>
      <c r="AF380" s="525"/>
      <c r="AG380" s="523" t="str">
        <f t="shared" ca="1" si="13"/>
        <v/>
      </c>
      <c r="AH380" s="524"/>
      <c r="AI380" s="524"/>
      <c r="AJ380" s="524"/>
      <c r="AK380" s="524"/>
      <c r="AL380" s="524"/>
      <c r="AM380" s="525"/>
      <c r="AN380" s="523" t="str">
        <f t="shared" ca="1" si="14"/>
        <v/>
      </c>
      <c r="AO380" s="524"/>
      <c r="AP380" s="524"/>
      <c r="AQ380" s="524"/>
      <c r="AR380" s="524"/>
      <c r="AS380" s="524"/>
      <c r="AT380" s="525"/>
    </row>
    <row r="381" spans="1:46" s="83" customFormat="1" ht="18.75" customHeight="1">
      <c r="A381" s="114"/>
      <c r="B381" s="546">
        <f t="shared" si="15"/>
        <v>21</v>
      </c>
      <c r="C381" s="546"/>
      <c r="D381" s="546"/>
      <c r="E381" s="547" t="str">
        <f t="shared" si="10"/>
        <v/>
      </c>
      <c r="F381" s="548"/>
      <c r="G381" s="548"/>
      <c r="H381" s="548"/>
      <c r="I381" s="548"/>
      <c r="J381" s="548"/>
      <c r="K381" s="548"/>
      <c r="L381" s="543" t="str">
        <f t="shared" si="11"/>
        <v/>
      </c>
      <c r="M381" s="544"/>
      <c r="N381" s="544"/>
      <c r="O381" s="544"/>
      <c r="P381" s="544"/>
      <c r="Q381" s="544"/>
      <c r="R381" s="545"/>
      <c r="S381" s="522" t="str">
        <f t="shared" ca="1" si="16"/>
        <v/>
      </c>
      <c r="T381" s="522"/>
      <c r="U381" s="522"/>
      <c r="V381" s="522"/>
      <c r="W381" s="522"/>
      <c r="X381" s="522"/>
      <c r="Y381" s="522"/>
      <c r="Z381" s="523" t="str">
        <f t="shared" ca="1" si="12"/>
        <v/>
      </c>
      <c r="AA381" s="524"/>
      <c r="AB381" s="524"/>
      <c r="AC381" s="524"/>
      <c r="AD381" s="524"/>
      <c r="AE381" s="524"/>
      <c r="AF381" s="525"/>
      <c r="AG381" s="523" t="str">
        <f t="shared" ca="1" si="13"/>
        <v/>
      </c>
      <c r="AH381" s="524"/>
      <c r="AI381" s="524"/>
      <c r="AJ381" s="524"/>
      <c r="AK381" s="524"/>
      <c r="AL381" s="524"/>
      <c r="AM381" s="525"/>
      <c r="AN381" s="523" t="str">
        <f t="shared" ca="1" si="14"/>
        <v/>
      </c>
      <c r="AO381" s="524"/>
      <c r="AP381" s="524"/>
      <c r="AQ381" s="524"/>
      <c r="AR381" s="524"/>
      <c r="AS381" s="524"/>
      <c r="AT381" s="525"/>
    </row>
    <row r="382" spans="1:46" s="83" customFormat="1" ht="18.75" customHeight="1">
      <c r="A382" s="114"/>
      <c r="B382" s="546">
        <f t="shared" si="15"/>
        <v>22</v>
      </c>
      <c r="C382" s="546"/>
      <c r="D382" s="546"/>
      <c r="E382" s="547" t="str">
        <f t="shared" si="10"/>
        <v/>
      </c>
      <c r="F382" s="548"/>
      <c r="G382" s="548"/>
      <c r="H382" s="548"/>
      <c r="I382" s="548"/>
      <c r="J382" s="548"/>
      <c r="K382" s="548"/>
      <c r="L382" s="543" t="str">
        <f t="shared" si="11"/>
        <v/>
      </c>
      <c r="M382" s="544"/>
      <c r="N382" s="544"/>
      <c r="O382" s="544"/>
      <c r="P382" s="544"/>
      <c r="Q382" s="544"/>
      <c r="R382" s="545"/>
      <c r="S382" s="522" t="str">
        <f t="shared" ca="1" si="16"/>
        <v/>
      </c>
      <c r="T382" s="522"/>
      <c r="U382" s="522"/>
      <c r="V382" s="522"/>
      <c r="W382" s="522"/>
      <c r="X382" s="522"/>
      <c r="Y382" s="522"/>
      <c r="Z382" s="523" t="str">
        <f t="shared" ca="1" si="12"/>
        <v/>
      </c>
      <c r="AA382" s="524"/>
      <c r="AB382" s="524"/>
      <c r="AC382" s="524"/>
      <c r="AD382" s="524"/>
      <c r="AE382" s="524"/>
      <c r="AF382" s="525"/>
      <c r="AG382" s="523" t="str">
        <f t="shared" ca="1" si="13"/>
        <v/>
      </c>
      <c r="AH382" s="524"/>
      <c r="AI382" s="524"/>
      <c r="AJ382" s="524"/>
      <c r="AK382" s="524"/>
      <c r="AL382" s="524"/>
      <c r="AM382" s="525"/>
      <c r="AN382" s="523" t="str">
        <f t="shared" ca="1" si="14"/>
        <v/>
      </c>
      <c r="AO382" s="524"/>
      <c r="AP382" s="524"/>
      <c r="AQ382" s="524"/>
      <c r="AR382" s="524"/>
      <c r="AS382" s="524"/>
      <c r="AT382" s="525"/>
    </row>
    <row r="383" spans="1:46" s="83" customFormat="1" ht="18.75" customHeight="1">
      <c r="A383" s="114"/>
      <c r="B383" s="546">
        <f t="shared" si="15"/>
        <v>23</v>
      </c>
      <c r="C383" s="546"/>
      <c r="D383" s="546"/>
      <c r="E383" s="547" t="str">
        <f t="shared" si="10"/>
        <v/>
      </c>
      <c r="F383" s="548"/>
      <c r="G383" s="548"/>
      <c r="H383" s="548"/>
      <c r="I383" s="548"/>
      <c r="J383" s="548"/>
      <c r="K383" s="548"/>
      <c r="L383" s="543" t="str">
        <f t="shared" si="11"/>
        <v/>
      </c>
      <c r="M383" s="544"/>
      <c r="N383" s="544"/>
      <c r="O383" s="544"/>
      <c r="P383" s="544"/>
      <c r="Q383" s="544"/>
      <c r="R383" s="545"/>
      <c r="S383" s="522" t="str">
        <f t="shared" ca="1" si="16"/>
        <v/>
      </c>
      <c r="T383" s="522"/>
      <c r="U383" s="522"/>
      <c r="V383" s="522"/>
      <c r="W383" s="522"/>
      <c r="X383" s="522"/>
      <c r="Y383" s="522"/>
      <c r="Z383" s="523" t="str">
        <f t="shared" ca="1" si="12"/>
        <v/>
      </c>
      <c r="AA383" s="524"/>
      <c r="AB383" s="524"/>
      <c r="AC383" s="524"/>
      <c r="AD383" s="524"/>
      <c r="AE383" s="524"/>
      <c r="AF383" s="525"/>
      <c r="AG383" s="523" t="str">
        <f t="shared" ca="1" si="13"/>
        <v/>
      </c>
      <c r="AH383" s="524"/>
      <c r="AI383" s="524"/>
      <c r="AJ383" s="524"/>
      <c r="AK383" s="524"/>
      <c r="AL383" s="524"/>
      <c r="AM383" s="525"/>
      <c r="AN383" s="523" t="str">
        <f t="shared" ca="1" si="14"/>
        <v/>
      </c>
      <c r="AO383" s="524"/>
      <c r="AP383" s="524"/>
      <c r="AQ383" s="524"/>
      <c r="AR383" s="524"/>
      <c r="AS383" s="524"/>
      <c r="AT383" s="525"/>
    </row>
    <row r="384" spans="1:46" s="83" customFormat="1" ht="18.75" customHeight="1">
      <c r="A384" s="114"/>
      <c r="B384" s="546">
        <f t="shared" si="15"/>
        <v>24</v>
      </c>
      <c r="C384" s="546"/>
      <c r="D384" s="546"/>
      <c r="E384" s="547" t="str">
        <f t="shared" si="10"/>
        <v/>
      </c>
      <c r="F384" s="548"/>
      <c r="G384" s="548"/>
      <c r="H384" s="548"/>
      <c r="I384" s="548"/>
      <c r="J384" s="548"/>
      <c r="K384" s="548"/>
      <c r="L384" s="543" t="str">
        <f t="shared" si="11"/>
        <v/>
      </c>
      <c r="M384" s="544"/>
      <c r="N384" s="544"/>
      <c r="O384" s="544"/>
      <c r="P384" s="544"/>
      <c r="Q384" s="544"/>
      <c r="R384" s="545"/>
      <c r="S384" s="522" t="str">
        <f t="shared" ca="1" si="16"/>
        <v/>
      </c>
      <c r="T384" s="522"/>
      <c r="U384" s="522"/>
      <c r="V384" s="522"/>
      <c r="W384" s="522"/>
      <c r="X384" s="522"/>
      <c r="Y384" s="522"/>
      <c r="Z384" s="523" t="str">
        <f t="shared" ca="1" si="12"/>
        <v/>
      </c>
      <c r="AA384" s="524"/>
      <c r="AB384" s="524"/>
      <c r="AC384" s="524"/>
      <c r="AD384" s="524"/>
      <c r="AE384" s="524"/>
      <c r="AF384" s="525"/>
      <c r="AG384" s="523" t="str">
        <f t="shared" ca="1" si="13"/>
        <v/>
      </c>
      <c r="AH384" s="524"/>
      <c r="AI384" s="524"/>
      <c r="AJ384" s="524"/>
      <c r="AK384" s="524"/>
      <c r="AL384" s="524"/>
      <c r="AM384" s="525"/>
      <c r="AN384" s="523" t="str">
        <f t="shared" ca="1" si="14"/>
        <v/>
      </c>
      <c r="AO384" s="524"/>
      <c r="AP384" s="524"/>
      <c r="AQ384" s="524"/>
      <c r="AR384" s="524"/>
      <c r="AS384" s="524"/>
      <c r="AT384" s="525"/>
    </row>
    <row r="385" spans="1:46" s="83" customFormat="1" ht="18.75" customHeight="1">
      <c r="A385" s="114"/>
      <c r="B385" s="546">
        <f t="shared" si="15"/>
        <v>25</v>
      </c>
      <c r="C385" s="546"/>
      <c r="D385" s="546"/>
      <c r="E385" s="547" t="str">
        <f t="shared" si="10"/>
        <v/>
      </c>
      <c r="F385" s="548"/>
      <c r="G385" s="548"/>
      <c r="H385" s="548"/>
      <c r="I385" s="548"/>
      <c r="J385" s="548"/>
      <c r="K385" s="548"/>
      <c r="L385" s="543" t="str">
        <f t="shared" si="11"/>
        <v/>
      </c>
      <c r="M385" s="544"/>
      <c r="N385" s="544"/>
      <c r="O385" s="544"/>
      <c r="P385" s="544"/>
      <c r="Q385" s="544"/>
      <c r="R385" s="545"/>
      <c r="S385" s="522" t="str">
        <f t="shared" ca="1" si="16"/>
        <v/>
      </c>
      <c r="T385" s="522"/>
      <c r="U385" s="522"/>
      <c r="V385" s="522"/>
      <c r="W385" s="522"/>
      <c r="X385" s="522"/>
      <c r="Y385" s="522"/>
      <c r="Z385" s="523" t="str">
        <f t="shared" ca="1" si="12"/>
        <v/>
      </c>
      <c r="AA385" s="524"/>
      <c r="AB385" s="524"/>
      <c r="AC385" s="524"/>
      <c r="AD385" s="524"/>
      <c r="AE385" s="524"/>
      <c r="AF385" s="525"/>
      <c r="AG385" s="523" t="str">
        <f t="shared" ca="1" si="13"/>
        <v/>
      </c>
      <c r="AH385" s="524"/>
      <c r="AI385" s="524"/>
      <c r="AJ385" s="524"/>
      <c r="AK385" s="524"/>
      <c r="AL385" s="524"/>
      <c r="AM385" s="525"/>
      <c r="AN385" s="523" t="str">
        <f t="shared" ca="1" si="14"/>
        <v/>
      </c>
      <c r="AO385" s="524"/>
      <c r="AP385" s="524"/>
      <c r="AQ385" s="524"/>
      <c r="AR385" s="524"/>
      <c r="AS385" s="524"/>
      <c r="AT385" s="525"/>
    </row>
    <row r="386" spans="1:46" s="83" customFormat="1" ht="18.75" customHeight="1">
      <c r="A386" s="114"/>
      <c r="B386" s="546">
        <f t="shared" si="15"/>
        <v>26</v>
      </c>
      <c r="C386" s="546"/>
      <c r="D386" s="546"/>
      <c r="E386" s="547" t="str">
        <f t="shared" si="10"/>
        <v/>
      </c>
      <c r="F386" s="548"/>
      <c r="G386" s="548"/>
      <c r="H386" s="548"/>
      <c r="I386" s="548"/>
      <c r="J386" s="548"/>
      <c r="K386" s="548"/>
      <c r="L386" s="543" t="str">
        <f t="shared" si="11"/>
        <v/>
      </c>
      <c r="M386" s="544"/>
      <c r="N386" s="544"/>
      <c r="O386" s="544"/>
      <c r="P386" s="544"/>
      <c r="Q386" s="544"/>
      <c r="R386" s="545"/>
      <c r="S386" s="522" t="str">
        <f t="shared" ca="1" si="16"/>
        <v/>
      </c>
      <c r="T386" s="522"/>
      <c r="U386" s="522"/>
      <c r="V386" s="522"/>
      <c r="W386" s="522"/>
      <c r="X386" s="522"/>
      <c r="Y386" s="522"/>
      <c r="Z386" s="523" t="str">
        <f t="shared" ca="1" si="12"/>
        <v/>
      </c>
      <c r="AA386" s="524"/>
      <c r="AB386" s="524"/>
      <c r="AC386" s="524"/>
      <c r="AD386" s="524"/>
      <c r="AE386" s="524"/>
      <c r="AF386" s="525"/>
      <c r="AG386" s="523" t="str">
        <f t="shared" ca="1" si="13"/>
        <v/>
      </c>
      <c r="AH386" s="524"/>
      <c r="AI386" s="524"/>
      <c r="AJ386" s="524"/>
      <c r="AK386" s="524"/>
      <c r="AL386" s="524"/>
      <c r="AM386" s="525"/>
      <c r="AN386" s="523" t="str">
        <f t="shared" ca="1" si="14"/>
        <v/>
      </c>
      <c r="AO386" s="524"/>
      <c r="AP386" s="524"/>
      <c r="AQ386" s="524"/>
      <c r="AR386" s="524"/>
      <c r="AS386" s="524"/>
      <c r="AT386" s="525"/>
    </row>
    <row r="387" spans="1:46" s="83" customFormat="1" ht="18.75" customHeight="1">
      <c r="A387" s="114"/>
      <c r="B387" s="546">
        <f t="shared" si="15"/>
        <v>27</v>
      </c>
      <c r="C387" s="546"/>
      <c r="D387" s="546"/>
      <c r="E387" s="547" t="str">
        <f t="shared" si="10"/>
        <v/>
      </c>
      <c r="F387" s="548"/>
      <c r="G387" s="548"/>
      <c r="H387" s="548"/>
      <c r="I387" s="548"/>
      <c r="J387" s="548"/>
      <c r="K387" s="548"/>
      <c r="L387" s="543" t="str">
        <f t="shared" si="11"/>
        <v/>
      </c>
      <c r="M387" s="544"/>
      <c r="N387" s="544"/>
      <c r="O387" s="544"/>
      <c r="P387" s="544"/>
      <c r="Q387" s="544"/>
      <c r="R387" s="545"/>
      <c r="S387" s="522" t="str">
        <f t="shared" ca="1" si="16"/>
        <v/>
      </c>
      <c r="T387" s="522"/>
      <c r="U387" s="522"/>
      <c r="V387" s="522"/>
      <c r="W387" s="522"/>
      <c r="X387" s="522"/>
      <c r="Y387" s="522"/>
      <c r="Z387" s="523" t="str">
        <f t="shared" ca="1" si="12"/>
        <v/>
      </c>
      <c r="AA387" s="524"/>
      <c r="AB387" s="524"/>
      <c r="AC387" s="524"/>
      <c r="AD387" s="524"/>
      <c r="AE387" s="524"/>
      <c r="AF387" s="525"/>
      <c r="AG387" s="523" t="str">
        <f t="shared" ca="1" si="13"/>
        <v/>
      </c>
      <c r="AH387" s="524"/>
      <c r="AI387" s="524"/>
      <c r="AJ387" s="524"/>
      <c r="AK387" s="524"/>
      <c r="AL387" s="524"/>
      <c r="AM387" s="525"/>
      <c r="AN387" s="523" t="str">
        <f t="shared" ca="1" si="14"/>
        <v/>
      </c>
      <c r="AO387" s="524"/>
      <c r="AP387" s="524"/>
      <c r="AQ387" s="524"/>
      <c r="AR387" s="524"/>
      <c r="AS387" s="524"/>
      <c r="AT387" s="525"/>
    </row>
    <row r="388" spans="1:46" s="83" customFormat="1" ht="18.75" customHeight="1">
      <c r="A388" s="114"/>
      <c r="B388" s="546">
        <f t="shared" si="15"/>
        <v>28</v>
      </c>
      <c r="C388" s="546"/>
      <c r="D388" s="546"/>
      <c r="E388" s="547" t="str">
        <f t="shared" si="10"/>
        <v/>
      </c>
      <c r="F388" s="548"/>
      <c r="G388" s="548"/>
      <c r="H388" s="548"/>
      <c r="I388" s="548"/>
      <c r="J388" s="548"/>
      <c r="K388" s="548"/>
      <c r="L388" s="543" t="str">
        <f t="shared" si="11"/>
        <v/>
      </c>
      <c r="M388" s="544"/>
      <c r="N388" s="544"/>
      <c r="O388" s="544"/>
      <c r="P388" s="544"/>
      <c r="Q388" s="544"/>
      <c r="R388" s="545"/>
      <c r="S388" s="522" t="str">
        <f t="shared" ca="1" si="16"/>
        <v/>
      </c>
      <c r="T388" s="522"/>
      <c r="U388" s="522"/>
      <c r="V388" s="522"/>
      <c r="W388" s="522"/>
      <c r="X388" s="522"/>
      <c r="Y388" s="522"/>
      <c r="Z388" s="523" t="str">
        <f t="shared" ca="1" si="12"/>
        <v/>
      </c>
      <c r="AA388" s="524"/>
      <c r="AB388" s="524"/>
      <c r="AC388" s="524"/>
      <c r="AD388" s="524"/>
      <c r="AE388" s="524"/>
      <c r="AF388" s="525"/>
      <c r="AG388" s="523" t="str">
        <f t="shared" ca="1" si="13"/>
        <v/>
      </c>
      <c r="AH388" s="524"/>
      <c r="AI388" s="524"/>
      <c r="AJ388" s="524"/>
      <c r="AK388" s="524"/>
      <c r="AL388" s="524"/>
      <c r="AM388" s="525"/>
      <c r="AN388" s="523" t="str">
        <f t="shared" ca="1" si="14"/>
        <v/>
      </c>
      <c r="AO388" s="524"/>
      <c r="AP388" s="524"/>
      <c r="AQ388" s="524"/>
      <c r="AR388" s="524"/>
      <c r="AS388" s="524"/>
      <c r="AT388" s="525"/>
    </row>
    <row r="389" spans="1:46" s="83" customFormat="1" ht="18.75" customHeight="1">
      <c r="A389" s="114"/>
      <c r="B389" s="546">
        <f t="shared" si="15"/>
        <v>29</v>
      </c>
      <c r="C389" s="546"/>
      <c r="D389" s="546"/>
      <c r="E389" s="547" t="str">
        <f t="shared" si="10"/>
        <v/>
      </c>
      <c r="F389" s="548"/>
      <c r="G389" s="548"/>
      <c r="H389" s="548"/>
      <c r="I389" s="548"/>
      <c r="J389" s="548"/>
      <c r="K389" s="548"/>
      <c r="L389" s="543" t="str">
        <f t="shared" si="11"/>
        <v/>
      </c>
      <c r="M389" s="544"/>
      <c r="N389" s="544"/>
      <c r="O389" s="544"/>
      <c r="P389" s="544"/>
      <c r="Q389" s="544"/>
      <c r="R389" s="545"/>
      <c r="S389" s="522" t="str">
        <f t="shared" ca="1" si="16"/>
        <v/>
      </c>
      <c r="T389" s="522"/>
      <c r="U389" s="522"/>
      <c r="V389" s="522"/>
      <c r="W389" s="522"/>
      <c r="X389" s="522"/>
      <c r="Y389" s="522"/>
      <c r="Z389" s="523" t="str">
        <f t="shared" ca="1" si="12"/>
        <v/>
      </c>
      <c r="AA389" s="524"/>
      <c r="AB389" s="524"/>
      <c r="AC389" s="524"/>
      <c r="AD389" s="524"/>
      <c r="AE389" s="524"/>
      <c r="AF389" s="525"/>
      <c r="AG389" s="523" t="str">
        <f t="shared" ca="1" si="13"/>
        <v/>
      </c>
      <c r="AH389" s="524"/>
      <c r="AI389" s="524"/>
      <c r="AJ389" s="524"/>
      <c r="AK389" s="524"/>
      <c r="AL389" s="524"/>
      <c r="AM389" s="525"/>
      <c r="AN389" s="523" t="str">
        <f t="shared" ca="1" si="14"/>
        <v/>
      </c>
      <c r="AO389" s="524"/>
      <c r="AP389" s="524"/>
      <c r="AQ389" s="524"/>
      <c r="AR389" s="524"/>
      <c r="AS389" s="524"/>
      <c r="AT389" s="525"/>
    </row>
    <row r="390" spans="1:46" s="83" customFormat="1" ht="18.75" customHeight="1">
      <c r="A390" s="114"/>
      <c r="B390" s="549">
        <f t="shared" si="15"/>
        <v>30</v>
      </c>
      <c r="C390" s="549"/>
      <c r="D390" s="549"/>
      <c r="E390" s="547" t="str">
        <f t="shared" si="10"/>
        <v/>
      </c>
      <c r="F390" s="548"/>
      <c r="G390" s="548"/>
      <c r="H390" s="548"/>
      <c r="I390" s="548"/>
      <c r="J390" s="548"/>
      <c r="K390" s="548"/>
      <c r="L390" s="543" t="str">
        <f t="shared" si="11"/>
        <v/>
      </c>
      <c r="M390" s="544"/>
      <c r="N390" s="544"/>
      <c r="O390" s="544"/>
      <c r="P390" s="544"/>
      <c r="Q390" s="544"/>
      <c r="R390" s="545"/>
      <c r="S390" s="522" t="str">
        <f t="shared" ca="1" si="16"/>
        <v/>
      </c>
      <c r="T390" s="522"/>
      <c r="U390" s="522"/>
      <c r="V390" s="522"/>
      <c r="W390" s="522"/>
      <c r="X390" s="522"/>
      <c r="Y390" s="522"/>
      <c r="Z390" s="523" t="str">
        <f t="shared" ca="1" si="12"/>
        <v/>
      </c>
      <c r="AA390" s="524"/>
      <c r="AB390" s="524"/>
      <c r="AC390" s="524"/>
      <c r="AD390" s="524"/>
      <c r="AE390" s="524"/>
      <c r="AF390" s="525"/>
      <c r="AG390" s="523" t="str">
        <f t="shared" ca="1" si="13"/>
        <v/>
      </c>
      <c r="AH390" s="524"/>
      <c r="AI390" s="524"/>
      <c r="AJ390" s="524"/>
      <c r="AK390" s="524"/>
      <c r="AL390" s="524"/>
      <c r="AM390" s="525"/>
      <c r="AN390" s="523" t="str">
        <f t="shared" ca="1" si="14"/>
        <v/>
      </c>
      <c r="AO390" s="524"/>
      <c r="AP390" s="524"/>
      <c r="AQ390" s="524"/>
      <c r="AR390" s="524"/>
      <c r="AS390" s="524"/>
      <c r="AT390" s="525"/>
    </row>
    <row r="391" spans="1:46" s="83" customFormat="1" ht="18.75" customHeight="1">
      <c r="A391" s="114"/>
      <c r="B391" s="347"/>
      <c r="C391" s="347"/>
      <c r="D391" s="347"/>
      <c r="E391" s="347"/>
      <c r="F391" s="347"/>
      <c r="G391" s="347"/>
      <c r="H391" s="347"/>
      <c r="I391" s="347"/>
      <c r="J391" s="347"/>
      <c r="K391" s="347"/>
      <c r="L391" s="347"/>
      <c r="M391" s="347"/>
      <c r="N391" s="347"/>
      <c r="O391" s="347"/>
      <c r="P391" s="347"/>
      <c r="Q391" s="347"/>
      <c r="R391" s="347"/>
      <c r="S391" s="347"/>
      <c r="T391" s="347"/>
      <c r="U391" s="347"/>
      <c r="V391" s="347"/>
      <c r="W391" s="347"/>
      <c r="X391" s="347"/>
      <c r="Y391" s="347"/>
      <c r="Z391" s="347"/>
      <c r="AA391" s="347"/>
      <c r="AB391" s="347"/>
      <c r="AC391" s="347"/>
      <c r="AD391" s="347"/>
      <c r="AE391" s="347"/>
      <c r="AF391" s="347"/>
      <c r="AG391" s="347"/>
      <c r="AH391" s="347"/>
      <c r="AI391" s="347"/>
      <c r="AJ391" s="347"/>
      <c r="AK391" s="347"/>
      <c r="AL391" s="347"/>
      <c r="AM391" s="347"/>
      <c r="AN391" s="347"/>
      <c r="AO391" s="347"/>
      <c r="AP391" s="347"/>
      <c r="AQ391" s="347"/>
      <c r="AR391" s="347"/>
      <c r="AS391" s="347"/>
      <c r="AT391" s="347"/>
    </row>
    <row r="392" spans="1:46" s="83" customFormat="1" ht="18.75" customHeight="1">
      <c r="A392" s="90" t="s">
        <v>583</v>
      </c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</row>
    <row r="393" spans="1:46" s="83" customFormat="1" ht="18.75" customHeight="1">
      <c r="A393" s="114"/>
      <c r="B393" s="626" t="s">
        <v>859</v>
      </c>
      <c r="C393" s="627"/>
      <c r="D393" s="628"/>
      <c r="E393" s="635" t="s">
        <v>860</v>
      </c>
      <c r="F393" s="636"/>
      <c r="G393" s="636"/>
      <c r="H393" s="636"/>
      <c r="I393" s="636"/>
      <c r="J393" s="636"/>
      <c r="K393" s="636"/>
      <c r="L393" s="636"/>
      <c r="M393" s="636"/>
      <c r="N393" s="636"/>
      <c r="O393" s="636"/>
      <c r="P393" s="636"/>
      <c r="Q393" s="636"/>
      <c r="R393" s="636"/>
      <c r="S393" s="636"/>
      <c r="T393" s="636"/>
      <c r="U393" s="636"/>
      <c r="V393" s="636"/>
      <c r="W393" s="636"/>
      <c r="X393" s="636"/>
      <c r="Y393" s="636"/>
      <c r="Z393" s="637"/>
      <c r="AA393" s="638" t="s">
        <v>866</v>
      </c>
      <c r="AB393" s="639"/>
      <c r="AC393" s="639"/>
      <c r="AD393" s="639"/>
      <c r="AE393" s="639"/>
      <c r="AF393" s="639"/>
      <c r="AG393" s="639"/>
      <c r="AH393" s="639"/>
      <c r="AI393" s="639"/>
      <c r="AJ393" s="639"/>
      <c r="AK393" s="639"/>
      <c r="AL393" s="639"/>
      <c r="AM393" s="639"/>
      <c r="AN393" s="639"/>
      <c r="AO393" s="639"/>
      <c r="AP393" s="639"/>
      <c r="AQ393" s="639"/>
      <c r="AR393" s="639"/>
      <c r="AS393" s="639"/>
      <c r="AT393" s="640"/>
    </row>
    <row r="394" spans="1:46" s="83" customFormat="1" ht="18.75" customHeight="1">
      <c r="A394" s="114"/>
      <c r="B394" s="629"/>
      <c r="C394" s="630"/>
      <c r="D394" s="631"/>
      <c r="E394" s="626" t="s">
        <v>867</v>
      </c>
      <c r="F394" s="627"/>
      <c r="G394" s="627"/>
      <c r="H394" s="628"/>
      <c r="I394" s="646" t="s">
        <v>589</v>
      </c>
      <c r="J394" s="653"/>
      <c r="K394" s="653"/>
      <c r="L394" s="654"/>
      <c r="M394" s="646" t="s">
        <v>591</v>
      </c>
      <c r="N394" s="653"/>
      <c r="O394" s="653"/>
      <c r="P394" s="653"/>
      <c r="Q394" s="654"/>
      <c r="R394" s="652" t="str">
        <f>Calcu_ADJ!H42</f>
        <v>0밀도</v>
      </c>
      <c r="S394" s="647"/>
      <c r="T394" s="647"/>
      <c r="U394" s="648"/>
      <c r="V394" s="646" t="s">
        <v>593</v>
      </c>
      <c r="W394" s="653"/>
      <c r="X394" s="653"/>
      <c r="Y394" s="653"/>
      <c r="Z394" s="654"/>
      <c r="AA394" s="646" t="s">
        <v>868</v>
      </c>
      <c r="AB394" s="653"/>
      <c r="AC394" s="653"/>
      <c r="AD394" s="653"/>
      <c r="AE394" s="654"/>
      <c r="AF394" s="646" t="s">
        <v>596</v>
      </c>
      <c r="AG394" s="653"/>
      <c r="AH394" s="653"/>
      <c r="AI394" s="653"/>
      <c r="AJ394" s="654"/>
      <c r="AK394" s="646" t="s">
        <v>869</v>
      </c>
      <c r="AL394" s="653"/>
      <c r="AM394" s="653"/>
      <c r="AN394" s="653"/>
      <c r="AO394" s="654"/>
      <c r="AP394" s="646" t="s">
        <v>599</v>
      </c>
      <c r="AQ394" s="653"/>
      <c r="AR394" s="653"/>
      <c r="AS394" s="653"/>
      <c r="AT394" s="654"/>
    </row>
    <row r="395" spans="1:46" s="83" customFormat="1" ht="18.75" customHeight="1">
      <c r="A395" s="114"/>
      <c r="B395" s="629"/>
      <c r="C395" s="630"/>
      <c r="D395" s="631"/>
      <c r="E395" s="632"/>
      <c r="F395" s="633"/>
      <c r="G395" s="633"/>
      <c r="H395" s="634"/>
      <c r="I395" s="655"/>
      <c r="J395" s="656"/>
      <c r="K395" s="656"/>
      <c r="L395" s="657"/>
      <c r="M395" s="655"/>
      <c r="N395" s="656"/>
      <c r="O395" s="656"/>
      <c r="P395" s="656"/>
      <c r="Q395" s="657"/>
      <c r="R395" s="649"/>
      <c r="S395" s="650"/>
      <c r="T395" s="650"/>
      <c r="U395" s="651"/>
      <c r="V395" s="655"/>
      <c r="W395" s="656"/>
      <c r="X395" s="656"/>
      <c r="Y395" s="656"/>
      <c r="Z395" s="657"/>
      <c r="AA395" s="655"/>
      <c r="AB395" s="656"/>
      <c r="AC395" s="656"/>
      <c r="AD395" s="656"/>
      <c r="AE395" s="657"/>
      <c r="AF395" s="655"/>
      <c r="AG395" s="656"/>
      <c r="AH395" s="656"/>
      <c r="AI395" s="656"/>
      <c r="AJ395" s="657"/>
      <c r="AK395" s="655"/>
      <c r="AL395" s="656"/>
      <c r="AM395" s="656"/>
      <c r="AN395" s="656"/>
      <c r="AO395" s="657"/>
      <c r="AP395" s="655"/>
      <c r="AQ395" s="656"/>
      <c r="AR395" s="656"/>
      <c r="AS395" s="656"/>
      <c r="AT395" s="657"/>
    </row>
    <row r="396" spans="1:46" s="83" customFormat="1" ht="18.75" customHeight="1">
      <c r="A396" s="114"/>
      <c r="B396" s="632"/>
      <c r="C396" s="633"/>
      <c r="D396" s="634"/>
      <c r="E396" s="658">
        <f>Calcu_ADJ!E44</f>
        <v>0</v>
      </c>
      <c r="F396" s="663"/>
      <c r="G396" s="663"/>
      <c r="H396" s="664"/>
      <c r="I396" s="659">
        <f>Calcu_ADJ!F44</f>
        <v>0</v>
      </c>
      <c r="J396" s="665"/>
      <c r="K396" s="665"/>
      <c r="L396" s="666"/>
      <c r="M396" s="638">
        <f>Calcu_ADJ!G44</f>
        <v>0</v>
      </c>
      <c r="N396" s="639"/>
      <c r="O396" s="639"/>
      <c r="P396" s="639"/>
      <c r="Q396" s="640"/>
      <c r="R396" s="638" t="str">
        <f>Calcu_ADJ!H44</f>
        <v>kg/㎥</v>
      </c>
      <c r="S396" s="639"/>
      <c r="T396" s="639"/>
      <c r="U396" s="640"/>
      <c r="V396" s="638" t="s">
        <v>601</v>
      </c>
      <c r="W396" s="639"/>
      <c r="X396" s="639"/>
      <c r="Y396" s="639"/>
      <c r="Z396" s="640"/>
      <c r="AA396" s="638">
        <f>Calcu_ADJ!K44</f>
        <v>0</v>
      </c>
      <c r="AB396" s="639"/>
      <c r="AC396" s="639"/>
      <c r="AD396" s="639"/>
      <c r="AE396" s="640"/>
      <c r="AF396" s="638">
        <f>Calcu_ADJ!L44</f>
        <v>0</v>
      </c>
      <c r="AG396" s="639"/>
      <c r="AH396" s="639"/>
      <c r="AI396" s="639"/>
      <c r="AJ396" s="640"/>
      <c r="AK396" s="638">
        <f>Calcu_ADJ!N44</f>
        <v>0</v>
      </c>
      <c r="AL396" s="639"/>
      <c r="AM396" s="639"/>
      <c r="AN396" s="639"/>
      <c r="AO396" s="640"/>
      <c r="AP396" s="638">
        <f>Calcu_ADJ!M44</f>
        <v>0</v>
      </c>
      <c r="AQ396" s="639"/>
      <c r="AR396" s="639"/>
      <c r="AS396" s="639"/>
      <c r="AT396" s="640"/>
    </row>
    <row r="397" spans="1:46" s="83" customFormat="1" ht="18.75" customHeight="1">
      <c r="A397" s="114"/>
      <c r="B397" s="535">
        <v>1</v>
      </c>
      <c r="C397" s="535"/>
      <c r="D397" s="535"/>
      <c r="E397" s="536" t="str">
        <f>Calcu_ADJ!E45</f>
        <v/>
      </c>
      <c r="F397" s="537"/>
      <c r="G397" s="537"/>
      <c r="H397" s="538"/>
      <c r="I397" s="536" t="str">
        <f>Calcu_ADJ!F45</f>
        <v/>
      </c>
      <c r="J397" s="537"/>
      <c r="K397" s="537"/>
      <c r="L397" s="538"/>
      <c r="M397" s="539" t="str">
        <f>Calcu_ADJ!G45</f>
        <v/>
      </c>
      <c r="N397" s="540"/>
      <c r="O397" s="540"/>
      <c r="P397" s="540"/>
      <c r="Q397" s="541"/>
      <c r="R397" s="542" t="str">
        <f>Calcu_ADJ!H45</f>
        <v/>
      </c>
      <c r="S397" s="540"/>
      <c r="T397" s="540"/>
      <c r="U397" s="541"/>
      <c r="V397" s="539" t="str">
        <f>Calcu_ADJ!I45</f>
        <v/>
      </c>
      <c r="W397" s="540"/>
      <c r="X397" s="540"/>
      <c r="Y397" s="540"/>
      <c r="Z397" s="541"/>
      <c r="AA397" s="539" t="str">
        <f>Calcu_ADJ!K45</f>
        <v/>
      </c>
      <c r="AB397" s="540"/>
      <c r="AC397" s="540"/>
      <c r="AD397" s="540"/>
      <c r="AE397" s="541"/>
      <c r="AF397" s="542" t="str">
        <f>Calcu_ADJ!L45</f>
        <v/>
      </c>
      <c r="AG397" s="540"/>
      <c r="AH397" s="540"/>
      <c r="AI397" s="540"/>
      <c r="AJ397" s="541"/>
      <c r="AK397" s="542" t="str">
        <f>Calcu_ADJ!N45</f>
        <v/>
      </c>
      <c r="AL397" s="540"/>
      <c r="AM397" s="540"/>
      <c r="AN397" s="540"/>
      <c r="AO397" s="541"/>
      <c r="AP397" s="539" t="str">
        <f ca="1">IF(AN361="","",Calcu_ADJ!M45)</f>
        <v/>
      </c>
      <c r="AQ397" s="540"/>
      <c r="AR397" s="540"/>
      <c r="AS397" s="540"/>
      <c r="AT397" s="541"/>
    </row>
    <row r="398" spans="1:46" s="83" customFormat="1" ht="18.75" customHeight="1">
      <c r="A398" s="114"/>
      <c r="B398" s="522">
        <v>2</v>
      </c>
      <c r="C398" s="522"/>
      <c r="D398" s="522"/>
      <c r="E398" s="667" t="str">
        <f>Calcu_ADJ!E46</f>
        <v/>
      </c>
      <c r="F398" s="668"/>
      <c r="G398" s="668"/>
      <c r="H398" s="669"/>
      <c r="I398" s="667" t="str">
        <f>Calcu_ADJ!F46</f>
        <v/>
      </c>
      <c r="J398" s="668"/>
      <c r="K398" s="668"/>
      <c r="L398" s="669"/>
      <c r="M398" s="670" t="str">
        <f>Calcu_ADJ!G46</f>
        <v/>
      </c>
      <c r="N398" s="620"/>
      <c r="O398" s="620"/>
      <c r="P398" s="620"/>
      <c r="Q398" s="671"/>
      <c r="R398" s="543" t="str">
        <f>Calcu_ADJ!H46</f>
        <v/>
      </c>
      <c r="S398" s="620"/>
      <c r="T398" s="620"/>
      <c r="U398" s="671"/>
      <c r="V398" s="670" t="str">
        <f>Calcu_ADJ!I46</f>
        <v/>
      </c>
      <c r="W398" s="620"/>
      <c r="X398" s="620"/>
      <c r="Y398" s="620"/>
      <c r="Z398" s="671"/>
      <c r="AA398" s="670" t="str">
        <f>Calcu_ADJ!K46</f>
        <v/>
      </c>
      <c r="AB398" s="620"/>
      <c r="AC398" s="620"/>
      <c r="AD398" s="620"/>
      <c r="AE398" s="671"/>
      <c r="AF398" s="543" t="str">
        <f>Calcu_ADJ!L46</f>
        <v/>
      </c>
      <c r="AG398" s="620"/>
      <c r="AH398" s="620"/>
      <c r="AI398" s="620"/>
      <c r="AJ398" s="671"/>
      <c r="AK398" s="543" t="str">
        <f>Calcu_ADJ!N46</f>
        <v/>
      </c>
      <c r="AL398" s="620"/>
      <c r="AM398" s="620"/>
      <c r="AN398" s="620"/>
      <c r="AO398" s="671"/>
      <c r="AP398" s="670" t="str">
        <f ca="1">IF(AN362="","",Calcu_ADJ!M46)</f>
        <v/>
      </c>
      <c r="AQ398" s="620"/>
      <c r="AR398" s="620"/>
      <c r="AS398" s="620"/>
      <c r="AT398" s="671"/>
    </row>
    <row r="399" spans="1:46" s="83" customFormat="1" ht="18.75" customHeight="1">
      <c r="A399" s="114"/>
      <c r="B399" s="522">
        <v>3</v>
      </c>
      <c r="C399" s="522"/>
      <c r="D399" s="522"/>
      <c r="E399" s="667" t="str">
        <f>Calcu_ADJ!E47</f>
        <v/>
      </c>
      <c r="F399" s="668"/>
      <c r="G399" s="668"/>
      <c r="H399" s="669"/>
      <c r="I399" s="667" t="str">
        <f>Calcu_ADJ!F47</f>
        <v/>
      </c>
      <c r="J399" s="668"/>
      <c r="K399" s="668"/>
      <c r="L399" s="669"/>
      <c r="M399" s="670" t="str">
        <f>Calcu_ADJ!G47</f>
        <v/>
      </c>
      <c r="N399" s="620"/>
      <c r="O399" s="620"/>
      <c r="P399" s="620"/>
      <c r="Q399" s="671"/>
      <c r="R399" s="543" t="str">
        <f>Calcu_ADJ!H47</f>
        <v/>
      </c>
      <c r="S399" s="620"/>
      <c r="T399" s="620"/>
      <c r="U399" s="671"/>
      <c r="V399" s="670" t="str">
        <f>Calcu_ADJ!I47</f>
        <v/>
      </c>
      <c r="W399" s="620"/>
      <c r="X399" s="620"/>
      <c r="Y399" s="620"/>
      <c r="Z399" s="671"/>
      <c r="AA399" s="670" t="str">
        <f>Calcu_ADJ!K47</f>
        <v/>
      </c>
      <c r="AB399" s="620"/>
      <c r="AC399" s="620"/>
      <c r="AD399" s="620"/>
      <c r="AE399" s="671"/>
      <c r="AF399" s="543" t="str">
        <f>Calcu_ADJ!L47</f>
        <v/>
      </c>
      <c r="AG399" s="620"/>
      <c r="AH399" s="620"/>
      <c r="AI399" s="620"/>
      <c r="AJ399" s="671"/>
      <c r="AK399" s="543" t="str">
        <f>Calcu_ADJ!N47</f>
        <v/>
      </c>
      <c r="AL399" s="620"/>
      <c r="AM399" s="620"/>
      <c r="AN399" s="620"/>
      <c r="AO399" s="671"/>
      <c r="AP399" s="670" t="str">
        <f ca="1">IF(AN363="","",Calcu_ADJ!M47)</f>
        <v/>
      </c>
      <c r="AQ399" s="620"/>
      <c r="AR399" s="620"/>
      <c r="AS399" s="620"/>
      <c r="AT399" s="671"/>
    </row>
    <row r="400" spans="1:46" s="83" customFormat="1" ht="18.75" customHeight="1">
      <c r="A400" s="114"/>
      <c r="B400" s="522">
        <v>4</v>
      </c>
      <c r="C400" s="522"/>
      <c r="D400" s="522"/>
      <c r="E400" s="667" t="str">
        <f>Calcu_ADJ!E48</f>
        <v/>
      </c>
      <c r="F400" s="668"/>
      <c r="G400" s="668"/>
      <c r="H400" s="669"/>
      <c r="I400" s="667" t="str">
        <f>Calcu_ADJ!F48</f>
        <v/>
      </c>
      <c r="J400" s="668"/>
      <c r="K400" s="668"/>
      <c r="L400" s="669"/>
      <c r="M400" s="670" t="str">
        <f>Calcu_ADJ!G48</f>
        <v/>
      </c>
      <c r="N400" s="620"/>
      <c r="O400" s="620"/>
      <c r="P400" s="620"/>
      <c r="Q400" s="671"/>
      <c r="R400" s="543" t="str">
        <f>Calcu_ADJ!H48</f>
        <v/>
      </c>
      <c r="S400" s="620"/>
      <c r="T400" s="620"/>
      <c r="U400" s="671"/>
      <c r="V400" s="670" t="str">
        <f>Calcu_ADJ!I48</f>
        <v/>
      </c>
      <c r="W400" s="620"/>
      <c r="X400" s="620"/>
      <c r="Y400" s="620"/>
      <c r="Z400" s="671"/>
      <c r="AA400" s="670" t="str">
        <f>Calcu_ADJ!K48</f>
        <v/>
      </c>
      <c r="AB400" s="620"/>
      <c r="AC400" s="620"/>
      <c r="AD400" s="620"/>
      <c r="AE400" s="671"/>
      <c r="AF400" s="543" t="str">
        <f>Calcu_ADJ!L48</f>
        <v/>
      </c>
      <c r="AG400" s="620"/>
      <c r="AH400" s="620"/>
      <c r="AI400" s="620"/>
      <c r="AJ400" s="671"/>
      <c r="AK400" s="543" t="str">
        <f>Calcu_ADJ!N48</f>
        <v/>
      </c>
      <c r="AL400" s="620"/>
      <c r="AM400" s="620"/>
      <c r="AN400" s="620"/>
      <c r="AO400" s="671"/>
      <c r="AP400" s="670" t="str">
        <f ca="1">IF(AN364="","",Calcu_ADJ!M48)</f>
        <v/>
      </c>
      <c r="AQ400" s="620"/>
      <c r="AR400" s="620"/>
      <c r="AS400" s="620"/>
      <c r="AT400" s="671"/>
    </row>
    <row r="401" spans="1:46" s="83" customFormat="1" ht="18.75" customHeight="1">
      <c r="A401" s="114"/>
      <c r="B401" s="522">
        <v>5</v>
      </c>
      <c r="C401" s="522"/>
      <c r="D401" s="522"/>
      <c r="E401" s="667" t="str">
        <f>Calcu_ADJ!E49</f>
        <v/>
      </c>
      <c r="F401" s="668"/>
      <c r="G401" s="668"/>
      <c r="H401" s="669"/>
      <c r="I401" s="667" t="str">
        <f>Calcu_ADJ!F49</f>
        <v/>
      </c>
      <c r="J401" s="668"/>
      <c r="K401" s="668"/>
      <c r="L401" s="669"/>
      <c r="M401" s="670" t="str">
        <f>Calcu_ADJ!G49</f>
        <v/>
      </c>
      <c r="N401" s="620"/>
      <c r="O401" s="620"/>
      <c r="P401" s="620"/>
      <c r="Q401" s="671"/>
      <c r="R401" s="543" t="str">
        <f>Calcu_ADJ!H49</f>
        <v/>
      </c>
      <c r="S401" s="620"/>
      <c r="T401" s="620"/>
      <c r="U401" s="671"/>
      <c r="V401" s="670" t="str">
        <f>Calcu_ADJ!I49</f>
        <v/>
      </c>
      <c r="W401" s="620"/>
      <c r="X401" s="620"/>
      <c r="Y401" s="620"/>
      <c r="Z401" s="671"/>
      <c r="AA401" s="670" t="str">
        <f>Calcu_ADJ!K49</f>
        <v/>
      </c>
      <c r="AB401" s="620"/>
      <c r="AC401" s="620"/>
      <c r="AD401" s="620"/>
      <c r="AE401" s="671"/>
      <c r="AF401" s="543" t="str">
        <f>Calcu_ADJ!L49</f>
        <v/>
      </c>
      <c r="AG401" s="620"/>
      <c r="AH401" s="620"/>
      <c r="AI401" s="620"/>
      <c r="AJ401" s="671"/>
      <c r="AK401" s="543" t="str">
        <f>Calcu_ADJ!N49</f>
        <v/>
      </c>
      <c r="AL401" s="620"/>
      <c r="AM401" s="620"/>
      <c r="AN401" s="620"/>
      <c r="AO401" s="671"/>
      <c r="AP401" s="670" t="str">
        <f ca="1">IF(AN365="","",Calcu_ADJ!M49)</f>
        <v/>
      </c>
      <c r="AQ401" s="620"/>
      <c r="AR401" s="620"/>
      <c r="AS401" s="620"/>
      <c r="AT401" s="671"/>
    </row>
    <row r="402" spans="1:46" s="83" customFormat="1" ht="18.75" customHeight="1">
      <c r="A402" s="114"/>
      <c r="B402" s="522">
        <v>6</v>
      </c>
      <c r="C402" s="522"/>
      <c r="D402" s="522"/>
      <c r="E402" s="667" t="str">
        <f>Calcu_ADJ!E50</f>
        <v/>
      </c>
      <c r="F402" s="668"/>
      <c r="G402" s="668"/>
      <c r="H402" s="669"/>
      <c r="I402" s="667" t="str">
        <f>Calcu_ADJ!F50</f>
        <v/>
      </c>
      <c r="J402" s="668"/>
      <c r="K402" s="668"/>
      <c r="L402" s="669"/>
      <c r="M402" s="670" t="str">
        <f>Calcu_ADJ!G50</f>
        <v/>
      </c>
      <c r="N402" s="620"/>
      <c r="O402" s="620"/>
      <c r="P402" s="620"/>
      <c r="Q402" s="671"/>
      <c r="R402" s="543" t="str">
        <f>Calcu_ADJ!H50</f>
        <v/>
      </c>
      <c r="S402" s="620"/>
      <c r="T402" s="620"/>
      <c r="U402" s="671"/>
      <c r="V402" s="670" t="str">
        <f>Calcu_ADJ!I50</f>
        <v/>
      </c>
      <c r="W402" s="620"/>
      <c r="X402" s="620"/>
      <c r="Y402" s="620"/>
      <c r="Z402" s="671"/>
      <c r="AA402" s="670" t="str">
        <f>Calcu_ADJ!K50</f>
        <v/>
      </c>
      <c r="AB402" s="620"/>
      <c r="AC402" s="620"/>
      <c r="AD402" s="620"/>
      <c r="AE402" s="671"/>
      <c r="AF402" s="543" t="str">
        <f>Calcu_ADJ!L50</f>
        <v/>
      </c>
      <c r="AG402" s="620"/>
      <c r="AH402" s="620"/>
      <c r="AI402" s="620"/>
      <c r="AJ402" s="671"/>
      <c r="AK402" s="543" t="str">
        <f>Calcu_ADJ!N50</f>
        <v/>
      </c>
      <c r="AL402" s="620"/>
      <c r="AM402" s="620"/>
      <c r="AN402" s="620"/>
      <c r="AO402" s="671"/>
      <c r="AP402" s="670" t="str">
        <f ca="1">IF(AN366="","",Calcu_ADJ!M50)</f>
        <v/>
      </c>
      <c r="AQ402" s="620"/>
      <c r="AR402" s="620"/>
      <c r="AS402" s="620"/>
      <c r="AT402" s="671"/>
    </row>
    <row r="403" spans="1:46" s="83" customFormat="1" ht="18.75" customHeight="1">
      <c r="A403" s="114"/>
      <c r="B403" s="522">
        <v>7</v>
      </c>
      <c r="C403" s="522"/>
      <c r="D403" s="522"/>
      <c r="E403" s="667" t="str">
        <f>Calcu_ADJ!E51</f>
        <v/>
      </c>
      <c r="F403" s="668"/>
      <c r="G403" s="668"/>
      <c r="H403" s="669"/>
      <c r="I403" s="667" t="str">
        <f>Calcu_ADJ!F51</f>
        <v/>
      </c>
      <c r="J403" s="668"/>
      <c r="K403" s="668"/>
      <c r="L403" s="669"/>
      <c r="M403" s="670" t="str">
        <f>Calcu_ADJ!G51</f>
        <v/>
      </c>
      <c r="N403" s="620"/>
      <c r="O403" s="620"/>
      <c r="P403" s="620"/>
      <c r="Q403" s="671"/>
      <c r="R403" s="543" t="str">
        <f>Calcu_ADJ!H51</f>
        <v/>
      </c>
      <c r="S403" s="620"/>
      <c r="T403" s="620"/>
      <c r="U403" s="671"/>
      <c r="V403" s="670" t="str">
        <f>Calcu_ADJ!I51</f>
        <v/>
      </c>
      <c r="W403" s="620"/>
      <c r="X403" s="620"/>
      <c r="Y403" s="620"/>
      <c r="Z403" s="671"/>
      <c r="AA403" s="670" t="str">
        <f>Calcu_ADJ!K51</f>
        <v/>
      </c>
      <c r="AB403" s="620"/>
      <c r="AC403" s="620"/>
      <c r="AD403" s="620"/>
      <c r="AE403" s="671"/>
      <c r="AF403" s="543" t="str">
        <f>Calcu_ADJ!L51</f>
        <v/>
      </c>
      <c r="AG403" s="620"/>
      <c r="AH403" s="620"/>
      <c r="AI403" s="620"/>
      <c r="AJ403" s="671"/>
      <c r="AK403" s="543" t="str">
        <f>Calcu_ADJ!N51</f>
        <v/>
      </c>
      <c r="AL403" s="620"/>
      <c r="AM403" s="620"/>
      <c r="AN403" s="620"/>
      <c r="AO403" s="671"/>
      <c r="AP403" s="670" t="str">
        <f ca="1">IF(AN367="","",Calcu_ADJ!M51)</f>
        <v/>
      </c>
      <c r="AQ403" s="620"/>
      <c r="AR403" s="620"/>
      <c r="AS403" s="620"/>
      <c r="AT403" s="671"/>
    </row>
    <row r="404" spans="1:46" s="83" customFormat="1" ht="18.75" customHeight="1">
      <c r="A404" s="114"/>
      <c r="B404" s="522">
        <v>8</v>
      </c>
      <c r="C404" s="522"/>
      <c r="D404" s="522"/>
      <c r="E404" s="667" t="str">
        <f>Calcu_ADJ!E52</f>
        <v/>
      </c>
      <c r="F404" s="668"/>
      <c r="G404" s="668"/>
      <c r="H404" s="669"/>
      <c r="I404" s="667" t="str">
        <f>Calcu_ADJ!F52</f>
        <v/>
      </c>
      <c r="J404" s="668"/>
      <c r="K404" s="668"/>
      <c r="L404" s="669"/>
      <c r="M404" s="670" t="str">
        <f>Calcu_ADJ!G52</f>
        <v/>
      </c>
      <c r="N404" s="620"/>
      <c r="O404" s="620"/>
      <c r="P404" s="620"/>
      <c r="Q404" s="671"/>
      <c r="R404" s="543" t="str">
        <f>Calcu_ADJ!H52</f>
        <v/>
      </c>
      <c r="S404" s="620"/>
      <c r="T404" s="620"/>
      <c r="U404" s="671"/>
      <c r="V404" s="670" t="str">
        <f>Calcu_ADJ!I52</f>
        <v/>
      </c>
      <c r="W404" s="620"/>
      <c r="X404" s="620"/>
      <c r="Y404" s="620"/>
      <c r="Z404" s="671"/>
      <c r="AA404" s="670" t="str">
        <f>Calcu_ADJ!K52</f>
        <v/>
      </c>
      <c r="AB404" s="620"/>
      <c r="AC404" s="620"/>
      <c r="AD404" s="620"/>
      <c r="AE404" s="671"/>
      <c r="AF404" s="543" t="str">
        <f>Calcu_ADJ!L52</f>
        <v/>
      </c>
      <c r="AG404" s="620"/>
      <c r="AH404" s="620"/>
      <c r="AI404" s="620"/>
      <c r="AJ404" s="671"/>
      <c r="AK404" s="543" t="str">
        <f>Calcu_ADJ!N52</f>
        <v/>
      </c>
      <c r="AL404" s="620"/>
      <c r="AM404" s="620"/>
      <c r="AN404" s="620"/>
      <c r="AO404" s="671"/>
      <c r="AP404" s="670" t="str">
        <f ca="1">IF(AN368="","",Calcu_ADJ!M52)</f>
        <v/>
      </c>
      <c r="AQ404" s="620"/>
      <c r="AR404" s="620"/>
      <c r="AS404" s="620"/>
      <c r="AT404" s="671"/>
    </row>
    <row r="405" spans="1:46" s="83" customFormat="1" ht="18.75" customHeight="1">
      <c r="A405" s="114"/>
      <c r="B405" s="522">
        <v>9</v>
      </c>
      <c r="C405" s="522"/>
      <c r="D405" s="522"/>
      <c r="E405" s="667" t="str">
        <f>Calcu_ADJ!E53</f>
        <v/>
      </c>
      <c r="F405" s="668"/>
      <c r="G405" s="668"/>
      <c r="H405" s="669"/>
      <c r="I405" s="667" t="str">
        <f>Calcu_ADJ!F53</f>
        <v/>
      </c>
      <c r="J405" s="668"/>
      <c r="K405" s="668"/>
      <c r="L405" s="669"/>
      <c r="M405" s="670" t="str">
        <f>Calcu_ADJ!G53</f>
        <v/>
      </c>
      <c r="N405" s="620"/>
      <c r="O405" s="620"/>
      <c r="P405" s="620"/>
      <c r="Q405" s="671"/>
      <c r="R405" s="543" t="str">
        <f>Calcu_ADJ!H53</f>
        <v/>
      </c>
      <c r="S405" s="620"/>
      <c r="T405" s="620"/>
      <c r="U405" s="671"/>
      <c r="V405" s="670" t="str">
        <f>Calcu_ADJ!I53</f>
        <v/>
      </c>
      <c r="W405" s="620"/>
      <c r="X405" s="620"/>
      <c r="Y405" s="620"/>
      <c r="Z405" s="671"/>
      <c r="AA405" s="670" t="str">
        <f>Calcu_ADJ!K53</f>
        <v/>
      </c>
      <c r="AB405" s="620"/>
      <c r="AC405" s="620"/>
      <c r="AD405" s="620"/>
      <c r="AE405" s="671"/>
      <c r="AF405" s="543" t="str">
        <f>Calcu_ADJ!L53</f>
        <v/>
      </c>
      <c r="AG405" s="620"/>
      <c r="AH405" s="620"/>
      <c r="AI405" s="620"/>
      <c r="AJ405" s="671"/>
      <c r="AK405" s="543" t="str">
        <f>Calcu_ADJ!N53</f>
        <v/>
      </c>
      <c r="AL405" s="620"/>
      <c r="AM405" s="620"/>
      <c r="AN405" s="620"/>
      <c r="AO405" s="671"/>
      <c r="AP405" s="670" t="str">
        <f ca="1">IF(AN369="","",Calcu_ADJ!M53)</f>
        <v/>
      </c>
      <c r="AQ405" s="620"/>
      <c r="AR405" s="620"/>
      <c r="AS405" s="620"/>
      <c r="AT405" s="671"/>
    </row>
    <row r="406" spans="1:46" s="83" customFormat="1" ht="18.75" customHeight="1">
      <c r="A406" s="114"/>
      <c r="B406" s="522">
        <v>10</v>
      </c>
      <c r="C406" s="522"/>
      <c r="D406" s="522"/>
      <c r="E406" s="667" t="str">
        <f>Calcu_ADJ!E54</f>
        <v/>
      </c>
      <c r="F406" s="668"/>
      <c r="G406" s="668"/>
      <c r="H406" s="669"/>
      <c r="I406" s="667" t="str">
        <f>Calcu_ADJ!F54</f>
        <v/>
      </c>
      <c r="J406" s="668"/>
      <c r="K406" s="668"/>
      <c r="L406" s="669"/>
      <c r="M406" s="670" t="str">
        <f>Calcu_ADJ!G54</f>
        <v/>
      </c>
      <c r="N406" s="620"/>
      <c r="O406" s="620"/>
      <c r="P406" s="620"/>
      <c r="Q406" s="671"/>
      <c r="R406" s="543" t="str">
        <f>Calcu_ADJ!H54</f>
        <v/>
      </c>
      <c r="S406" s="620"/>
      <c r="T406" s="620"/>
      <c r="U406" s="671"/>
      <c r="V406" s="670" t="str">
        <f>Calcu_ADJ!I54</f>
        <v/>
      </c>
      <c r="W406" s="620"/>
      <c r="X406" s="620"/>
      <c r="Y406" s="620"/>
      <c r="Z406" s="671"/>
      <c r="AA406" s="670" t="str">
        <f>Calcu_ADJ!K54</f>
        <v/>
      </c>
      <c r="AB406" s="620"/>
      <c r="AC406" s="620"/>
      <c r="AD406" s="620"/>
      <c r="AE406" s="671"/>
      <c r="AF406" s="543" t="str">
        <f>Calcu_ADJ!L54</f>
        <v/>
      </c>
      <c r="AG406" s="620"/>
      <c r="AH406" s="620"/>
      <c r="AI406" s="620"/>
      <c r="AJ406" s="671"/>
      <c r="AK406" s="543" t="str">
        <f>Calcu_ADJ!N54</f>
        <v/>
      </c>
      <c r="AL406" s="620"/>
      <c r="AM406" s="620"/>
      <c r="AN406" s="620"/>
      <c r="AO406" s="671"/>
      <c r="AP406" s="670" t="str">
        <f ca="1">IF(AN370="","",Calcu_ADJ!M54)</f>
        <v/>
      </c>
      <c r="AQ406" s="620"/>
      <c r="AR406" s="620"/>
      <c r="AS406" s="620"/>
      <c r="AT406" s="671"/>
    </row>
    <row r="407" spans="1:46" s="83" customFormat="1" ht="18.75" customHeight="1">
      <c r="A407" s="114"/>
      <c r="B407" s="522">
        <v>11</v>
      </c>
      <c r="C407" s="522"/>
      <c r="D407" s="522"/>
      <c r="E407" s="667" t="str">
        <f>Calcu_ADJ!E55</f>
        <v/>
      </c>
      <c r="F407" s="668"/>
      <c r="G407" s="668"/>
      <c r="H407" s="669"/>
      <c r="I407" s="667" t="str">
        <f>Calcu_ADJ!F55</f>
        <v/>
      </c>
      <c r="J407" s="668"/>
      <c r="K407" s="668"/>
      <c r="L407" s="669"/>
      <c r="M407" s="670" t="str">
        <f>Calcu_ADJ!G55</f>
        <v/>
      </c>
      <c r="N407" s="620"/>
      <c r="O407" s="620"/>
      <c r="P407" s="620"/>
      <c r="Q407" s="671"/>
      <c r="R407" s="543" t="str">
        <f>Calcu_ADJ!H55</f>
        <v/>
      </c>
      <c r="S407" s="620"/>
      <c r="T407" s="620"/>
      <c r="U407" s="671"/>
      <c r="V407" s="670" t="str">
        <f>Calcu_ADJ!I55</f>
        <v/>
      </c>
      <c r="W407" s="620"/>
      <c r="X407" s="620"/>
      <c r="Y407" s="620"/>
      <c r="Z407" s="671"/>
      <c r="AA407" s="670" t="str">
        <f>Calcu_ADJ!K55</f>
        <v/>
      </c>
      <c r="AB407" s="620"/>
      <c r="AC407" s="620"/>
      <c r="AD407" s="620"/>
      <c r="AE407" s="671"/>
      <c r="AF407" s="543" t="str">
        <f>Calcu_ADJ!L55</f>
        <v/>
      </c>
      <c r="AG407" s="620"/>
      <c r="AH407" s="620"/>
      <c r="AI407" s="620"/>
      <c r="AJ407" s="671"/>
      <c r="AK407" s="543" t="str">
        <f>Calcu_ADJ!N55</f>
        <v/>
      </c>
      <c r="AL407" s="620"/>
      <c r="AM407" s="620"/>
      <c r="AN407" s="620"/>
      <c r="AO407" s="671"/>
      <c r="AP407" s="670" t="str">
        <f ca="1">IF(AN371="","",Calcu_ADJ!M55)</f>
        <v/>
      </c>
      <c r="AQ407" s="620"/>
      <c r="AR407" s="620"/>
      <c r="AS407" s="620"/>
      <c r="AT407" s="671"/>
    </row>
    <row r="408" spans="1:46" s="83" customFormat="1" ht="18.75" customHeight="1">
      <c r="A408" s="114"/>
      <c r="B408" s="522">
        <v>12</v>
      </c>
      <c r="C408" s="522"/>
      <c r="D408" s="522"/>
      <c r="E408" s="667" t="str">
        <f>Calcu_ADJ!E56</f>
        <v/>
      </c>
      <c r="F408" s="668"/>
      <c r="G408" s="668"/>
      <c r="H408" s="669"/>
      <c r="I408" s="667" t="str">
        <f>Calcu_ADJ!F56</f>
        <v/>
      </c>
      <c r="J408" s="668"/>
      <c r="K408" s="668"/>
      <c r="L408" s="669"/>
      <c r="M408" s="670" t="str">
        <f>Calcu_ADJ!G56</f>
        <v/>
      </c>
      <c r="N408" s="620"/>
      <c r="O408" s="620"/>
      <c r="P408" s="620"/>
      <c r="Q408" s="671"/>
      <c r="R408" s="543" t="str">
        <f>Calcu_ADJ!H56</f>
        <v/>
      </c>
      <c r="S408" s="620"/>
      <c r="T408" s="620"/>
      <c r="U408" s="671"/>
      <c r="V408" s="670" t="str">
        <f>Calcu_ADJ!I56</f>
        <v/>
      </c>
      <c r="W408" s="620"/>
      <c r="X408" s="620"/>
      <c r="Y408" s="620"/>
      <c r="Z408" s="671"/>
      <c r="AA408" s="670" t="str">
        <f>Calcu_ADJ!K56</f>
        <v/>
      </c>
      <c r="AB408" s="620"/>
      <c r="AC408" s="620"/>
      <c r="AD408" s="620"/>
      <c r="AE408" s="671"/>
      <c r="AF408" s="543" t="str">
        <f>Calcu_ADJ!L56</f>
        <v/>
      </c>
      <c r="AG408" s="620"/>
      <c r="AH408" s="620"/>
      <c r="AI408" s="620"/>
      <c r="AJ408" s="671"/>
      <c r="AK408" s="543" t="str">
        <f>Calcu_ADJ!N56</f>
        <v/>
      </c>
      <c r="AL408" s="620"/>
      <c r="AM408" s="620"/>
      <c r="AN408" s="620"/>
      <c r="AO408" s="671"/>
      <c r="AP408" s="670" t="str">
        <f ca="1">IF(AN372="","",Calcu_ADJ!M56)</f>
        <v/>
      </c>
      <c r="AQ408" s="620"/>
      <c r="AR408" s="620"/>
      <c r="AS408" s="620"/>
      <c r="AT408" s="671"/>
    </row>
    <row r="409" spans="1:46" s="83" customFormat="1" ht="18.75" customHeight="1">
      <c r="A409" s="114"/>
      <c r="B409" s="522">
        <v>13</v>
      </c>
      <c r="C409" s="522"/>
      <c r="D409" s="522"/>
      <c r="E409" s="667" t="str">
        <f>Calcu_ADJ!E57</f>
        <v/>
      </c>
      <c r="F409" s="668"/>
      <c r="G409" s="668"/>
      <c r="H409" s="669"/>
      <c r="I409" s="667" t="str">
        <f>Calcu_ADJ!F57</f>
        <v/>
      </c>
      <c r="J409" s="668"/>
      <c r="K409" s="668"/>
      <c r="L409" s="669"/>
      <c r="M409" s="670" t="str">
        <f>Calcu_ADJ!G57</f>
        <v/>
      </c>
      <c r="N409" s="620"/>
      <c r="O409" s="620"/>
      <c r="P409" s="620"/>
      <c r="Q409" s="671"/>
      <c r="R409" s="543" t="str">
        <f>Calcu_ADJ!H57</f>
        <v/>
      </c>
      <c r="S409" s="620"/>
      <c r="T409" s="620"/>
      <c r="U409" s="671"/>
      <c r="V409" s="670" t="str">
        <f>Calcu_ADJ!I57</f>
        <v/>
      </c>
      <c r="W409" s="620"/>
      <c r="X409" s="620"/>
      <c r="Y409" s="620"/>
      <c r="Z409" s="671"/>
      <c r="AA409" s="670" t="str">
        <f>Calcu_ADJ!K57</f>
        <v/>
      </c>
      <c r="AB409" s="620"/>
      <c r="AC409" s="620"/>
      <c r="AD409" s="620"/>
      <c r="AE409" s="671"/>
      <c r="AF409" s="543" t="str">
        <f>Calcu_ADJ!L57</f>
        <v/>
      </c>
      <c r="AG409" s="620"/>
      <c r="AH409" s="620"/>
      <c r="AI409" s="620"/>
      <c r="AJ409" s="671"/>
      <c r="AK409" s="543" t="str">
        <f>Calcu_ADJ!N57</f>
        <v/>
      </c>
      <c r="AL409" s="620"/>
      <c r="AM409" s="620"/>
      <c r="AN409" s="620"/>
      <c r="AO409" s="671"/>
      <c r="AP409" s="670" t="str">
        <f ca="1">IF(AN373="","",Calcu_ADJ!M57)</f>
        <v/>
      </c>
      <c r="AQ409" s="620"/>
      <c r="AR409" s="620"/>
      <c r="AS409" s="620"/>
      <c r="AT409" s="671"/>
    </row>
    <row r="410" spans="1:46" s="83" customFormat="1" ht="18.75" customHeight="1">
      <c r="A410" s="114"/>
      <c r="B410" s="522">
        <v>14</v>
      </c>
      <c r="C410" s="522"/>
      <c r="D410" s="522"/>
      <c r="E410" s="667" t="str">
        <f>Calcu_ADJ!E58</f>
        <v/>
      </c>
      <c r="F410" s="668"/>
      <c r="G410" s="668"/>
      <c r="H410" s="669"/>
      <c r="I410" s="667" t="str">
        <f>Calcu_ADJ!F58</f>
        <v/>
      </c>
      <c r="J410" s="668"/>
      <c r="K410" s="668"/>
      <c r="L410" s="669"/>
      <c r="M410" s="670" t="str">
        <f>Calcu_ADJ!G58</f>
        <v/>
      </c>
      <c r="N410" s="620"/>
      <c r="O410" s="620"/>
      <c r="P410" s="620"/>
      <c r="Q410" s="671"/>
      <c r="R410" s="543" t="str">
        <f>Calcu_ADJ!H58</f>
        <v/>
      </c>
      <c r="S410" s="620"/>
      <c r="T410" s="620"/>
      <c r="U410" s="671"/>
      <c r="V410" s="670" t="str">
        <f>Calcu_ADJ!I58</f>
        <v/>
      </c>
      <c r="W410" s="620"/>
      <c r="X410" s="620"/>
      <c r="Y410" s="620"/>
      <c r="Z410" s="671"/>
      <c r="AA410" s="670" t="str">
        <f>Calcu_ADJ!K58</f>
        <v/>
      </c>
      <c r="AB410" s="620"/>
      <c r="AC410" s="620"/>
      <c r="AD410" s="620"/>
      <c r="AE410" s="671"/>
      <c r="AF410" s="543" t="str">
        <f>Calcu_ADJ!L58</f>
        <v/>
      </c>
      <c r="AG410" s="620"/>
      <c r="AH410" s="620"/>
      <c r="AI410" s="620"/>
      <c r="AJ410" s="671"/>
      <c r="AK410" s="543" t="str">
        <f>Calcu_ADJ!N58</f>
        <v/>
      </c>
      <c r="AL410" s="620"/>
      <c r="AM410" s="620"/>
      <c r="AN410" s="620"/>
      <c r="AO410" s="671"/>
      <c r="AP410" s="670" t="str">
        <f ca="1">IF(AN374="","",Calcu_ADJ!M58)</f>
        <v/>
      </c>
      <c r="AQ410" s="620"/>
      <c r="AR410" s="620"/>
      <c r="AS410" s="620"/>
      <c r="AT410" s="671"/>
    </row>
    <row r="411" spans="1:46" s="83" customFormat="1" ht="18.75" customHeight="1">
      <c r="A411" s="114"/>
      <c r="B411" s="522">
        <v>15</v>
      </c>
      <c r="C411" s="522"/>
      <c r="D411" s="522"/>
      <c r="E411" s="672" t="str">
        <f>Calcu_ADJ!E59</f>
        <v/>
      </c>
      <c r="F411" s="673"/>
      <c r="G411" s="673"/>
      <c r="H411" s="674"/>
      <c r="I411" s="672" t="str">
        <f>Calcu_ADJ!F59</f>
        <v/>
      </c>
      <c r="J411" s="673"/>
      <c r="K411" s="673"/>
      <c r="L411" s="674"/>
      <c r="M411" s="675" t="str">
        <f>Calcu_ADJ!G59</f>
        <v/>
      </c>
      <c r="N411" s="676"/>
      <c r="O411" s="676"/>
      <c r="P411" s="676"/>
      <c r="Q411" s="677"/>
      <c r="R411" s="623" t="str">
        <f>Calcu_ADJ!H59</f>
        <v/>
      </c>
      <c r="S411" s="676"/>
      <c r="T411" s="676"/>
      <c r="U411" s="677"/>
      <c r="V411" s="675" t="str">
        <f>Calcu_ADJ!I59</f>
        <v/>
      </c>
      <c r="W411" s="676"/>
      <c r="X411" s="676"/>
      <c r="Y411" s="676"/>
      <c r="Z411" s="677"/>
      <c r="AA411" s="675" t="str">
        <f>Calcu_ADJ!K59</f>
        <v/>
      </c>
      <c r="AB411" s="676"/>
      <c r="AC411" s="676"/>
      <c r="AD411" s="676"/>
      <c r="AE411" s="677"/>
      <c r="AF411" s="623" t="str">
        <f>Calcu_ADJ!L59</f>
        <v/>
      </c>
      <c r="AG411" s="676"/>
      <c r="AH411" s="676"/>
      <c r="AI411" s="676"/>
      <c r="AJ411" s="677"/>
      <c r="AK411" s="623" t="str">
        <f>Calcu_ADJ!N59</f>
        <v/>
      </c>
      <c r="AL411" s="676"/>
      <c r="AM411" s="676"/>
      <c r="AN411" s="676"/>
      <c r="AO411" s="677"/>
      <c r="AP411" s="675" t="str">
        <f ca="1">IF(AN375="","",Calcu_ADJ!M59)</f>
        <v/>
      </c>
      <c r="AQ411" s="676"/>
      <c r="AR411" s="676"/>
      <c r="AS411" s="676"/>
      <c r="AT411" s="677"/>
    </row>
    <row r="412" spans="1:46" s="83" customFormat="1" ht="18.75" customHeight="1">
      <c r="A412" s="114"/>
      <c r="B412" s="347"/>
      <c r="C412" s="347"/>
      <c r="D412" s="347"/>
      <c r="E412" s="347"/>
      <c r="F412" s="347"/>
      <c r="G412" s="347"/>
      <c r="H412" s="347"/>
      <c r="I412" s="347"/>
      <c r="J412" s="347"/>
      <c r="K412" s="347"/>
      <c r="L412" s="347"/>
      <c r="M412" s="347"/>
      <c r="N412" s="347"/>
      <c r="O412" s="347"/>
      <c r="P412" s="347"/>
      <c r="Q412" s="347"/>
      <c r="R412" s="347"/>
      <c r="S412" s="347"/>
      <c r="T412" s="347"/>
      <c r="U412" s="347"/>
      <c r="V412" s="347"/>
      <c r="W412" s="347"/>
      <c r="X412" s="347"/>
      <c r="Y412" s="347"/>
      <c r="Z412" s="347"/>
      <c r="AA412" s="347"/>
      <c r="AB412" s="347"/>
      <c r="AC412" s="347"/>
      <c r="AD412" s="347"/>
      <c r="AE412" s="347"/>
      <c r="AF412" s="347"/>
      <c r="AG412" s="347"/>
      <c r="AH412" s="347"/>
      <c r="AI412" s="347"/>
      <c r="AJ412" s="347"/>
      <c r="AK412" s="347"/>
      <c r="AL412" s="347"/>
      <c r="AM412" s="347"/>
      <c r="AN412" s="347"/>
      <c r="AO412" s="347"/>
      <c r="AP412" s="347"/>
      <c r="AQ412" s="347"/>
      <c r="AR412" s="347"/>
      <c r="AS412" s="347"/>
      <c r="AT412" s="347"/>
    </row>
    <row r="413" spans="1:46" s="83" customFormat="1" ht="18.75" customHeight="1">
      <c r="A413" s="90" t="s">
        <v>870</v>
      </c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</row>
    <row r="414" spans="1:46" s="83" customFormat="1" ht="18.75" customHeight="1">
      <c r="A414" s="114"/>
      <c r="B414" s="626" t="s">
        <v>859</v>
      </c>
      <c r="C414" s="627"/>
      <c r="D414" s="628"/>
      <c r="E414" s="635" t="s">
        <v>860</v>
      </c>
      <c r="F414" s="636"/>
      <c r="G414" s="636"/>
      <c r="H414" s="636"/>
      <c r="I414" s="636"/>
      <c r="J414" s="636"/>
      <c r="K414" s="636"/>
      <c r="L414" s="636"/>
      <c r="M414" s="636"/>
      <c r="N414" s="636"/>
      <c r="O414" s="636"/>
      <c r="P414" s="636"/>
      <c r="Q414" s="636"/>
      <c r="R414" s="636"/>
      <c r="S414" s="636"/>
      <c r="T414" s="636"/>
      <c r="U414" s="636"/>
      <c r="V414" s="637"/>
      <c r="W414" s="635" t="s">
        <v>866</v>
      </c>
      <c r="X414" s="636"/>
      <c r="Y414" s="636"/>
      <c r="Z414" s="636"/>
      <c r="AA414" s="636"/>
      <c r="AB414" s="636"/>
      <c r="AC414" s="636"/>
      <c r="AD414" s="636"/>
      <c r="AE414" s="636"/>
      <c r="AF414" s="636"/>
      <c r="AG414" s="636"/>
      <c r="AH414" s="636"/>
      <c r="AI414" s="636"/>
      <c r="AJ414" s="636"/>
      <c r="AK414" s="636"/>
      <c r="AL414" s="636"/>
      <c r="AM414" s="636"/>
      <c r="AN414" s="636"/>
      <c r="AO414" s="636"/>
      <c r="AP414" s="636"/>
      <c r="AQ414" s="636"/>
      <c r="AR414" s="636"/>
      <c r="AS414" s="636"/>
      <c r="AT414" s="637"/>
    </row>
    <row r="415" spans="1:46" s="83" customFormat="1" ht="18.75" customHeight="1">
      <c r="A415" s="114"/>
      <c r="B415" s="629"/>
      <c r="C415" s="630"/>
      <c r="D415" s="631"/>
      <c r="E415" s="626" t="s">
        <v>871</v>
      </c>
      <c r="F415" s="627"/>
      <c r="G415" s="627"/>
      <c r="H415" s="627"/>
      <c r="I415" s="627"/>
      <c r="J415" s="628"/>
      <c r="K415" s="626" t="str">
        <f>Calcu_ADJ!Q42</f>
        <v>0밀도</v>
      </c>
      <c r="L415" s="627"/>
      <c r="M415" s="627"/>
      <c r="N415" s="627"/>
      <c r="O415" s="627"/>
      <c r="P415" s="628"/>
      <c r="Q415" s="626" t="s">
        <v>593</v>
      </c>
      <c r="R415" s="627"/>
      <c r="S415" s="627"/>
      <c r="T415" s="627"/>
      <c r="U415" s="627"/>
      <c r="V415" s="628"/>
      <c r="W415" s="678" t="s">
        <v>872</v>
      </c>
      <c r="X415" s="679"/>
      <c r="Y415" s="679"/>
      <c r="Z415" s="679"/>
      <c r="AA415" s="679"/>
      <c r="AB415" s="679"/>
      <c r="AC415" s="679"/>
      <c r="AD415" s="679"/>
      <c r="AE415" s="679"/>
      <c r="AF415" s="679"/>
      <c r="AG415" s="679"/>
      <c r="AH415" s="679"/>
      <c r="AI415" s="679"/>
      <c r="AJ415" s="679"/>
      <c r="AK415" s="679"/>
      <c r="AL415" s="679"/>
      <c r="AM415" s="679"/>
      <c r="AN415" s="679"/>
      <c r="AO415" s="679"/>
      <c r="AP415" s="679"/>
      <c r="AQ415" s="679"/>
      <c r="AR415" s="679"/>
      <c r="AS415" s="679"/>
      <c r="AT415" s="680"/>
    </row>
    <row r="416" spans="1:46" s="83" customFormat="1" ht="18.75" customHeight="1">
      <c r="A416" s="114"/>
      <c r="B416" s="629"/>
      <c r="C416" s="630"/>
      <c r="D416" s="631"/>
      <c r="E416" s="632"/>
      <c r="F416" s="633"/>
      <c r="G416" s="633"/>
      <c r="H416" s="633"/>
      <c r="I416" s="633"/>
      <c r="J416" s="634"/>
      <c r="K416" s="632"/>
      <c r="L416" s="633"/>
      <c r="M416" s="633"/>
      <c r="N416" s="633"/>
      <c r="O416" s="633"/>
      <c r="P416" s="634"/>
      <c r="Q416" s="632"/>
      <c r="R416" s="633"/>
      <c r="S416" s="633"/>
      <c r="T416" s="633"/>
      <c r="U416" s="633"/>
      <c r="V416" s="634"/>
      <c r="W416" s="681" t="s">
        <v>873</v>
      </c>
      <c r="X416" s="681"/>
      <c r="Y416" s="681"/>
      <c r="Z416" s="681"/>
      <c r="AA416" s="681"/>
      <c r="AB416" s="681"/>
      <c r="AC416" s="681" t="s">
        <v>874</v>
      </c>
      <c r="AD416" s="681"/>
      <c r="AE416" s="681"/>
      <c r="AF416" s="681"/>
      <c r="AG416" s="681"/>
      <c r="AH416" s="681"/>
      <c r="AI416" s="681" t="s">
        <v>599</v>
      </c>
      <c r="AJ416" s="681"/>
      <c r="AK416" s="681"/>
      <c r="AL416" s="681"/>
      <c r="AM416" s="681"/>
      <c r="AN416" s="681"/>
      <c r="AO416" s="681" t="s">
        <v>869</v>
      </c>
      <c r="AP416" s="681"/>
      <c r="AQ416" s="681"/>
      <c r="AR416" s="681"/>
      <c r="AS416" s="681"/>
      <c r="AT416" s="681"/>
    </row>
    <row r="417" spans="1:46" s="83" customFormat="1" ht="18.75" customHeight="1">
      <c r="A417" s="114"/>
      <c r="B417" s="632"/>
      <c r="C417" s="633"/>
      <c r="D417" s="634"/>
      <c r="E417" s="638" t="str">
        <f>Calcu_ADJ!P44</f>
        <v>Pa</v>
      </c>
      <c r="F417" s="639"/>
      <c r="G417" s="639"/>
      <c r="H417" s="639"/>
      <c r="I417" s="639"/>
      <c r="J417" s="640"/>
      <c r="K417" s="638" t="str">
        <f>Calcu_ADJ!R44</f>
        <v>kg/㎥</v>
      </c>
      <c r="L417" s="639"/>
      <c r="M417" s="639"/>
      <c r="N417" s="639"/>
      <c r="O417" s="639"/>
      <c r="P417" s="640"/>
      <c r="Q417" s="638" t="str">
        <f>Calcu_ADJ!T44</f>
        <v>m/s2</v>
      </c>
      <c r="R417" s="639"/>
      <c r="S417" s="639"/>
      <c r="T417" s="639"/>
      <c r="U417" s="639"/>
      <c r="V417" s="640"/>
      <c r="W417" s="638" t="str">
        <f>Calcu_ADJ!W44</f>
        <v>m</v>
      </c>
      <c r="X417" s="639"/>
      <c r="Y417" s="639"/>
      <c r="Z417" s="639"/>
      <c r="AA417" s="639"/>
      <c r="AB417" s="640"/>
      <c r="AC417" s="638" t="str">
        <f>Calcu_ADJ!X44</f>
        <v>m</v>
      </c>
      <c r="AD417" s="639"/>
      <c r="AE417" s="639"/>
      <c r="AF417" s="639"/>
      <c r="AG417" s="639"/>
      <c r="AH417" s="640"/>
      <c r="AI417" s="638" t="str">
        <f>Calcu_ADJ!Y44</f>
        <v>m</v>
      </c>
      <c r="AJ417" s="639"/>
      <c r="AK417" s="639"/>
      <c r="AL417" s="639"/>
      <c r="AM417" s="639"/>
      <c r="AN417" s="640"/>
      <c r="AO417" s="638" t="str">
        <f>Calcu_ADJ!Z44</f>
        <v>m</v>
      </c>
      <c r="AP417" s="639"/>
      <c r="AQ417" s="639"/>
      <c r="AR417" s="639"/>
      <c r="AS417" s="639"/>
      <c r="AT417" s="640"/>
    </row>
    <row r="418" spans="1:46" s="83" customFormat="1" ht="18.75" customHeight="1">
      <c r="A418" s="114"/>
      <c r="B418" s="535">
        <v>1</v>
      </c>
      <c r="C418" s="535"/>
      <c r="D418" s="535"/>
      <c r="E418" s="682" t="str">
        <f>Calcu_ADJ!P45</f>
        <v/>
      </c>
      <c r="F418" s="683"/>
      <c r="G418" s="683"/>
      <c r="H418" s="683"/>
      <c r="I418" s="683"/>
      <c r="J418" s="684"/>
      <c r="K418" s="682" t="str">
        <f>Calcu_ADJ!R45</f>
        <v/>
      </c>
      <c r="L418" s="683"/>
      <c r="M418" s="683"/>
      <c r="N418" s="683"/>
      <c r="O418" s="683"/>
      <c r="P418" s="684"/>
      <c r="Q418" s="682" t="str">
        <f>Calcu_ADJ!T45</f>
        <v/>
      </c>
      <c r="R418" s="683"/>
      <c r="S418" s="683"/>
      <c r="T418" s="683"/>
      <c r="U418" s="683"/>
      <c r="V418" s="684"/>
      <c r="W418" s="682" t="str">
        <f>Calcu_ADJ!W45</f>
        <v/>
      </c>
      <c r="X418" s="683"/>
      <c r="Y418" s="683"/>
      <c r="Z418" s="683"/>
      <c r="AA418" s="683"/>
      <c r="AB418" s="684"/>
      <c r="AC418" s="682" t="str">
        <f>Calcu_ADJ!X45</f>
        <v/>
      </c>
      <c r="AD418" s="683"/>
      <c r="AE418" s="683"/>
      <c r="AF418" s="683"/>
      <c r="AG418" s="683"/>
      <c r="AH418" s="684"/>
      <c r="AI418" s="682" t="str">
        <f>Calcu_ADJ!Y45</f>
        <v/>
      </c>
      <c r="AJ418" s="683"/>
      <c r="AK418" s="683"/>
      <c r="AL418" s="683"/>
      <c r="AM418" s="683"/>
      <c r="AN418" s="684"/>
      <c r="AO418" s="682" t="str">
        <f>Calcu_ADJ!Z45</f>
        <v/>
      </c>
      <c r="AP418" s="683"/>
      <c r="AQ418" s="683"/>
      <c r="AR418" s="683"/>
      <c r="AS418" s="683"/>
      <c r="AT418" s="684"/>
    </row>
    <row r="419" spans="1:46" s="83" customFormat="1" ht="18.75" customHeight="1">
      <c r="A419" s="114"/>
      <c r="B419" s="522">
        <v>2</v>
      </c>
      <c r="C419" s="522"/>
      <c r="D419" s="522"/>
      <c r="E419" s="523" t="str">
        <f>Calcu_ADJ!P46</f>
        <v/>
      </c>
      <c r="F419" s="524"/>
      <c r="G419" s="524"/>
      <c r="H419" s="524"/>
      <c r="I419" s="524"/>
      <c r="J419" s="525"/>
      <c r="K419" s="523" t="str">
        <f>Calcu_ADJ!R46</f>
        <v/>
      </c>
      <c r="L419" s="524"/>
      <c r="M419" s="524"/>
      <c r="N419" s="524"/>
      <c r="O419" s="524"/>
      <c r="P419" s="525"/>
      <c r="Q419" s="523" t="str">
        <f>Calcu_ADJ!T46</f>
        <v/>
      </c>
      <c r="R419" s="524"/>
      <c r="S419" s="524"/>
      <c r="T419" s="524"/>
      <c r="U419" s="524"/>
      <c r="V419" s="525"/>
      <c r="W419" s="523" t="str">
        <f>Calcu_ADJ!W46</f>
        <v/>
      </c>
      <c r="X419" s="524"/>
      <c r="Y419" s="524"/>
      <c r="Z419" s="524"/>
      <c r="AA419" s="524"/>
      <c r="AB419" s="525"/>
      <c r="AC419" s="523" t="str">
        <f>Calcu_ADJ!X46</f>
        <v/>
      </c>
      <c r="AD419" s="524"/>
      <c r="AE419" s="524"/>
      <c r="AF419" s="524"/>
      <c r="AG419" s="524"/>
      <c r="AH419" s="525"/>
      <c r="AI419" s="523" t="str">
        <f>Calcu_ADJ!Y46</f>
        <v/>
      </c>
      <c r="AJ419" s="524"/>
      <c r="AK419" s="524"/>
      <c r="AL419" s="524"/>
      <c r="AM419" s="524"/>
      <c r="AN419" s="525"/>
      <c r="AO419" s="523" t="str">
        <f>Calcu_ADJ!Z46</f>
        <v/>
      </c>
      <c r="AP419" s="524"/>
      <c r="AQ419" s="524"/>
      <c r="AR419" s="524"/>
      <c r="AS419" s="524"/>
      <c r="AT419" s="525"/>
    </row>
    <row r="420" spans="1:46" s="83" customFormat="1" ht="18.75" customHeight="1">
      <c r="A420" s="114"/>
      <c r="B420" s="522">
        <v>3</v>
      </c>
      <c r="C420" s="522"/>
      <c r="D420" s="522"/>
      <c r="E420" s="523" t="str">
        <f>Calcu_ADJ!P47</f>
        <v/>
      </c>
      <c r="F420" s="524"/>
      <c r="G420" s="524"/>
      <c r="H420" s="524"/>
      <c r="I420" s="524"/>
      <c r="J420" s="525"/>
      <c r="K420" s="523" t="str">
        <f>Calcu_ADJ!R47</f>
        <v/>
      </c>
      <c r="L420" s="524"/>
      <c r="M420" s="524"/>
      <c r="N420" s="524"/>
      <c r="O420" s="524"/>
      <c r="P420" s="525"/>
      <c r="Q420" s="523" t="str">
        <f>Calcu_ADJ!T47</f>
        <v/>
      </c>
      <c r="R420" s="524"/>
      <c r="S420" s="524"/>
      <c r="T420" s="524"/>
      <c r="U420" s="524"/>
      <c r="V420" s="525"/>
      <c r="W420" s="523" t="str">
        <f>Calcu_ADJ!W47</f>
        <v/>
      </c>
      <c r="X420" s="524"/>
      <c r="Y420" s="524"/>
      <c r="Z420" s="524"/>
      <c r="AA420" s="524"/>
      <c r="AB420" s="525"/>
      <c r="AC420" s="523" t="str">
        <f>Calcu_ADJ!X47</f>
        <v/>
      </c>
      <c r="AD420" s="524"/>
      <c r="AE420" s="524"/>
      <c r="AF420" s="524"/>
      <c r="AG420" s="524"/>
      <c r="AH420" s="525"/>
      <c r="AI420" s="523" t="str">
        <f>Calcu_ADJ!Y47</f>
        <v/>
      </c>
      <c r="AJ420" s="524"/>
      <c r="AK420" s="524"/>
      <c r="AL420" s="524"/>
      <c r="AM420" s="524"/>
      <c r="AN420" s="525"/>
      <c r="AO420" s="523" t="str">
        <f>Calcu_ADJ!Z47</f>
        <v/>
      </c>
      <c r="AP420" s="524"/>
      <c r="AQ420" s="524"/>
      <c r="AR420" s="524"/>
      <c r="AS420" s="524"/>
      <c r="AT420" s="525"/>
    </row>
    <row r="421" spans="1:46" s="83" customFormat="1" ht="18.75" customHeight="1">
      <c r="A421" s="114"/>
      <c r="B421" s="522">
        <v>4</v>
      </c>
      <c r="C421" s="522"/>
      <c r="D421" s="522"/>
      <c r="E421" s="523" t="str">
        <f>Calcu_ADJ!P48</f>
        <v/>
      </c>
      <c r="F421" s="524"/>
      <c r="G421" s="524"/>
      <c r="H421" s="524"/>
      <c r="I421" s="524"/>
      <c r="J421" s="525"/>
      <c r="K421" s="523" t="str">
        <f>Calcu_ADJ!R48</f>
        <v/>
      </c>
      <c r="L421" s="524"/>
      <c r="M421" s="524"/>
      <c r="N421" s="524"/>
      <c r="O421" s="524"/>
      <c r="P421" s="525"/>
      <c r="Q421" s="523" t="str">
        <f>Calcu_ADJ!T48</f>
        <v/>
      </c>
      <c r="R421" s="524"/>
      <c r="S421" s="524"/>
      <c r="T421" s="524"/>
      <c r="U421" s="524"/>
      <c r="V421" s="525"/>
      <c r="W421" s="523" t="str">
        <f>Calcu_ADJ!W48</f>
        <v/>
      </c>
      <c r="X421" s="524"/>
      <c r="Y421" s="524"/>
      <c r="Z421" s="524"/>
      <c r="AA421" s="524"/>
      <c r="AB421" s="525"/>
      <c r="AC421" s="523" t="str">
        <f>Calcu_ADJ!X48</f>
        <v/>
      </c>
      <c r="AD421" s="524"/>
      <c r="AE421" s="524"/>
      <c r="AF421" s="524"/>
      <c r="AG421" s="524"/>
      <c r="AH421" s="525"/>
      <c r="AI421" s="523" t="str">
        <f>Calcu_ADJ!Y48</f>
        <v/>
      </c>
      <c r="AJ421" s="524"/>
      <c r="AK421" s="524"/>
      <c r="AL421" s="524"/>
      <c r="AM421" s="524"/>
      <c r="AN421" s="525"/>
      <c r="AO421" s="523" t="str">
        <f>Calcu_ADJ!Z48</f>
        <v/>
      </c>
      <c r="AP421" s="524"/>
      <c r="AQ421" s="524"/>
      <c r="AR421" s="524"/>
      <c r="AS421" s="524"/>
      <c r="AT421" s="525"/>
    </row>
    <row r="422" spans="1:46" s="83" customFormat="1" ht="18.75" customHeight="1">
      <c r="A422" s="114"/>
      <c r="B422" s="522">
        <v>5</v>
      </c>
      <c r="C422" s="522"/>
      <c r="D422" s="522"/>
      <c r="E422" s="523" t="str">
        <f>Calcu_ADJ!P49</f>
        <v/>
      </c>
      <c r="F422" s="524"/>
      <c r="G422" s="524"/>
      <c r="H422" s="524"/>
      <c r="I422" s="524"/>
      <c r="J422" s="525"/>
      <c r="K422" s="523" t="str">
        <f>Calcu_ADJ!R49</f>
        <v/>
      </c>
      <c r="L422" s="524"/>
      <c r="M422" s="524"/>
      <c r="N422" s="524"/>
      <c r="O422" s="524"/>
      <c r="P422" s="525"/>
      <c r="Q422" s="523" t="str">
        <f>Calcu_ADJ!T49</f>
        <v/>
      </c>
      <c r="R422" s="524"/>
      <c r="S422" s="524"/>
      <c r="T422" s="524"/>
      <c r="U422" s="524"/>
      <c r="V422" s="525"/>
      <c r="W422" s="523" t="str">
        <f>Calcu_ADJ!W49</f>
        <v/>
      </c>
      <c r="X422" s="524"/>
      <c r="Y422" s="524"/>
      <c r="Z422" s="524"/>
      <c r="AA422" s="524"/>
      <c r="AB422" s="525"/>
      <c r="AC422" s="523" t="str">
        <f>Calcu_ADJ!X49</f>
        <v/>
      </c>
      <c r="AD422" s="524"/>
      <c r="AE422" s="524"/>
      <c r="AF422" s="524"/>
      <c r="AG422" s="524"/>
      <c r="AH422" s="525"/>
      <c r="AI422" s="523" t="str">
        <f>Calcu_ADJ!Y49</f>
        <v/>
      </c>
      <c r="AJ422" s="524"/>
      <c r="AK422" s="524"/>
      <c r="AL422" s="524"/>
      <c r="AM422" s="524"/>
      <c r="AN422" s="525"/>
      <c r="AO422" s="523" t="str">
        <f>Calcu_ADJ!Z49</f>
        <v/>
      </c>
      <c r="AP422" s="524"/>
      <c r="AQ422" s="524"/>
      <c r="AR422" s="524"/>
      <c r="AS422" s="524"/>
      <c r="AT422" s="525"/>
    </row>
    <row r="423" spans="1:46" s="83" customFormat="1" ht="18.75" customHeight="1">
      <c r="A423" s="114"/>
      <c r="B423" s="522">
        <v>6</v>
      </c>
      <c r="C423" s="522"/>
      <c r="D423" s="522"/>
      <c r="E423" s="523" t="str">
        <f>Calcu_ADJ!P50</f>
        <v/>
      </c>
      <c r="F423" s="524"/>
      <c r="G423" s="524"/>
      <c r="H423" s="524"/>
      <c r="I423" s="524"/>
      <c r="J423" s="525"/>
      <c r="K423" s="523" t="str">
        <f>Calcu_ADJ!R50</f>
        <v/>
      </c>
      <c r="L423" s="524"/>
      <c r="M423" s="524"/>
      <c r="N423" s="524"/>
      <c r="O423" s="524"/>
      <c r="P423" s="525"/>
      <c r="Q423" s="523" t="str">
        <f>Calcu_ADJ!T50</f>
        <v/>
      </c>
      <c r="R423" s="524"/>
      <c r="S423" s="524"/>
      <c r="T423" s="524"/>
      <c r="U423" s="524"/>
      <c r="V423" s="525"/>
      <c r="W423" s="523" t="str">
        <f>Calcu_ADJ!W50</f>
        <v/>
      </c>
      <c r="X423" s="524"/>
      <c r="Y423" s="524"/>
      <c r="Z423" s="524"/>
      <c r="AA423" s="524"/>
      <c r="AB423" s="525"/>
      <c r="AC423" s="523" t="str">
        <f>Calcu_ADJ!X50</f>
        <v/>
      </c>
      <c r="AD423" s="524"/>
      <c r="AE423" s="524"/>
      <c r="AF423" s="524"/>
      <c r="AG423" s="524"/>
      <c r="AH423" s="525"/>
      <c r="AI423" s="523" t="str">
        <f>Calcu_ADJ!Y50</f>
        <v/>
      </c>
      <c r="AJ423" s="524"/>
      <c r="AK423" s="524"/>
      <c r="AL423" s="524"/>
      <c r="AM423" s="524"/>
      <c r="AN423" s="525"/>
      <c r="AO423" s="523" t="str">
        <f>Calcu_ADJ!Z50</f>
        <v/>
      </c>
      <c r="AP423" s="524"/>
      <c r="AQ423" s="524"/>
      <c r="AR423" s="524"/>
      <c r="AS423" s="524"/>
      <c r="AT423" s="525"/>
    </row>
    <row r="424" spans="1:46" s="83" customFormat="1" ht="18.75" customHeight="1">
      <c r="A424" s="114"/>
      <c r="B424" s="522">
        <v>7</v>
      </c>
      <c r="C424" s="522"/>
      <c r="D424" s="522"/>
      <c r="E424" s="523" t="str">
        <f>Calcu_ADJ!P51</f>
        <v/>
      </c>
      <c r="F424" s="524"/>
      <c r="G424" s="524"/>
      <c r="H424" s="524"/>
      <c r="I424" s="524"/>
      <c r="J424" s="525"/>
      <c r="K424" s="523" t="str">
        <f>Calcu_ADJ!R51</f>
        <v/>
      </c>
      <c r="L424" s="524"/>
      <c r="M424" s="524"/>
      <c r="N424" s="524"/>
      <c r="O424" s="524"/>
      <c r="P424" s="525"/>
      <c r="Q424" s="523" t="str">
        <f>Calcu_ADJ!T51</f>
        <v/>
      </c>
      <c r="R424" s="524"/>
      <c r="S424" s="524"/>
      <c r="T424" s="524"/>
      <c r="U424" s="524"/>
      <c r="V424" s="525"/>
      <c r="W424" s="523" t="str">
        <f>Calcu_ADJ!W51</f>
        <v/>
      </c>
      <c r="X424" s="524"/>
      <c r="Y424" s="524"/>
      <c r="Z424" s="524"/>
      <c r="AA424" s="524"/>
      <c r="AB424" s="525"/>
      <c r="AC424" s="523" t="str">
        <f>Calcu_ADJ!X51</f>
        <v/>
      </c>
      <c r="AD424" s="524"/>
      <c r="AE424" s="524"/>
      <c r="AF424" s="524"/>
      <c r="AG424" s="524"/>
      <c r="AH424" s="525"/>
      <c r="AI424" s="523" t="str">
        <f>Calcu_ADJ!Y51</f>
        <v/>
      </c>
      <c r="AJ424" s="524"/>
      <c r="AK424" s="524"/>
      <c r="AL424" s="524"/>
      <c r="AM424" s="524"/>
      <c r="AN424" s="525"/>
      <c r="AO424" s="523" t="str">
        <f>Calcu_ADJ!Z51</f>
        <v/>
      </c>
      <c r="AP424" s="524"/>
      <c r="AQ424" s="524"/>
      <c r="AR424" s="524"/>
      <c r="AS424" s="524"/>
      <c r="AT424" s="525"/>
    </row>
    <row r="425" spans="1:46" s="83" customFormat="1" ht="18.75" customHeight="1">
      <c r="A425" s="114"/>
      <c r="B425" s="522">
        <v>8</v>
      </c>
      <c r="C425" s="522"/>
      <c r="D425" s="522"/>
      <c r="E425" s="523" t="str">
        <f>Calcu_ADJ!P52</f>
        <v/>
      </c>
      <c r="F425" s="524"/>
      <c r="G425" s="524"/>
      <c r="H425" s="524"/>
      <c r="I425" s="524"/>
      <c r="J425" s="525"/>
      <c r="K425" s="523" t="str">
        <f>Calcu_ADJ!R52</f>
        <v/>
      </c>
      <c r="L425" s="524"/>
      <c r="M425" s="524"/>
      <c r="N425" s="524"/>
      <c r="O425" s="524"/>
      <c r="P425" s="525"/>
      <c r="Q425" s="523" t="str">
        <f>Calcu_ADJ!T52</f>
        <v/>
      </c>
      <c r="R425" s="524"/>
      <c r="S425" s="524"/>
      <c r="T425" s="524"/>
      <c r="U425" s="524"/>
      <c r="V425" s="525"/>
      <c r="W425" s="523" t="str">
        <f>Calcu_ADJ!W52</f>
        <v/>
      </c>
      <c r="X425" s="524"/>
      <c r="Y425" s="524"/>
      <c r="Z425" s="524"/>
      <c r="AA425" s="524"/>
      <c r="AB425" s="525"/>
      <c r="AC425" s="523" t="str">
        <f>Calcu_ADJ!X52</f>
        <v/>
      </c>
      <c r="AD425" s="524"/>
      <c r="AE425" s="524"/>
      <c r="AF425" s="524"/>
      <c r="AG425" s="524"/>
      <c r="AH425" s="525"/>
      <c r="AI425" s="523" t="str">
        <f>Calcu_ADJ!Y52</f>
        <v/>
      </c>
      <c r="AJ425" s="524"/>
      <c r="AK425" s="524"/>
      <c r="AL425" s="524"/>
      <c r="AM425" s="524"/>
      <c r="AN425" s="525"/>
      <c r="AO425" s="523" t="str">
        <f>Calcu_ADJ!Z52</f>
        <v/>
      </c>
      <c r="AP425" s="524"/>
      <c r="AQ425" s="524"/>
      <c r="AR425" s="524"/>
      <c r="AS425" s="524"/>
      <c r="AT425" s="525"/>
    </row>
    <row r="426" spans="1:46" s="83" customFormat="1" ht="18.75" customHeight="1">
      <c r="A426" s="114"/>
      <c r="B426" s="522">
        <v>9</v>
      </c>
      <c r="C426" s="522"/>
      <c r="D426" s="522"/>
      <c r="E426" s="523" t="str">
        <f>Calcu_ADJ!P53</f>
        <v/>
      </c>
      <c r="F426" s="524"/>
      <c r="G426" s="524"/>
      <c r="H426" s="524"/>
      <c r="I426" s="524"/>
      <c r="J426" s="525"/>
      <c r="K426" s="523" t="str">
        <f>Calcu_ADJ!R53</f>
        <v/>
      </c>
      <c r="L426" s="524"/>
      <c r="M426" s="524"/>
      <c r="N426" s="524"/>
      <c r="O426" s="524"/>
      <c r="P426" s="525"/>
      <c r="Q426" s="523" t="str">
        <f>Calcu_ADJ!T53</f>
        <v/>
      </c>
      <c r="R426" s="524"/>
      <c r="S426" s="524"/>
      <c r="T426" s="524"/>
      <c r="U426" s="524"/>
      <c r="V426" s="525"/>
      <c r="W426" s="523" t="str">
        <f>Calcu_ADJ!W53</f>
        <v/>
      </c>
      <c r="X426" s="524"/>
      <c r="Y426" s="524"/>
      <c r="Z426" s="524"/>
      <c r="AA426" s="524"/>
      <c r="AB426" s="525"/>
      <c r="AC426" s="523" t="str">
        <f>Calcu_ADJ!X53</f>
        <v/>
      </c>
      <c r="AD426" s="524"/>
      <c r="AE426" s="524"/>
      <c r="AF426" s="524"/>
      <c r="AG426" s="524"/>
      <c r="AH426" s="525"/>
      <c r="AI426" s="523" t="str">
        <f>Calcu_ADJ!Y53</f>
        <v/>
      </c>
      <c r="AJ426" s="524"/>
      <c r="AK426" s="524"/>
      <c r="AL426" s="524"/>
      <c r="AM426" s="524"/>
      <c r="AN426" s="525"/>
      <c r="AO426" s="523" t="str">
        <f>Calcu_ADJ!Z53</f>
        <v/>
      </c>
      <c r="AP426" s="524"/>
      <c r="AQ426" s="524"/>
      <c r="AR426" s="524"/>
      <c r="AS426" s="524"/>
      <c r="AT426" s="525"/>
    </row>
    <row r="427" spans="1:46" s="83" customFormat="1" ht="18.75" customHeight="1">
      <c r="A427" s="114"/>
      <c r="B427" s="522">
        <v>10</v>
      </c>
      <c r="C427" s="522"/>
      <c r="D427" s="522"/>
      <c r="E427" s="523" t="str">
        <f>Calcu_ADJ!P54</f>
        <v/>
      </c>
      <c r="F427" s="524"/>
      <c r="G427" s="524"/>
      <c r="H427" s="524"/>
      <c r="I427" s="524"/>
      <c r="J427" s="525"/>
      <c r="K427" s="523" t="str">
        <f>Calcu_ADJ!R54</f>
        <v/>
      </c>
      <c r="L427" s="524"/>
      <c r="M427" s="524"/>
      <c r="N427" s="524"/>
      <c r="O427" s="524"/>
      <c r="P427" s="525"/>
      <c r="Q427" s="523" t="str">
        <f>Calcu_ADJ!T54</f>
        <v/>
      </c>
      <c r="R427" s="524"/>
      <c r="S427" s="524"/>
      <c r="T427" s="524"/>
      <c r="U427" s="524"/>
      <c r="V427" s="525"/>
      <c r="W427" s="523" t="str">
        <f>Calcu_ADJ!W54</f>
        <v/>
      </c>
      <c r="X427" s="524"/>
      <c r="Y427" s="524"/>
      <c r="Z427" s="524"/>
      <c r="AA427" s="524"/>
      <c r="AB427" s="525"/>
      <c r="AC427" s="523" t="str">
        <f>Calcu_ADJ!X54</f>
        <v/>
      </c>
      <c r="AD427" s="524"/>
      <c r="AE427" s="524"/>
      <c r="AF427" s="524"/>
      <c r="AG427" s="524"/>
      <c r="AH427" s="525"/>
      <c r="AI427" s="523" t="str">
        <f>Calcu_ADJ!Y54</f>
        <v/>
      </c>
      <c r="AJ427" s="524"/>
      <c r="AK427" s="524"/>
      <c r="AL427" s="524"/>
      <c r="AM427" s="524"/>
      <c r="AN427" s="525"/>
      <c r="AO427" s="523" t="str">
        <f>Calcu_ADJ!Z54</f>
        <v/>
      </c>
      <c r="AP427" s="524"/>
      <c r="AQ427" s="524"/>
      <c r="AR427" s="524"/>
      <c r="AS427" s="524"/>
      <c r="AT427" s="525"/>
    </row>
    <row r="428" spans="1:46" s="83" customFormat="1" ht="18.75" customHeight="1">
      <c r="A428" s="114"/>
      <c r="B428" s="522">
        <v>11</v>
      </c>
      <c r="C428" s="522"/>
      <c r="D428" s="522"/>
      <c r="E428" s="523" t="str">
        <f>Calcu_ADJ!P55</f>
        <v/>
      </c>
      <c r="F428" s="524"/>
      <c r="G428" s="524"/>
      <c r="H428" s="524"/>
      <c r="I428" s="524"/>
      <c r="J428" s="525"/>
      <c r="K428" s="523" t="str">
        <f>Calcu_ADJ!R55</f>
        <v/>
      </c>
      <c r="L428" s="524"/>
      <c r="M428" s="524"/>
      <c r="N428" s="524"/>
      <c r="O428" s="524"/>
      <c r="P428" s="525"/>
      <c r="Q428" s="523" t="str">
        <f>Calcu_ADJ!T55</f>
        <v/>
      </c>
      <c r="R428" s="524"/>
      <c r="S428" s="524"/>
      <c r="T428" s="524"/>
      <c r="U428" s="524"/>
      <c r="V428" s="525"/>
      <c r="W428" s="523" t="str">
        <f>Calcu_ADJ!W55</f>
        <v/>
      </c>
      <c r="X428" s="524"/>
      <c r="Y428" s="524"/>
      <c r="Z428" s="524"/>
      <c r="AA428" s="524"/>
      <c r="AB428" s="525"/>
      <c r="AC428" s="523" t="str">
        <f>Calcu_ADJ!X55</f>
        <v/>
      </c>
      <c r="AD428" s="524"/>
      <c r="AE428" s="524"/>
      <c r="AF428" s="524"/>
      <c r="AG428" s="524"/>
      <c r="AH428" s="525"/>
      <c r="AI428" s="523" t="str">
        <f>Calcu_ADJ!Y55</f>
        <v/>
      </c>
      <c r="AJ428" s="524"/>
      <c r="AK428" s="524"/>
      <c r="AL428" s="524"/>
      <c r="AM428" s="524"/>
      <c r="AN428" s="525"/>
      <c r="AO428" s="523" t="str">
        <f>Calcu_ADJ!Z55</f>
        <v/>
      </c>
      <c r="AP428" s="524"/>
      <c r="AQ428" s="524"/>
      <c r="AR428" s="524"/>
      <c r="AS428" s="524"/>
      <c r="AT428" s="525"/>
    </row>
    <row r="429" spans="1:46" s="83" customFormat="1" ht="18.75" customHeight="1">
      <c r="A429" s="114"/>
      <c r="B429" s="522">
        <v>12</v>
      </c>
      <c r="C429" s="522"/>
      <c r="D429" s="522"/>
      <c r="E429" s="523" t="str">
        <f>Calcu_ADJ!P56</f>
        <v/>
      </c>
      <c r="F429" s="524"/>
      <c r="G429" s="524"/>
      <c r="H429" s="524"/>
      <c r="I429" s="524"/>
      <c r="J429" s="525"/>
      <c r="K429" s="523" t="str">
        <f>Calcu_ADJ!R56</f>
        <v/>
      </c>
      <c r="L429" s="524"/>
      <c r="M429" s="524"/>
      <c r="N429" s="524"/>
      <c r="O429" s="524"/>
      <c r="P429" s="525"/>
      <c r="Q429" s="523" t="str">
        <f>Calcu_ADJ!T56</f>
        <v/>
      </c>
      <c r="R429" s="524"/>
      <c r="S429" s="524"/>
      <c r="T429" s="524"/>
      <c r="U429" s="524"/>
      <c r="V429" s="525"/>
      <c r="W429" s="523" t="str">
        <f>Calcu_ADJ!W56</f>
        <v/>
      </c>
      <c r="X429" s="524"/>
      <c r="Y429" s="524"/>
      <c r="Z429" s="524"/>
      <c r="AA429" s="524"/>
      <c r="AB429" s="525"/>
      <c r="AC429" s="523" t="str">
        <f>Calcu_ADJ!X56</f>
        <v/>
      </c>
      <c r="AD429" s="524"/>
      <c r="AE429" s="524"/>
      <c r="AF429" s="524"/>
      <c r="AG429" s="524"/>
      <c r="AH429" s="525"/>
      <c r="AI429" s="523" t="str">
        <f>Calcu_ADJ!Y56</f>
        <v/>
      </c>
      <c r="AJ429" s="524"/>
      <c r="AK429" s="524"/>
      <c r="AL429" s="524"/>
      <c r="AM429" s="524"/>
      <c r="AN429" s="525"/>
      <c r="AO429" s="523" t="str">
        <f>Calcu_ADJ!Z56</f>
        <v/>
      </c>
      <c r="AP429" s="524"/>
      <c r="AQ429" s="524"/>
      <c r="AR429" s="524"/>
      <c r="AS429" s="524"/>
      <c r="AT429" s="525"/>
    </row>
    <row r="430" spans="1:46" s="83" customFormat="1" ht="18.75" customHeight="1">
      <c r="A430" s="114"/>
      <c r="B430" s="522">
        <v>13</v>
      </c>
      <c r="C430" s="522"/>
      <c r="D430" s="522"/>
      <c r="E430" s="523" t="str">
        <f>Calcu_ADJ!P57</f>
        <v/>
      </c>
      <c r="F430" s="524"/>
      <c r="G430" s="524"/>
      <c r="H430" s="524"/>
      <c r="I430" s="524"/>
      <c r="J430" s="525"/>
      <c r="K430" s="523" t="str">
        <f>Calcu_ADJ!R57</f>
        <v/>
      </c>
      <c r="L430" s="524"/>
      <c r="M430" s="524"/>
      <c r="N430" s="524"/>
      <c r="O430" s="524"/>
      <c r="P430" s="525"/>
      <c r="Q430" s="523" t="str">
        <f>Calcu_ADJ!T57</f>
        <v/>
      </c>
      <c r="R430" s="524"/>
      <c r="S430" s="524"/>
      <c r="T430" s="524"/>
      <c r="U430" s="524"/>
      <c r="V430" s="525"/>
      <c r="W430" s="523" t="str">
        <f>Calcu_ADJ!W57</f>
        <v/>
      </c>
      <c r="X430" s="524"/>
      <c r="Y430" s="524"/>
      <c r="Z430" s="524"/>
      <c r="AA430" s="524"/>
      <c r="AB430" s="525"/>
      <c r="AC430" s="523" t="str">
        <f>Calcu_ADJ!X57</f>
        <v/>
      </c>
      <c r="AD430" s="524"/>
      <c r="AE430" s="524"/>
      <c r="AF430" s="524"/>
      <c r="AG430" s="524"/>
      <c r="AH430" s="525"/>
      <c r="AI430" s="523" t="str">
        <f>Calcu_ADJ!Y57</f>
        <v/>
      </c>
      <c r="AJ430" s="524"/>
      <c r="AK430" s="524"/>
      <c r="AL430" s="524"/>
      <c r="AM430" s="524"/>
      <c r="AN430" s="525"/>
      <c r="AO430" s="523" t="str">
        <f>Calcu_ADJ!Z57</f>
        <v/>
      </c>
      <c r="AP430" s="524"/>
      <c r="AQ430" s="524"/>
      <c r="AR430" s="524"/>
      <c r="AS430" s="524"/>
      <c r="AT430" s="525"/>
    </row>
    <row r="431" spans="1:46" s="83" customFormat="1" ht="18.75" customHeight="1">
      <c r="A431" s="114"/>
      <c r="B431" s="522">
        <v>14</v>
      </c>
      <c r="C431" s="522"/>
      <c r="D431" s="522"/>
      <c r="E431" s="523" t="str">
        <f>Calcu_ADJ!P58</f>
        <v/>
      </c>
      <c r="F431" s="524"/>
      <c r="G431" s="524"/>
      <c r="H431" s="524"/>
      <c r="I431" s="524"/>
      <c r="J431" s="525"/>
      <c r="K431" s="523" t="str">
        <f>Calcu_ADJ!R58</f>
        <v/>
      </c>
      <c r="L431" s="524"/>
      <c r="M431" s="524"/>
      <c r="N431" s="524"/>
      <c r="O431" s="524"/>
      <c r="P431" s="525"/>
      <c r="Q431" s="523" t="str">
        <f>Calcu_ADJ!T58</f>
        <v/>
      </c>
      <c r="R431" s="524"/>
      <c r="S431" s="524"/>
      <c r="T431" s="524"/>
      <c r="U431" s="524"/>
      <c r="V431" s="525"/>
      <c r="W431" s="523" t="str">
        <f>Calcu_ADJ!W58</f>
        <v/>
      </c>
      <c r="X431" s="524"/>
      <c r="Y431" s="524"/>
      <c r="Z431" s="524"/>
      <c r="AA431" s="524"/>
      <c r="AB431" s="525"/>
      <c r="AC431" s="523" t="str">
        <f>Calcu_ADJ!X58</f>
        <v/>
      </c>
      <c r="AD431" s="524"/>
      <c r="AE431" s="524"/>
      <c r="AF431" s="524"/>
      <c r="AG431" s="524"/>
      <c r="AH431" s="525"/>
      <c r="AI431" s="523" t="str">
        <f>Calcu_ADJ!Y58</f>
        <v/>
      </c>
      <c r="AJ431" s="524"/>
      <c r="AK431" s="524"/>
      <c r="AL431" s="524"/>
      <c r="AM431" s="524"/>
      <c r="AN431" s="525"/>
      <c r="AO431" s="523" t="str">
        <f>Calcu_ADJ!Z58</f>
        <v/>
      </c>
      <c r="AP431" s="524"/>
      <c r="AQ431" s="524"/>
      <c r="AR431" s="524"/>
      <c r="AS431" s="524"/>
      <c r="AT431" s="525"/>
    </row>
    <row r="432" spans="1:46" s="83" customFormat="1" ht="18.75" customHeight="1">
      <c r="A432" s="114"/>
      <c r="B432" s="522">
        <v>15</v>
      </c>
      <c r="C432" s="522"/>
      <c r="D432" s="522"/>
      <c r="E432" s="685" t="str">
        <f>Calcu_ADJ!P59</f>
        <v/>
      </c>
      <c r="F432" s="686"/>
      <c r="G432" s="686"/>
      <c r="H432" s="686"/>
      <c r="I432" s="686"/>
      <c r="J432" s="687"/>
      <c r="K432" s="685" t="str">
        <f>Calcu_ADJ!R59</f>
        <v/>
      </c>
      <c r="L432" s="686"/>
      <c r="M432" s="686"/>
      <c r="N432" s="686"/>
      <c r="O432" s="686"/>
      <c r="P432" s="687"/>
      <c r="Q432" s="685" t="str">
        <f>Calcu_ADJ!T59</f>
        <v/>
      </c>
      <c r="R432" s="686"/>
      <c r="S432" s="686"/>
      <c r="T432" s="686"/>
      <c r="U432" s="686"/>
      <c r="V432" s="687"/>
      <c r="W432" s="685" t="str">
        <f>Calcu_ADJ!W59</f>
        <v/>
      </c>
      <c r="X432" s="686"/>
      <c r="Y432" s="686"/>
      <c r="Z432" s="686"/>
      <c r="AA432" s="686"/>
      <c r="AB432" s="687"/>
      <c r="AC432" s="685" t="str">
        <f>Calcu_ADJ!X59</f>
        <v/>
      </c>
      <c r="AD432" s="686"/>
      <c r="AE432" s="686"/>
      <c r="AF432" s="686"/>
      <c r="AG432" s="686"/>
      <c r="AH432" s="687"/>
      <c r="AI432" s="685" t="str">
        <f>Calcu_ADJ!Y59</f>
        <v/>
      </c>
      <c r="AJ432" s="686"/>
      <c r="AK432" s="686"/>
      <c r="AL432" s="686"/>
      <c r="AM432" s="686"/>
      <c r="AN432" s="687"/>
      <c r="AO432" s="685" t="str">
        <f>Calcu_ADJ!Z59</f>
        <v/>
      </c>
      <c r="AP432" s="686"/>
      <c r="AQ432" s="686"/>
      <c r="AR432" s="686"/>
      <c r="AS432" s="686"/>
      <c r="AT432" s="687"/>
    </row>
    <row r="433" spans="1:46" s="83" customFormat="1" ht="18.75" customHeight="1">
      <c r="A433" s="114"/>
      <c r="B433" s="347"/>
      <c r="C433" s="347"/>
      <c r="D433" s="347"/>
      <c r="E433" s="347"/>
      <c r="F433" s="347"/>
      <c r="G433" s="347"/>
      <c r="H433" s="347"/>
      <c r="I433" s="347"/>
      <c r="J433" s="347"/>
      <c r="K433" s="347"/>
      <c r="L433" s="347"/>
      <c r="M433" s="347"/>
      <c r="N433" s="347"/>
      <c r="O433" s="347"/>
      <c r="P433" s="347"/>
      <c r="Q433" s="347"/>
      <c r="R433" s="347"/>
      <c r="S433" s="347"/>
      <c r="T433" s="347"/>
      <c r="U433" s="347"/>
      <c r="V433" s="347"/>
      <c r="W433" s="347"/>
      <c r="X433" s="347"/>
      <c r="Y433" s="347"/>
      <c r="Z433" s="347"/>
      <c r="AA433" s="347"/>
      <c r="AB433" s="347"/>
      <c r="AC433" s="347"/>
      <c r="AD433" s="347"/>
      <c r="AE433" s="347"/>
      <c r="AF433" s="347"/>
      <c r="AG433" s="347"/>
      <c r="AH433" s="347"/>
      <c r="AI433" s="347"/>
      <c r="AJ433" s="347"/>
      <c r="AK433" s="347"/>
      <c r="AL433" s="347"/>
      <c r="AM433" s="347"/>
      <c r="AN433" s="347"/>
      <c r="AO433" s="347"/>
      <c r="AP433" s="347"/>
      <c r="AQ433" s="347"/>
      <c r="AR433" s="347"/>
      <c r="AS433" s="347"/>
      <c r="AT433" s="347"/>
    </row>
    <row r="434" spans="1:46" ht="18" customHeight="1">
      <c r="A434" s="113" t="s">
        <v>875</v>
      </c>
      <c r="B434" s="336"/>
      <c r="C434" s="336"/>
      <c r="D434" s="336"/>
      <c r="E434" s="336"/>
      <c r="F434" s="336"/>
      <c r="G434" s="336"/>
      <c r="H434" s="336"/>
      <c r="I434" s="336"/>
      <c r="J434" s="336"/>
      <c r="K434" s="336"/>
      <c r="L434" s="336"/>
      <c r="M434" s="336"/>
      <c r="N434" s="336"/>
      <c r="O434" s="336"/>
      <c r="P434" s="336"/>
      <c r="Q434" s="336"/>
      <c r="R434" s="336"/>
      <c r="S434" s="336"/>
      <c r="T434" s="336"/>
      <c r="U434" s="336"/>
      <c r="V434" s="336"/>
      <c r="W434" s="336"/>
      <c r="X434" s="336"/>
      <c r="Y434" s="336"/>
      <c r="Z434" s="336"/>
      <c r="AA434" s="336"/>
      <c r="AB434" s="336"/>
      <c r="AC434" s="336"/>
      <c r="AD434" s="336"/>
      <c r="AE434" s="336"/>
      <c r="AF434" s="336"/>
      <c r="AG434" s="336"/>
      <c r="AH434" s="336"/>
      <c r="AI434" s="336"/>
      <c r="AJ434" s="336"/>
      <c r="AK434" s="336"/>
      <c r="AL434" s="336"/>
      <c r="AM434" s="336"/>
      <c r="AN434" s="336"/>
      <c r="AO434" s="336"/>
      <c r="AP434" s="336"/>
      <c r="AQ434" s="336"/>
      <c r="AR434" s="336"/>
      <c r="AS434" s="336"/>
      <c r="AT434" s="336"/>
    </row>
    <row r="435" spans="1:46" ht="18" customHeight="1">
      <c r="A435" s="336"/>
      <c r="B435" s="336"/>
      <c r="C435" s="336"/>
      <c r="D435" s="336"/>
      <c r="E435" s="336"/>
      <c r="F435" s="336"/>
      <c r="G435" s="336"/>
      <c r="H435" s="336"/>
      <c r="I435" s="336"/>
      <c r="J435" s="336"/>
      <c r="K435" s="336"/>
      <c r="L435" s="336"/>
      <c r="M435" s="336"/>
      <c r="N435" s="336"/>
      <c r="O435" s="336"/>
      <c r="P435" s="336"/>
      <c r="Q435" s="336"/>
      <c r="R435" s="336"/>
      <c r="S435" s="336"/>
      <c r="T435" s="336"/>
      <c r="U435" s="336"/>
      <c r="V435" s="336"/>
      <c r="W435" s="336"/>
      <c r="X435" s="336"/>
      <c r="Y435" s="336"/>
      <c r="Z435" s="336"/>
      <c r="AA435" s="336"/>
      <c r="AB435" s="336"/>
      <c r="AC435" s="336"/>
      <c r="AD435" s="336"/>
      <c r="AE435" s="336"/>
      <c r="AF435" s="336"/>
      <c r="AG435" s="237"/>
      <c r="AH435" s="336"/>
      <c r="AI435" s="336"/>
      <c r="AJ435" s="336"/>
      <c r="AK435" s="336"/>
      <c r="AL435" s="336"/>
      <c r="AM435" s="336"/>
      <c r="AN435" s="336"/>
      <c r="AO435" s="336"/>
      <c r="AP435" s="336"/>
      <c r="AQ435" s="336"/>
      <c r="AR435" s="336"/>
      <c r="AS435" s="336"/>
      <c r="AT435" s="336"/>
    </row>
    <row r="436" spans="1:46" ht="18" customHeight="1">
      <c r="A436" s="336"/>
      <c r="B436" s="336"/>
      <c r="C436" s="336"/>
      <c r="D436" s="336"/>
      <c r="E436" s="336"/>
      <c r="F436" s="336"/>
      <c r="G436" s="336"/>
      <c r="H436" s="336"/>
      <c r="I436" s="336"/>
      <c r="J436" s="336"/>
      <c r="K436" s="336"/>
      <c r="L436" s="336"/>
      <c r="M436" s="336"/>
      <c r="N436" s="336"/>
      <c r="O436" s="336"/>
      <c r="P436" s="336"/>
      <c r="Q436" s="336"/>
      <c r="R436" s="336"/>
      <c r="S436" s="336"/>
      <c r="T436" s="336"/>
      <c r="U436" s="336"/>
      <c r="V436" s="336"/>
      <c r="W436" s="336"/>
      <c r="X436" s="336"/>
      <c r="Y436" s="336"/>
      <c r="Z436" s="336"/>
      <c r="AA436" s="336"/>
      <c r="AB436" s="336"/>
      <c r="AC436" s="336"/>
      <c r="AD436" s="336"/>
      <c r="AE436" s="336"/>
      <c r="AF436" s="336"/>
      <c r="AG436" s="336"/>
      <c r="AH436" s="336"/>
      <c r="AI436" s="336"/>
      <c r="AJ436" s="336"/>
      <c r="AK436" s="336"/>
      <c r="AL436" s="336"/>
      <c r="AM436" s="336"/>
      <c r="AN436" s="336"/>
      <c r="AO436" s="336"/>
      <c r="AP436" s="336"/>
      <c r="AQ436" s="336"/>
      <c r="AR436" s="336"/>
      <c r="AS436" s="336"/>
      <c r="AT436" s="336"/>
    </row>
    <row r="437" spans="1:46" ht="18" customHeight="1">
      <c r="A437" s="336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36"/>
      <c r="N437" s="336"/>
      <c r="O437" s="336"/>
      <c r="P437" s="336"/>
      <c r="Q437" s="336"/>
      <c r="R437" s="336"/>
      <c r="S437" s="336"/>
      <c r="T437" s="336"/>
      <c r="U437" s="336"/>
      <c r="V437" s="336"/>
      <c r="W437" s="336"/>
      <c r="X437" s="336"/>
      <c r="Y437" s="336"/>
      <c r="Z437" s="336"/>
      <c r="AA437" s="336"/>
      <c r="AB437" s="336"/>
      <c r="AC437" s="336"/>
      <c r="AD437" s="336"/>
      <c r="AE437" s="336"/>
      <c r="AF437" s="336"/>
      <c r="AG437" s="336"/>
      <c r="AH437" s="336"/>
      <c r="AI437" s="336"/>
      <c r="AJ437" s="336"/>
      <c r="AK437" s="336"/>
      <c r="AL437" s="336"/>
      <c r="AM437" s="336"/>
      <c r="AN437" s="336"/>
      <c r="AO437" s="336"/>
      <c r="AP437" s="336"/>
      <c r="AQ437" s="336"/>
      <c r="AR437" s="336"/>
      <c r="AS437" s="336"/>
      <c r="AT437" s="336"/>
    </row>
    <row r="438" spans="1:46" ht="18" customHeight="1">
      <c r="A438" s="336"/>
      <c r="B438" s="336"/>
      <c r="C438" s="81" t="s">
        <v>613</v>
      </c>
      <c r="D438" s="336"/>
      <c r="E438" s="336"/>
      <c r="F438" s="336"/>
      <c r="G438" s="337" t="s">
        <v>614</v>
      </c>
      <c r="H438" s="79" t="s">
        <v>876</v>
      </c>
      <c r="I438" s="336"/>
      <c r="J438" s="336"/>
      <c r="K438" s="336"/>
      <c r="L438" s="336"/>
      <c r="M438" s="336"/>
      <c r="N438" s="336"/>
      <c r="O438" s="336"/>
      <c r="P438" s="336"/>
      <c r="Q438" s="336"/>
      <c r="R438" s="336"/>
      <c r="S438" s="336"/>
      <c r="T438" s="336"/>
      <c r="U438" s="336"/>
      <c r="V438" s="336"/>
      <c r="W438" s="336"/>
      <c r="X438" s="336"/>
      <c r="Y438" s="336"/>
      <c r="Z438" s="336"/>
      <c r="AA438" s="336"/>
      <c r="AB438" s="336"/>
      <c r="AC438" s="336"/>
      <c r="AD438" s="336"/>
      <c r="AE438" s="336"/>
      <c r="AF438" s="336"/>
      <c r="AG438" s="336"/>
      <c r="AH438" s="336"/>
      <c r="AI438" s="336"/>
      <c r="AJ438" s="336"/>
      <c r="AK438" s="336"/>
      <c r="AL438" s="336"/>
      <c r="AM438" s="336"/>
      <c r="AN438" s="336"/>
      <c r="AO438" s="336"/>
      <c r="AP438" s="336"/>
      <c r="AQ438" s="336"/>
      <c r="AR438" s="336"/>
      <c r="AS438" s="336"/>
      <c r="AT438" s="336"/>
    </row>
    <row r="439" spans="1:46" ht="18" customHeight="1">
      <c r="A439" s="336"/>
      <c r="B439" s="336"/>
      <c r="C439" s="81" t="s">
        <v>877</v>
      </c>
      <c r="D439" s="336"/>
      <c r="E439" s="336"/>
      <c r="F439" s="336"/>
      <c r="G439" s="337" t="s">
        <v>614</v>
      </c>
      <c r="H439" s="336" t="s">
        <v>878</v>
      </c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36"/>
      <c r="Z439" s="336"/>
      <c r="AA439" s="336"/>
      <c r="AB439" s="336"/>
      <c r="AC439" s="336"/>
      <c r="AD439" s="336"/>
      <c r="AE439" s="336"/>
      <c r="AF439" s="336"/>
      <c r="AG439" s="336"/>
      <c r="AH439" s="336"/>
      <c r="AI439" s="336"/>
      <c r="AJ439" s="336"/>
      <c r="AK439" s="336"/>
      <c r="AL439" s="336"/>
      <c r="AM439" s="336"/>
      <c r="AN439" s="336"/>
      <c r="AO439" s="336"/>
      <c r="AP439" s="336"/>
      <c r="AQ439" s="336"/>
      <c r="AR439" s="336"/>
      <c r="AS439" s="336"/>
      <c r="AT439" s="336"/>
    </row>
    <row r="440" spans="1:46" ht="18" customHeight="1">
      <c r="A440" s="336"/>
      <c r="B440" s="336"/>
      <c r="C440" s="81" t="s">
        <v>879</v>
      </c>
      <c r="D440" s="336"/>
      <c r="E440" s="336"/>
      <c r="F440" s="336"/>
      <c r="G440" s="337" t="s">
        <v>614</v>
      </c>
      <c r="H440" s="336" t="s">
        <v>880</v>
      </c>
      <c r="I440" s="336"/>
      <c r="J440" s="336"/>
      <c r="K440" s="336"/>
      <c r="L440" s="336"/>
      <c r="M440" s="336"/>
      <c r="N440" s="336"/>
      <c r="O440" s="336"/>
      <c r="P440" s="336"/>
      <c r="Q440" s="336"/>
      <c r="R440" s="336"/>
      <c r="S440" s="336"/>
      <c r="T440" s="336"/>
      <c r="U440" s="336"/>
      <c r="V440" s="336"/>
      <c r="W440" s="336"/>
      <c r="X440" s="336"/>
      <c r="Y440" s="336"/>
      <c r="Z440" s="336"/>
      <c r="AA440" s="336"/>
      <c r="AB440" s="336"/>
      <c r="AC440" s="336"/>
      <c r="AD440" s="336"/>
      <c r="AE440" s="336"/>
      <c r="AF440" s="336"/>
      <c r="AG440" s="336"/>
      <c r="AH440" s="336"/>
      <c r="AI440" s="336"/>
      <c r="AJ440" s="336"/>
      <c r="AK440" s="336"/>
      <c r="AL440" s="336"/>
      <c r="AM440" s="336"/>
      <c r="AN440" s="336"/>
      <c r="AO440" s="336"/>
      <c r="AP440" s="336"/>
      <c r="AQ440" s="336"/>
      <c r="AR440" s="336"/>
      <c r="AS440" s="336"/>
      <c r="AT440" s="336"/>
    </row>
    <row r="441" spans="1:46" ht="18" customHeight="1">
      <c r="A441" s="336"/>
      <c r="B441" s="336"/>
      <c r="C441" s="81" t="s">
        <v>621</v>
      </c>
      <c r="D441" s="336"/>
      <c r="E441" s="336"/>
      <c r="F441" s="336"/>
      <c r="G441" s="337" t="s">
        <v>622</v>
      </c>
      <c r="H441" s="336" t="s">
        <v>881</v>
      </c>
      <c r="I441" s="336"/>
      <c r="J441" s="336"/>
      <c r="K441" s="336"/>
      <c r="L441" s="336"/>
      <c r="M441" s="336"/>
      <c r="N441" s="336"/>
      <c r="O441" s="336"/>
      <c r="P441" s="336"/>
      <c r="Q441" s="336"/>
      <c r="R441" s="336"/>
      <c r="S441" s="336"/>
      <c r="T441" s="336"/>
      <c r="U441" s="336"/>
      <c r="V441" s="336"/>
      <c r="W441" s="336"/>
      <c r="X441" s="336"/>
      <c r="Y441" s="336"/>
      <c r="Z441" s="336"/>
      <c r="AA441" s="336"/>
      <c r="AB441" s="336"/>
      <c r="AC441" s="336"/>
      <c r="AD441" s="336"/>
      <c r="AE441" s="336"/>
      <c r="AF441" s="336"/>
      <c r="AG441" s="336"/>
      <c r="AH441" s="336"/>
      <c r="AI441" s="336"/>
      <c r="AJ441" s="336"/>
      <c r="AK441" s="336"/>
      <c r="AL441" s="336"/>
      <c r="AM441" s="336"/>
      <c r="AN441" s="336"/>
      <c r="AO441" s="336"/>
      <c r="AP441" s="336"/>
      <c r="AQ441" s="336"/>
      <c r="AR441" s="336"/>
      <c r="AS441" s="336"/>
      <c r="AT441" s="336"/>
    </row>
    <row r="442" spans="1:46" ht="18" customHeight="1">
      <c r="A442" s="336"/>
      <c r="B442" s="336"/>
      <c r="C442" s="81" t="s">
        <v>624</v>
      </c>
      <c r="D442" s="336"/>
      <c r="E442" s="336"/>
      <c r="F442" s="336"/>
      <c r="G442" s="337" t="s">
        <v>614</v>
      </c>
      <c r="H442" s="336" t="s">
        <v>625</v>
      </c>
      <c r="I442" s="336"/>
      <c r="J442" s="336"/>
      <c r="K442" s="336"/>
      <c r="L442" s="336"/>
      <c r="M442" s="336"/>
      <c r="N442" s="336"/>
      <c r="O442" s="336"/>
      <c r="P442" s="336"/>
      <c r="Q442" s="336"/>
      <c r="R442" s="336"/>
      <c r="S442" s="336"/>
      <c r="T442" s="336"/>
      <c r="U442" s="336"/>
      <c r="V442" s="336"/>
      <c r="W442" s="336"/>
      <c r="X442" s="336"/>
      <c r="Y442" s="336"/>
      <c r="Z442" s="336"/>
      <c r="AA442" s="336"/>
      <c r="AB442" s="336"/>
      <c r="AC442" s="336"/>
      <c r="AD442" s="336"/>
      <c r="AE442" s="336"/>
      <c r="AF442" s="336"/>
      <c r="AG442" s="336"/>
      <c r="AH442" s="336"/>
      <c r="AI442" s="336"/>
      <c r="AJ442" s="336"/>
      <c r="AK442" s="336"/>
      <c r="AL442" s="336"/>
      <c r="AM442" s="336"/>
      <c r="AN442" s="336"/>
      <c r="AO442" s="336"/>
      <c r="AP442" s="336"/>
      <c r="AQ442" s="336"/>
      <c r="AR442" s="336"/>
      <c r="AS442" s="336"/>
      <c r="AT442" s="336"/>
    </row>
    <row r="443" spans="1:46" ht="18" customHeight="1">
      <c r="A443" s="336"/>
      <c r="B443" s="336"/>
      <c r="C443" s="81" t="s">
        <v>626</v>
      </c>
      <c r="D443" s="336"/>
      <c r="E443" s="336"/>
      <c r="F443" s="336"/>
      <c r="G443" s="337" t="s">
        <v>622</v>
      </c>
      <c r="H443" s="336" t="s">
        <v>627</v>
      </c>
      <c r="I443" s="336"/>
      <c r="J443" s="336"/>
      <c r="K443" s="336"/>
      <c r="L443" s="336"/>
      <c r="M443" s="336"/>
      <c r="N443" s="336"/>
      <c r="O443" s="336"/>
      <c r="P443" s="336"/>
      <c r="Q443" s="336"/>
      <c r="R443" s="336"/>
      <c r="S443" s="336"/>
      <c r="T443" s="336"/>
      <c r="U443" s="336"/>
      <c r="V443" s="336"/>
      <c r="W443" s="336"/>
      <c r="X443" s="336"/>
      <c r="Y443" s="336"/>
      <c r="Z443" s="336"/>
      <c r="AA443" s="336"/>
      <c r="AB443" s="336"/>
      <c r="AC443" s="336"/>
      <c r="AD443" s="336"/>
      <c r="AE443" s="336"/>
      <c r="AF443" s="336"/>
      <c r="AG443" s="336"/>
      <c r="AH443" s="336"/>
      <c r="AI443" s="336"/>
      <c r="AJ443" s="336"/>
      <c r="AK443" s="336"/>
      <c r="AL443" s="336"/>
      <c r="AM443" s="336"/>
      <c r="AN443" s="336"/>
      <c r="AO443" s="336"/>
      <c r="AP443" s="336"/>
      <c r="AQ443" s="336"/>
      <c r="AR443" s="336"/>
      <c r="AS443" s="336"/>
      <c r="AT443" s="336"/>
    </row>
    <row r="444" spans="1:46" ht="18" customHeight="1">
      <c r="A444" s="336"/>
      <c r="B444" s="336"/>
      <c r="C444" s="81"/>
      <c r="D444" s="336"/>
      <c r="E444" s="336"/>
      <c r="F444" s="336"/>
      <c r="G444" s="336"/>
      <c r="H444" s="336"/>
      <c r="I444" s="336"/>
      <c r="J444" s="336"/>
      <c r="K444" s="336"/>
      <c r="L444" s="336"/>
      <c r="M444" s="336"/>
      <c r="N444" s="336"/>
      <c r="O444" s="336"/>
      <c r="P444" s="336"/>
      <c r="Q444" s="336"/>
      <c r="R444" s="336"/>
      <c r="S444" s="336"/>
      <c r="T444" s="336"/>
      <c r="U444" s="336"/>
      <c r="V444" s="336"/>
      <c r="W444" s="336"/>
      <c r="X444" s="336"/>
      <c r="Y444" s="336"/>
      <c r="Z444" s="336"/>
      <c r="AA444" s="336"/>
      <c r="AB444" s="336"/>
      <c r="AC444" s="336"/>
      <c r="AD444" s="336"/>
      <c r="AE444" s="336"/>
      <c r="AF444" s="336"/>
      <c r="AG444" s="336"/>
      <c r="AH444" s="336"/>
      <c r="AI444" s="336"/>
      <c r="AJ444" s="336"/>
      <c r="AK444" s="336"/>
      <c r="AL444" s="336"/>
      <c r="AM444" s="336"/>
      <c r="AN444" s="336"/>
      <c r="AO444" s="336"/>
      <c r="AP444" s="336"/>
      <c r="AQ444" s="336"/>
      <c r="AR444" s="336"/>
      <c r="AS444" s="336"/>
      <c r="AT444" s="336"/>
    </row>
    <row r="445" spans="1:46" s="83" customFormat="1" ht="18.75" customHeight="1">
      <c r="A445" s="90" t="s">
        <v>882</v>
      </c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</row>
    <row r="446" spans="1:46" s="83" customFormat="1" ht="18.75" customHeight="1">
      <c r="A446" s="90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</row>
    <row r="447" spans="1:46" s="83" customFormat="1" ht="18.75" customHeight="1">
      <c r="A447" s="90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</row>
    <row r="448" spans="1:46" s="83" customFormat="1" ht="18.75" customHeight="1">
      <c r="A448" s="90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</row>
    <row r="449" spans="1:49" s="83" customFormat="1" ht="18.75" customHeight="1">
      <c r="A449" s="90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</row>
    <row r="450" spans="1:49" s="83" customFormat="1" ht="18.75" customHeight="1">
      <c r="A450" s="90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</row>
    <row r="451" spans="1:49" s="83" customFormat="1" ht="18.75" customHeight="1">
      <c r="A451" s="90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</row>
    <row r="452" spans="1:49" s="83" customFormat="1" ht="18.75" customHeight="1">
      <c r="A452" s="114"/>
      <c r="B452" s="82"/>
      <c r="C452" s="82" t="s">
        <v>629</v>
      </c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</row>
    <row r="453" spans="1:49" s="83" customFormat="1" ht="18.75" customHeight="1">
      <c r="A453" s="114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</row>
    <row r="454" spans="1:49" s="83" customFormat="1" ht="18.75" customHeight="1">
      <c r="A454" s="114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</row>
    <row r="455" spans="1:49" s="83" customFormat="1" ht="18.75" customHeight="1">
      <c r="A455" s="114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</row>
    <row r="456" spans="1:49" s="83" customFormat="1" ht="18.75" customHeight="1">
      <c r="A456" s="114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</row>
    <row r="457" spans="1:49" s="83" customFormat="1" ht="18.75" customHeight="1">
      <c r="A457" s="114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</row>
    <row r="458" spans="1:49" ht="18" customHeight="1">
      <c r="A458" s="113" t="s">
        <v>883</v>
      </c>
      <c r="B458" s="336"/>
      <c r="C458" s="336"/>
      <c r="D458" s="336"/>
      <c r="E458" s="336"/>
      <c r="F458" s="336"/>
      <c r="G458" s="336"/>
      <c r="H458" s="336"/>
      <c r="I458" s="336"/>
      <c r="J458" s="336"/>
      <c r="K458" s="336"/>
      <c r="L458" s="336"/>
      <c r="M458" s="336"/>
      <c r="N458" s="336"/>
      <c r="O458" s="336"/>
      <c r="P458" s="336"/>
      <c r="Q458" s="336"/>
      <c r="R458" s="336"/>
      <c r="S458" s="336"/>
      <c r="T458" s="336"/>
      <c r="U458" s="336"/>
      <c r="V458" s="336"/>
      <c r="W458" s="336"/>
      <c r="X458" s="336"/>
      <c r="Y458" s="336"/>
      <c r="Z458" s="336"/>
      <c r="AA458" s="336"/>
      <c r="AB458" s="336"/>
      <c r="AC458" s="336"/>
      <c r="AD458" s="336"/>
      <c r="AE458" s="336"/>
      <c r="AF458" s="336"/>
      <c r="AG458" s="336"/>
      <c r="AH458" s="336"/>
      <c r="AI458" s="336"/>
      <c r="AJ458" s="336"/>
      <c r="AK458" s="336"/>
      <c r="AL458" s="336"/>
      <c r="AM458" s="336"/>
      <c r="AN458" s="336"/>
      <c r="AO458" s="336"/>
      <c r="AP458" s="336"/>
      <c r="AQ458" s="336"/>
      <c r="AR458" s="336"/>
      <c r="AS458" s="336"/>
      <c r="AT458" s="336"/>
    </row>
    <row r="459" spans="1:49" ht="18" customHeight="1">
      <c r="A459" s="336"/>
      <c r="B459" s="688"/>
      <c r="C459" s="689"/>
      <c r="D459" s="585"/>
      <c r="E459" s="586"/>
      <c r="F459" s="586"/>
      <c r="G459" s="586"/>
      <c r="H459" s="587"/>
      <c r="I459" s="585">
        <v>1</v>
      </c>
      <c r="J459" s="586"/>
      <c r="K459" s="586"/>
      <c r="L459" s="586"/>
      <c r="M459" s="586"/>
      <c r="N459" s="586"/>
      <c r="O459" s="586"/>
      <c r="P459" s="587"/>
      <c r="Q459" s="585">
        <v>2</v>
      </c>
      <c r="R459" s="586"/>
      <c r="S459" s="586"/>
      <c r="T459" s="586"/>
      <c r="U459" s="586"/>
      <c r="V459" s="586"/>
      <c r="W459" s="586"/>
      <c r="X459" s="587"/>
      <c r="Y459" s="585">
        <v>3</v>
      </c>
      <c r="Z459" s="692"/>
      <c r="AA459" s="692"/>
      <c r="AB459" s="692"/>
      <c r="AC459" s="693"/>
      <c r="AD459" s="585">
        <v>4</v>
      </c>
      <c r="AE459" s="586"/>
      <c r="AF459" s="586"/>
      <c r="AG459" s="586"/>
      <c r="AH459" s="586"/>
      <c r="AI459" s="586"/>
      <c r="AJ459" s="586"/>
      <c r="AK459" s="587"/>
      <c r="AL459" s="585">
        <v>5</v>
      </c>
      <c r="AM459" s="586"/>
      <c r="AN459" s="586"/>
      <c r="AO459" s="586"/>
      <c r="AP459" s="586"/>
      <c r="AQ459" s="586"/>
      <c r="AR459" s="586"/>
      <c r="AS459" s="587"/>
      <c r="AT459" s="585">
        <v>6</v>
      </c>
      <c r="AU459" s="694"/>
      <c r="AV459" s="694"/>
      <c r="AW459" s="693"/>
    </row>
    <row r="460" spans="1:49" ht="18" customHeight="1">
      <c r="A460" s="336"/>
      <c r="B460" s="690"/>
      <c r="C460" s="691"/>
      <c r="D460" s="695" t="s">
        <v>884</v>
      </c>
      <c r="E460" s="696"/>
      <c r="F460" s="696"/>
      <c r="G460" s="696"/>
      <c r="H460" s="697"/>
      <c r="I460" s="695" t="s">
        <v>885</v>
      </c>
      <c r="J460" s="696"/>
      <c r="K460" s="696"/>
      <c r="L460" s="696"/>
      <c r="M460" s="696"/>
      <c r="N460" s="696"/>
      <c r="O460" s="696"/>
      <c r="P460" s="697"/>
      <c r="Q460" s="695" t="s">
        <v>886</v>
      </c>
      <c r="R460" s="696"/>
      <c r="S460" s="696"/>
      <c r="T460" s="696"/>
      <c r="U460" s="696"/>
      <c r="V460" s="696"/>
      <c r="W460" s="696"/>
      <c r="X460" s="697"/>
      <c r="Y460" s="695" t="s">
        <v>887</v>
      </c>
      <c r="Z460" s="698"/>
      <c r="AA460" s="698"/>
      <c r="AB460" s="698"/>
      <c r="AC460" s="699"/>
      <c r="AD460" s="695" t="s">
        <v>888</v>
      </c>
      <c r="AE460" s="696"/>
      <c r="AF460" s="696"/>
      <c r="AG460" s="696"/>
      <c r="AH460" s="696"/>
      <c r="AI460" s="696"/>
      <c r="AJ460" s="696"/>
      <c r="AK460" s="697"/>
      <c r="AL460" s="695" t="s">
        <v>636</v>
      </c>
      <c r="AM460" s="696"/>
      <c r="AN460" s="696"/>
      <c r="AO460" s="696"/>
      <c r="AP460" s="696"/>
      <c r="AQ460" s="696"/>
      <c r="AR460" s="696"/>
      <c r="AS460" s="697"/>
      <c r="AT460" s="695" t="s">
        <v>889</v>
      </c>
      <c r="AU460" s="700"/>
      <c r="AV460" s="700"/>
      <c r="AW460" s="699"/>
    </row>
    <row r="461" spans="1:49" ht="18" customHeight="1">
      <c r="A461" s="336"/>
      <c r="B461" s="690"/>
      <c r="C461" s="691"/>
      <c r="D461" s="701" t="s">
        <v>890</v>
      </c>
      <c r="E461" s="702"/>
      <c r="F461" s="702"/>
      <c r="G461" s="702"/>
      <c r="H461" s="703"/>
      <c r="I461" s="526" t="s">
        <v>891</v>
      </c>
      <c r="J461" s="527"/>
      <c r="K461" s="527"/>
      <c r="L461" s="527"/>
      <c r="M461" s="527"/>
      <c r="N461" s="527"/>
      <c r="O461" s="527"/>
      <c r="P461" s="528"/>
      <c r="Q461" s="526" t="s">
        <v>892</v>
      </c>
      <c r="R461" s="527"/>
      <c r="S461" s="527"/>
      <c r="T461" s="527"/>
      <c r="U461" s="527"/>
      <c r="V461" s="527"/>
      <c r="W461" s="527"/>
      <c r="X461" s="528"/>
      <c r="Y461" s="529"/>
      <c r="Z461" s="530"/>
      <c r="AA461" s="530"/>
      <c r="AB461" s="530"/>
      <c r="AC461" s="531"/>
      <c r="AD461" s="526" t="s">
        <v>641</v>
      </c>
      <c r="AE461" s="527"/>
      <c r="AF461" s="527"/>
      <c r="AG461" s="527"/>
      <c r="AH461" s="527"/>
      <c r="AI461" s="527"/>
      <c r="AJ461" s="527"/>
      <c r="AK461" s="528"/>
      <c r="AL461" s="532" t="s">
        <v>642</v>
      </c>
      <c r="AM461" s="533"/>
      <c r="AN461" s="533"/>
      <c r="AO461" s="533"/>
      <c r="AP461" s="533"/>
      <c r="AQ461" s="533"/>
      <c r="AR461" s="533"/>
      <c r="AS461" s="534"/>
      <c r="AT461" s="529"/>
      <c r="AU461" s="704"/>
      <c r="AV461" s="704"/>
      <c r="AW461" s="531"/>
    </row>
    <row r="462" spans="1:49" ht="18" customHeight="1">
      <c r="A462" s="336"/>
      <c r="B462" s="705" t="s">
        <v>893</v>
      </c>
      <c r="C462" s="706"/>
      <c r="D462" s="707" t="s">
        <v>877</v>
      </c>
      <c r="E462" s="708"/>
      <c r="F462" s="708"/>
      <c r="G462" s="708"/>
      <c r="H462" s="709"/>
      <c r="I462" s="710">
        <f ca="1">OFFSET(Calcu_ADJ!F44,$AL$319,0)</f>
        <v>0</v>
      </c>
      <c r="J462" s="595"/>
      <c r="K462" s="595"/>
      <c r="L462" s="595">
        <f>Calcu_ADJ!F44</f>
        <v>0</v>
      </c>
      <c r="M462" s="595"/>
      <c r="N462" s="595"/>
      <c r="O462" s="595"/>
      <c r="P462" s="596"/>
      <c r="Q462" s="711" t="str">
        <f ca="1">OFFSET(Calcu_ADJ!U44,$AL$319,0)</f>
        <v>m</v>
      </c>
      <c r="R462" s="712"/>
      <c r="S462" s="712"/>
      <c r="T462" s="712"/>
      <c r="U462" s="595" t="str">
        <f>Calcu_ADJ!U44</f>
        <v>m</v>
      </c>
      <c r="V462" s="595"/>
      <c r="W462" s="595"/>
      <c r="X462" s="596"/>
      <c r="Y462" s="713" t="s">
        <v>646</v>
      </c>
      <c r="Z462" s="714"/>
      <c r="AA462" s="714"/>
      <c r="AB462" s="714"/>
      <c r="AC462" s="715"/>
      <c r="AD462" s="716">
        <v>1</v>
      </c>
      <c r="AE462" s="717"/>
      <c r="AF462" s="717"/>
      <c r="AG462" s="717"/>
      <c r="AH462" s="717"/>
      <c r="AI462" s="717"/>
      <c r="AJ462" s="717"/>
      <c r="AK462" s="718"/>
      <c r="AL462" s="711" t="e">
        <f t="shared" ref="AL462:AL470" ca="1" si="17">ABS(Q462*AD462)</f>
        <v>#VALUE!</v>
      </c>
      <c r="AM462" s="712"/>
      <c r="AN462" s="712"/>
      <c r="AO462" s="712"/>
      <c r="AP462" s="595" t="str">
        <f>U462</f>
        <v>m</v>
      </c>
      <c r="AQ462" s="595"/>
      <c r="AR462" s="595"/>
      <c r="AS462" s="596"/>
      <c r="AT462" s="713">
        <f ca="1">OFFSET(Calcu_ADJ!V44,$AL$319,0)</f>
        <v>0</v>
      </c>
      <c r="AU462" s="714"/>
      <c r="AV462" s="714"/>
      <c r="AW462" s="715"/>
    </row>
    <row r="463" spans="1:49" ht="18" customHeight="1">
      <c r="A463" s="336"/>
      <c r="B463" s="588" t="s">
        <v>645</v>
      </c>
      <c r="C463" s="589"/>
      <c r="D463" s="590" t="s">
        <v>894</v>
      </c>
      <c r="E463" s="591"/>
      <c r="F463" s="591"/>
      <c r="G463" s="591"/>
      <c r="H463" s="592"/>
      <c r="I463" s="593">
        <f ca="1">OFFSET(Calcu_ADJ!E44,$AL$319,0)</f>
        <v>0</v>
      </c>
      <c r="J463" s="594"/>
      <c r="K463" s="594"/>
      <c r="L463" s="594"/>
      <c r="M463" s="594"/>
      <c r="N463" s="595">
        <f>Calcu_ADJ!E44</f>
        <v>0</v>
      </c>
      <c r="O463" s="595"/>
      <c r="P463" s="596"/>
      <c r="Q463" s="597" t="str">
        <f ca="1">OFFSET(Calcu_ADJ!P44,$AL$319,0)</f>
        <v>Pa</v>
      </c>
      <c r="R463" s="598"/>
      <c r="S463" s="598"/>
      <c r="T463" s="598"/>
      <c r="U463" s="598"/>
      <c r="V463" s="595" t="str">
        <f>Calcu_ADJ!P44</f>
        <v>Pa</v>
      </c>
      <c r="W463" s="595"/>
      <c r="X463" s="596"/>
      <c r="Y463" s="719" t="s">
        <v>646</v>
      </c>
      <c r="Z463" s="720"/>
      <c r="AA463" s="720"/>
      <c r="AB463" s="720"/>
      <c r="AC463" s="721"/>
      <c r="AD463" s="710" t="str">
        <f ca="1">OFFSET(Calcu_ADJ!O44,$AL$319,0)</f>
        <v>m2·s2/kg</v>
      </c>
      <c r="AE463" s="595"/>
      <c r="AF463" s="595"/>
      <c r="AG463" s="595"/>
      <c r="AH463" s="722" t="s">
        <v>895</v>
      </c>
      <c r="AI463" s="722"/>
      <c r="AJ463" s="722"/>
      <c r="AK463" s="723"/>
      <c r="AL463" s="724" t="e">
        <f t="shared" ca="1" si="17"/>
        <v>#VALUE!</v>
      </c>
      <c r="AM463" s="725"/>
      <c r="AN463" s="725"/>
      <c r="AO463" s="725"/>
      <c r="AP463" s="725"/>
      <c r="AQ463" s="595" t="s">
        <v>657</v>
      </c>
      <c r="AR463" s="595"/>
      <c r="AS463" s="596"/>
      <c r="AT463" s="719" t="s">
        <v>896</v>
      </c>
      <c r="AU463" s="720"/>
      <c r="AV463" s="720"/>
      <c r="AW463" s="721"/>
    </row>
    <row r="464" spans="1:49" ht="18" customHeight="1">
      <c r="A464" s="336"/>
      <c r="B464" s="705" t="s">
        <v>897</v>
      </c>
      <c r="C464" s="706"/>
      <c r="D464" s="590" t="s">
        <v>898</v>
      </c>
      <c r="E464" s="591"/>
      <c r="F464" s="591"/>
      <c r="G464" s="591"/>
      <c r="H464" s="592"/>
      <c r="I464" s="593" t="str">
        <f ca="1">OFFSET(Calcu_ADJ!E8,$AL$319,0)</f>
        <v>kg/㎥</v>
      </c>
      <c r="J464" s="594"/>
      <c r="K464" s="594"/>
      <c r="L464" s="594"/>
      <c r="M464" s="594"/>
      <c r="N464" s="595" t="str">
        <f>Calcu_ADJ!E8</f>
        <v>kg/㎥</v>
      </c>
      <c r="O464" s="595"/>
      <c r="P464" s="596"/>
      <c r="Q464" s="726" t="str">
        <f ca="1">OFFSET(Calcu_ADJ!R44,$AL$319,0)</f>
        <v>kg/㎥</v>
      </c>
      <c r="R464" s="727"/>
      <c r="S464" s="727"/>
      <c r="T464" s="727"/>
      <c r="U464" s="727"/>
      <c r="V464" s="595" t="str">
        <f>Calcu_ADJ!R44</f>
        <v>kg/㎥</v>
      </c>
      <c r="W464" s="595"/>
      <c r="X464" s="596"/>
      <c r="Y464" s="719" t="s">
        <v>654</v>
      </c>
      <c r="Z464" s="720"/>
      <c r="AA464" s="720"/>
      <c r="AB464" s="720"/>
      <c r="AC464" s="721"/>
      <c r="AD464" s="710" t="str">
        <f ca="1">OFFSET(Calcu_ADJ!Q44,$AL$319,0)</f>
        <v>m4/kg</v>
      </c>
      <c r="AE464" s="595"/>
      <c r="AF464" s="595"/>
      <c r="AG464" s="595"/>
      <c r="AH464" s="722" t="s">
        <v>899</v>
      </c>
      <c r="AI464" s="722"/>
      <c r="AJ464" s="722"/>
      <c r="AK464" s="723"/>
      <c r="AL464" s="724" t="e">
        <f t="shared" ca="1" si="17"/>
        <v>#VALUE!</v>
      </c>
      <c r="AM464" s="725"/>
      <c r="AN464" s="725"/>
      <c r="AO464" s="725"/>
      <c r="AP464" s="725"/>
      <c r="AQ464" s="595" t="s">
        <v>657</v>
      </c>
      <c r="AR464" s="595"/>
      <c r="AS464" s="596"/>
      <c r="AT464" s="719">
        <v>12.5</v>
      </c>
      <c r="AU464" s="720"/>
      <c r="AV464" s="720"/>
      <c r="AW464" s="721"/>
    </row>
    <row r="465" spans="1:92" ht="18" customHeight="1">
      <c r="A465" s="336"/>
      <c r="B465" s="705" t="s">
        <v>900</v>
      </c>
      <c r="C465" s="706"/>
      <c r="D465" s="590" t="s">
        <v>626</v>
      </c>
      <c r="E465" s="591"/>
      <c r="F465" s="591"/>
      <c r="G465" s="591"/>
      <c r="H465" s="592"/>
      <c r="I465" s="710">
        <f>Calcu_ADJ!E3</f>
        <v>9.8066499999999994</v>
      </c>
      <c r="J465" s="595"/>
      <c r="K465" s="595"/>
      <c r="L465" s="595"/>
      <c r="M465" s="595"/>
      <c r="N465" s="595" t="s">
        <v>661</v>
      </c>
      <c r="O465" s="595"/>
      <c r="P465" s="596"/>
      <c r="Q465" s="728" t="str">
        <f ca="1">OFFSET(Calcu_ADJ!T44,$AL$319,0)</f>
        <v>m/s2</v>
      </c>
      <c r="R465" s="729"/>
      <c r="S465" s="729"/>
      <c r="T465" s="729"/>
      <c r="U465" s="729"/>
      <c r="V465" s="595" t="s">
        <v>661</v>
      </c>
      <c r="W465" s="595"/>
      <c r="X465" s="596"/>
      <c r="Y465" s="719" t="s">
        <v>654</v>
      </c>
      <c r="Z465" s="720"/>
      <c r="AA465" s="720"/>
      <c r="AB465" s="720"/>
      <c r="AC465" s="721"/>
      <c r="AD465" s="710" t="str">
        <f ca="1">OFFSET(Calcu_ADJ!S44,$AL$319,0)</f>
        <v>s2</v>
      </c>
      <c r="AE465" s="595"/>
      <c r="AF465" s="595"/>
      <c r="AG465" s="595"/>
      <c r="AH465" s="722" t="s">
        <v>663</v>
      </c>
      <c r="AI465" s="722"/>
      <c r="AJ465" s="722"/>
      <c r="AK465" s="723"/>
      <c r="AL465" s="724" t="e">
        <f t="shared" ca="1" si="17"/>
        <v>#VALUE!</v>
      </c>
      <c r="AM465" s="725"/>
      <c r="AN465" s="725"/>
      <c r="AO465" s="725"/>
      <c r="AP465" s="725"/>
      <c r="AQ465" s="595" t="s">
        <v>657</v>
      </c>
      <c r="AR465" s="595"/>
      <c r="AS465" s="596"/>
      <c r="AT465" s="719">
        <v>12.5</v>
      </c>
      <c r="AU465" s="720"/>
      <c r="AV465" s="720"/>
      <c r="AW465" s="721"/>
    </row>
    <row r="466" spans="1:92" ht="18" customHeight="1">
      <c r="A466" s="336"/>
      <c r="B466" s="705" t="s">
        <v>901</v>
      </c>
      <c r="C466" s="706"/>
      <c r="D466" s="707" t="s">
        <v>619</v>
      </c>
      <c r="E466" s="708"/>
      <c r="F466" s="708"/>
      <c r="G466" s="708"/>
      <c r="H466" s="709"/>
      <c r="I466" s="710">
        <f ca="1">OFFSET(Calcu_ADJ!K44,$AL$319,0)</f>
        <v>0</v>
      </c>
      <c r="J466" s="595"/>
      <c r="K466" s="595"/>
      <c r="L466" s="595">
        <f>Calcu_ADJ!K44</f>
        <v>0</v>
      </c>
      <c r="M466" s="595"/>
      <c r="N466" s="595"/>
      <c r="O466" s="595"/>
      <c r="P466" s="596"/>
      <c r="Q466" s="711" t="str">
        <f ca="1">OFFSET(Calcu_ADJ!AA44,$AL$319,0)</f>
        <v>m</v>
      </c>
      <c r="R466" s="712"/>
      <c r="S466" s="712"/>
      <c r="T466" s="712"/>
      <c r="U466" s="595" t="str">
        <f>Calcu_ADJ!AA44</f>
        <v>m</v>
      </c>
      <c r="V466" s="595"/>
      <c r="W466" s="595"/>
      <c r="X466" s="596"/>
      <c r="Y466" s="713" t="s">
        <v>654</v>
      </c>
      <c r="Z466" s="714"/>
      <c r="AA466" s="714"/>
      <c r="AB466" s="714"/>
      <c r="AC466" s="715"/>
      <c r="AD466" s="716">
        <v>-1</v>
      </c>
      <c r="AE466" s="717"/>
      <c r="AF466" s="717"/>
      <c r="AG466" s="717"/>
      <c r="AH466" s="717"/>
      <c r="AI466" s="717"/>
      <c r="AJ466" s="717"/>
      <c r="AK466" s="718"/>
      <c r="AL466" s="711" t="e">
        <f t="shared" ca="1" si="17"/>
        <v>#VALUE!</v>
      </c>
      <c r="AM466" s="712"/>
      <c r="AN466" s="712"/>
      <c r="AO466" s="712"/>
      <c r="AP466" s="595" t="str">
        <f>U466</f>
        <v>m</v>
      </c>
      <c r="AQ466" s="595"/>
      <c r="AR466" s="595"/>
      <c r="AS466" s="596"/>
      <c r="AT466" s="713">
        <f ca="1">OFFSET(Calcu_ADJ!AB44,$AL$319,0)</f>
        <v>0</v>
      </c>
      <c r="AU466" s="714"/>
      <c r="AV466" s="714"/>
      <c r="AW466" s="715"/>
    </row>
    <row r="467" spans="1:92" ht="18" customHeight="1">
      <c r="A467" s="336"/>
      <c r="B467" s="705" t="s">
        <v>902</v>
      </c>
      <c r="C467" s="706"/>
      <c r="D467" s="730" t="s">
        <v>666</v>
      </c>
      <c r="E467" s="731"/>
      <c r="F467" s="731"/>
      <c r="G467" s="731"/>
      <c r="H467" s="732"/>
      <c r="I467" s="733" t="s">
        <v>903</v>
      </c>
      <c r="J467" s="734"/>
      <c r="K467" s="734"/>
      <c r="L467" s="734"/>
      <c r="M467" s="734"/>
      <c r="N467" s="734"/>
      <c r="O467" s="734"/>
      <c r="P467" s="735"/>
      <c r="Q467" s="724" t="str">
        <f ca="1">OFFSET(Calcu_ADJ!W44,$AL$319,0)</f>
        <v>m</v>
      </c>
      <c r="R467" s="725"/>
      <c r="S467" s="725"/>
      <c r="T467" s="725"/>
      <c r="U467" s="725"/>
      <c r="V467" s="595" t="str">
        <f>Calcu_ADJ!W44</f>
        <v>m</v>
      </c>
      <c r="W467" s="595"/>
      <c r="X467" s="596"/>
      <c r="Y467" s="719" t="s">
        <v>677</v>
      </c>
      <c r="Z467" s="720"/>
      <c r="AA467" s="720"/>
      <c r="AB467" s="720"/>
      <c r="AC467" s="721"/>
      <c r="AD467" s="736">
        <v>1</v>
      </c>
      <c r="AE467" s="737"/>
      <c r="AF467" s="737"/>
      <c r="AG467" s="737"/>
      <c r="AH467" s="737"/>
      <c r="AI467" s="737"/>
      <c r="AJ467" s="737"/>
      <c r="AK467" s="738"/>
      <c r="AL467" s="724" t="e">
        <f t="shared" ca="1" si="17"/>
        <v>#VALUE!</v>
      </c>
      <c r="AM467" s="725"/>
      <c r="AN467" s="725"/>
      <c r="AO467" s="725"/>
      <c r="AP467" s="725"/>
      <c r="AQ467" s="595" t="s">
        <v>657</v>
      </c>
      <c r="AR467" s="595"/>
      <c r="AS467" s="596"/>
      <c r="AT467" s="719" t="s">
        <v>896</v>
      </c>
      <c r="AU467" s="720"/>
      <c r="AV467" s="720"/>
      <c r="AW467" s="721"/>
    </row>
    <row r="468" spans="1:92" ht="18" customHeight="1">
      <c r="A468" s="336"/>
      <c r="B468" s="705" t="s">
        <v>904</v>
      </c>
      <c r="C468" s="706"/>
      <c r="D468" s="730" t="s">
        <v>905</v>
      </c>
      <c r="E468" s="731"/>
      <c r="F468" s="731"/>
      <c r="G468" s="731"/>
      <c r="H468" s="732"/>
      <c r="I468" s="733" t="s">
        <v>668</v>
      </c>
      <c r="J468" s="734"/>
      <c r="K468" s="734"/>
      <c r="L468" s="734"/>
      <c r="M468" s="734"/>
      <c r="N468" s="734"/>
      <c r="O468" s="734"/>
      <c r="P468" s="735"/>
      <c r="Q468" s="724" t="str">
        <f ca="1">OFFSET(Calcu_ADJ!X44,$AL$319,0)</f>
        <v>m</v>
      </c>
      <c r="R468" s="725"/>
      <c r="S468" s="725"/>
      <c r="T468" s="725"/>
      <c r="U468" s="725"/>
      <c r="V468" s="595" t="str">
        <f>Calcu_ADJ!X44</f>
        <v>m</v>
      </c>
      <c r="W468" s="595"/>
      <c r="X468" s="596"/>
      <c r="Y468" s="719" t="s">
        <v>677</v>
      </c>
      <c r="Z468" s="720"/>
      <c r="AA468" s="720"/>
      <c r="AB468" s="720"/>
      <c r="AC468" s="721"/>
      <c r="AD468" s="736">
        <v>1</v>
      </c>
      <c r="AE468" s="737"/>
      <c r="AF468" s="737"/>
      <c r="AG468" s="737"/>
      <c r="AH468" s="737"/>
      <c r="AI468" s="737"/>
      <c r="AJ468" s="737"/>
      <c r="AK468" s="738"/>
      <c r="AL468" s="724" t="e">
        <f t="shared" ca="1" si="17"/>
        <v>#VALUE!</v>
      </c>
      <c r="AM468" s="725"/>
      <c r="AN468" s="725"/>
      <c r="AO468" s="725"/>
      <c r="AP468" s="725"/>
      <c r="AQ468" s="595" t="s">
        <v>906</v>
      </c>
      <c r="AR468" s="595"/>
      <c r="AS468" s="596"/>
      <c r="AT468" s="719">
        <v>12.5</v>
      </c>
      <c r="AU468" s="720"/>
      <c r="AV468" s="720"/>
      <c r="AW468" s="721"/>
    </row>
    <row r="469" spans="1:92" ht="18" customHeight="1">
      <c r="A469" s="336"/>
      <c r="B469" s="705" t="s">
        <v>907</v>
      </c>
      <c r="C469" s="706"/>
      <c r="D469" s="730" t="s">
        <v>908</v>
      </c>
      <c r="E469" s="731"/>
      <c r="F469" s="731"/>
      <c r="G469" s="731"/>
      <c r="H469" s="732"/>
      <c r="I469" s="733" t="s">
        <v>668</v>
      </c>
      <c r="J469" s="734"/>
      <c r="K469" s="734"/>
      <c r="L469" s="734"/>
      <c r="M469" s="734"/>
      <c r="N469" s="734"/>
      <c r="O469" s="734"/>
      <c r="P469" s="735"/>
      <c r="Q469" s="724" t="str">
        <f ca="1">OFFSET(Calcu_ADJ!Y44,$AL$319,0)</f>
        <v>m</v>
      </c>
      <c r="R469" s="725"/>
      <c r="S469" s="725"/>
      <c r="T469" s="725"/>
      <c r="U469" s="725"/>
      <c r="V469" s="595" t="str">
        <f>Calcu_ADJ!Y44</f>
        <v>m</v>
      </c>
      <c r="W469" s="595"/>
      <c r="X469" s="596"/>
      <c r="Y469" s="719" t="s">
        <v>654</v>
      </c>
      <c r="Z469" s="720"/>
      <c r="AA469" s="720"/>
      <c r="AB469" s="720"/>
      <c r="AC469" s="721"/>
      <c r="AD469" s="736">
        <v>1</v>
      </c>
      <c r="AE469" s="737"/>
      <c r="AF469" s="737"/>
      <c r="AG469" s="737"/>
      <c r="AH469" s="737"/>
      <c r="AI469" s="737"/>
      <c r="AJ469" s="737"/>
      <c r="AK469" s="738"/>
      <c r="AL469" s="724" t="e">
        <f t="shared" ca="1" si="17"/>
        <v>#VALUE!</v>
      </c>
      <c r="AM469" s="725"/>
      <c r="AN469" s="725"/>
      <c r="AO469" s="725"/>
      <c r="AP469" s="725"/>
      <c r="AQ469" s="595" t="s">
        <v>657</v>
      </c>
      <c r="AR469" s="595"/>
      <c r="AS469" s="596"/>
      <c r="AT469" s="719">
        <v>12.5</v>
      </c>
      <c r="AU469" s="720"/>
      <c r="AV469" s="720"/>
      <c r="AW469" s="721"/>
    </row>
    <row r="470" spans="1:92" ht="18" customHeight="1">
      <c r="A470" s="336"/>
      <c r="B470" s="705" t="s">
        <v>909</v>
      </c>
      <c r="C470" s="706"/>
      <c r="D470" s="730" t="s">
        <v>910</v>
      </c>
      <c r="E470" s="731"/>
      <c r="F470" s="731"/>
      <c r="G470" s="731"/>
      <c r="H470" s="732"/>
      <c r="I470" s="733" t="s">
        <v>903</v>
      </c>
      <c r="J470" s="734"/>
      <c r="K470" s="734"/>
      <c r="L470" s="734"/>
      <c r="M470" s="734"/>
      <c r="N470" s="734"/>
      <c r="O470" s="734"/>
      <c r="P470" s="735"/>
      <c r="Q470" s="724" t="str">
        <f ca="1">OFFSET(Calcu_ADJ!Z44,$AL$319,0)</f>
        <v>m</v>
      </c>
      <c r="R470" s="725"/>
      <c r="S470" s="725"/>
      <c r="T470" s="725"/>
      <c r="U470" s="725"/>
      <c r="V470" s="595" t="str">
        <f>Calcu_ADJ!Z44</f>
        <v>m</v>
      </c>
      <c r="W470" s="595"/>
      <c r="X470" s="596"/>
      <c r="Y470" s="719" t="s">
        <v>654</v>
      </c>
      <c r="Z470" s="720"/>
      <c r="AA470" s="720"/>
      <c r="AB470" s="720"/>
      <c r="AC470" s="721"/>
      <c r="AD470" s="736">
        <v>1</v>
      </c>
      <c r="AE470" s="737"/>
      <c r="AF470" s="737"/>
      <c r="AG470" s="737"/>
      <c r="AH470" s="737"/>
      <c r="AI470" s="737"/>
      <c r="AJ470" s="737"/>
      <c r="AK470" s="738"/>
      <c r="AL470" s="724" t="e">
        <f t="shared" ca="1" si="17"/>
        <v>#VALUE!</v>
      </c>
      <c r="AM470" s="725"/>
      <c r="AN470" s="725"/>
      <c r="AO470" s="725"/>
      <c r="AP470" s="725"/>
      <c r="AQ470" s="595" t="s">
        <v>657</v>
      </c>
      <c r="AR470" s="595"/>
      <c r="AS470" s="596"/>
      <c r="AT470" s="719">
        <v>2</v>
      </c>
      <c r="AU470" s="720"/>
      <c r="AV470" s="720"/>
      <c r="AW470" s="721"/>
    </row>
    <row r="471" spans="1:92" ht="18" customHeight="1">
      <c r="A471" s="336"/>
      <c r="B471" s="705" t="s">
        <v>911</v>
      </c>
      <c r="C471" s="706"/>
      <c r="D471" s="707" t="s">
        <v>613</v>
      </c>
      <c r="E471" s="708"/>
      <c r="F471" s="708"/>
      <c r="G471" s="708"/>
      <c r="H471" s="709"/>
      <c r="I471" s="710">
        <f ca="1">OFFSET(Calcu_ADJ!L44,$AL$319,0)</f>
        <v>0</v>
      </c>
      <c r="J471" s="595"/>
      <c r="K471" s="595"/>
      <c r="L471" s="595">
        <f>Calcu_ADJ!L44</f>
        <v>0</v>
      </c>
      <c r="M471" s="595"/>
      <c r="N471" s="595"/>
      <c r="O471" s="595"/>
      <c r="P471" s="596"/>
      <c r="Q471" s="736" t="s">
        <v>912</v>
      </c>
      <c r="R471" s="737"/>
      <c r="S471" s="737"/>
      <c r="T471" s="737"/>
      <c r="U471" s="737"/>
      <c r="V471" s="737"/>
      <c r="W471" s="737"/>
      <c r="X471" s="738"/>
      <c r="Y471" s="736" t="s">
        <v>912</v>
      </c>
      <c r="Z471" s="737"/>
      <c r="AA471" s="737"/>
      <c r="AB471" s="737"/>
      <c r="AC471" s="738"/>
      <c r="AD471" s="736" t="s">
        <v>668</v>
      </c>
      <c r="AE471" s="737"/>
      <c r="AF471" s="737"/>
      <c r="AG471" s="737"/>
      <c r="AH471" s="737"/>
      <c r="AI471" s="737"/>
      <c r="AJ471" s="737"/>
      <c r="AK471" s="738"/>
      <c r="AL471" s="711" t="e">
        <f ca="1">SQRT(SUMSQ(AL462,AL466))</f>
        <v>#VALUE!</v>
      </c>
      <c r="AM471" s="712"/>
      <c r="AN471" s="712"/>
      <c r="AO471" s="712"/>
      <c r="AP471" s="595" t="str">
        <f>AP466</f>
        <v>m</v>
      </c>
      <c r="AQ471" s="595"/>
      <c r="AR471" s="595"/>
      <c r="AS471" s="596"/>
      <c r="AT471" s="713">
        <f ca="1">OFFSET(Calcu_ADJ!AD44,$AL$319,0)</f>
        <v>0</v>
      </c>
      <c r="AU471" s="714"/>
      <c r="AV471" s="714"/>
      <c r="AW471" s="715"/>
      <c r="BD471" s="84"/>
      <c r="BE471" s="84"/>
      <c r="BF471" s="84"/>
      <c r="BG471" s="84"/>
      <c r="BH471" s="85"/>
      <c r="BI471" s="86"/>
      <c r="BJ471" s="86"/>
      <c r="BK471" s="87"/>
      <c r="BL471" s="87"/>
      <c r="BM471" s="87"/>
      <c r="BN471" s="87"/>
      <c r="BO471" s="87"/>
      <c r="BP471" s="87"/>
      <c r="BQ471" s="87"/>
      <c r="BR471" s="87"/>
      <c r="BS471" s="88"/>
      <c r="BT471" s="236"/>
      <c r="BU471" s="236"/>
      <c r="BV471" s="236"/>
      <c r="BW471" s="235"/>
      <c r="BX471" s="89"/>
      <c r="BY471" s="89"/>
      <c r="BZ471" s="89"/>
      <c r="CA471" s="89"/>
      <c r="CB471" s="89"/>
      <c r="CC471" s="238"/>
      <c r="CD471" s="238"/>
      <c r="CE471" s="238"/>
      <c r="CF471" s="238"/>
      <c r="CG471" s="238"/>
      <c r="CH471" s="85"/>
      <c r="CI471" s="86"/>
      <c r="CJ471" s="86"/>
      <c r="CK471" s="88"/>
      <c r="CL471" s="236"/>
      <c r="CM471" s="236"/>
      <c r="CN471" s="235"/>
    </row>
    <row r="472" spans="1:92" ht="18" customHeight="1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36"/>
      <c r="N472" s="336"/>
      <c r="O472" s="336"/>
      <c r="P472" s="336"/>
      <c r="Q472" s="336"/>
      <c r="R472" s="336"/>
      <c r="S472" s="336"/>
      <c r="T472" s="336"/>
      <c r="U472" s="336"/>
      <c r="V472" s="336"/>
      <c r="W472" s="336"/>
      <c r="X472" s="336"/>
      <c r="Y472" s="336"/>
      <c r="Z472" s="336"/>
      <c r="AA472" s="336"/>
      <c r="AB472" s="336"/>
      <c r="AC472" s="336"/>
      <c r="AD472" s="336"/>
      <c r="AE472" s="336"/>
      <c r="AF472" s="336"/>
      <c r="AG472" s="336"/>
      <c r="AH472" s="336"/>
      <c r="AI472" s="336"/>
      <c r="AJ472" s="336"/>
      <c r="AK472" s="336"/>
      <c r="AL472" s="336"/>
      <c r="AM472" s="336"/>
      <c r="AN472" s="336"/>
      <c r="AO472" s="336"/>
      <c r="AP472" s="336"/>
      <c r="AQ472" s="336"/>
      <c r="AR472" s="336"/>
      <c r="AS472" s="336"/>
      <c r="AT472" s="336"/>
    </row>
    <row r="473" spans="1:92" ht="18" customHeight="1">
      <c r="A473" s="90" t="s">
        <v>913</v>
      </c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36"/>
      <c r="N473" s="336"/>
      <c r="O473" s="336"/>
      <c r="P473" s="336"/>
      <c r="Q473" s="336"/>
      <c r="R473" s="336"/>
      <c r="S473" s="336"/>
      <c r="T473" s="336"/>
      <c r="U473" s="336"/>
      <c r="V473" s="336"/>
      <c r="W473" s="336"/>
      <c r="X473" s="336"/>
      <c r="Y473" s="336"/>
      <c r="Z473" s="336"/>
      <c r="AA473" s="336"/>
      <c r="AB473" s="336"/>
      <c r="AC473" s="336"/>
      <c r="AD473" s="336"/>
      <c r="AE473" s="336"/>
      <c r="AF473" s="336"/>
      <c r="AG473" s="336"/>
      <c r="AH473" s="336"/>
      <c r="AI473" s="336"/>
      <c r="AJ473" s="336"/>
      <c r="AK473" s="336"/>
      <c r="AL473" s="336"/>
      <c r="AM473" s="336"/>
      <c r="AN473" s="336"/>
      <c r="AO473" s="336"/>
      <c r="AP473" s="336"/>
      <c r="AQ473" s="336"/>
      <c r="AR473" s="336"/>
      <c r="AS473" s="336"/>
      <c r="AT473" s="336"/>
    </row>
    <row r="474" spans="1:92" ht="18" customHeight="1">
      <c r="A474" s="90"/>
      <c r="B474" s="90" t="s">
        <v>914</v>
      </c>
      <c r="D474" s="336"/>
      <c r="E474" s="336"/>
      <c r="F474" s="336"/>
      <c r="G474" s="336"/>
      <c r="H474" s="336"/>
      <c r="I474" s="336"/>
      <c r="J474" s="336"/>
      <c r="K474" s="336"/>
      <c r="L474" s="336"/>
      <c r="M474" s="336"/>
      <c r="N474" s="336"/>
      <c r="O474" s="336"/>
      <c r="P474" s="336"/>
      <c r="Q474" s="336"/>
      <c r="R474" s="336"/>
      <c r="S474" s="336"/>
      <c r="T474" s="348" t="s">
        <v>915</v>
      </c>
      <c r="U474" s="336"/>
      <c r="V474" s="336"/>
      <c r="W474" s="336"/>
      <c r="X474" s="336"/>
      <c r="Y474" s="336"/>
      <c r="Z474" s="336"/>
      <c r="AA474" s="336"/>
      <c r="AB474" s="336"/>
      <c r="AC474" s="336"/>
      <c r="AD474" s="336"/>
      <c r="AE474" s="336"/>
      <c r="AF474" s="336"/>
      <c r="AG474" s="336"/>
      <c r="AH474" s="336"/>
      <c r="AI474" s="336"/>
      <c r="AJ474" s="336"/>
      <c r="AK474" s="336"/>
      <c r="AL474" s="336"/>
      <c r="AM474" s="336"/>
      <c r="AN474" s="336"/>
      <c r="AO474" s="336"/>
      <c r="AP474" s="336"/>
      <c r="AQ474" s="336"/>
      <c r="AR474" s="336"/>
      <c r="AS474" s="336"/>
      <c r="AT474" s="336"/>
    </row>
    <row r="475" spans="1:92" ht="18" customHeight="1">
      <c r="A475" s="90"/>
      <c r="B475" s="336" t="s">
        <v>916</v>
      </c>
      <c r="C475" s="336"/>
      <c r="E475" s="336"/>
      <c r="F475" s="336"/>
      <c r="G475" s="336"/>
      <c r="H475" s="336"/>
      <c r="I475" s="336"/>
      <c r="J475" s="336"/>
      <c r="K475" s="336"/>
      <c r="L475" s="336"/>
      <c r="M475" s="336"/>
      <c r="N475" s="336"/>
      <c r="O475" s="336"/>
      <c r="P475" s="336"/>
      <c r="Q475" s="336"/>
      <c r="R475" s="336"/>
      <c r="S475" s="336"/>
      <c r="T475" s="348"/>
      <c r="U475" s="336"/>
      <c r="V475" s="336"/>
      <c r="W475" s="336"/>
      <c r="X475" s="336"/>
      <c r="Y475" s="336"/>
      <c r="Z475" s="336"/>
      <c r="AA475" s="336"/>
      <c r="AB475" s="336"/>
      <c r="AC475" s="336"/>
      <c r="AD475" s="336"/>
      <c r="AE475" s="336"/>
      <c r="AF475" s="336"/>
      <c r="AG475" s="336"/>
      <c r="AH475" s="336"/>
      <c r="AI475" s="336"/>
      <c r="AJ475" s="336"/>
      <c r="AK475" s="336"/>
      <c r="AL475" s="336"/>
      <c r="AM475" s="336"/>
      <c r="AN475" s="336"/>
      <c r="AO475" s="336"/>
      <c r="AP475" s="336"/>
      <c r="AQ475" s="336"/>
      <c r="AR475" s="336"/>
      <c r="AS475" s="336"/>
      <c r="AT475" s="336"/>
    </row>
    <row r="476" spans="1:92" ht="18" customHeight="1">
      <c r="A476" s="90"/>
      <c r="B476" s="336"/>
      <c r="C476" s="336" t="s">
        <v>917</v>
      </c>
      <c r="E476" s="336"/>
      <c r="F476" s="336"/>
      <c r="G476" s="336"/>
      <c r="H476" s="336"/>
      <c r="I476" s="336"/>
      <c r="J476" s="336"/>
      <c r="K476" s="336"/>
      <c r="L476" s="336"/>
      <c r="M476" s="336"/>
      <c r="N476" s="336"/>
      <c r="O476" s="336"/>
      <c r="P476" s="336"/>
      <c r="Q476" s="336"/>
      <c r="R476" s="336"/>
      <c r="S476" s="336"/>
      <c r="T476" s="348"/>
      <c r="U476" s="336"/>
      <c r="V476" s="336"/>
      <c r="W476" s="336"/>
      <c r="X476" s="336"/>
      <c r="Y476" s="336"/>
      <c r="Z476" s="336"/>
      <c r="AA476" s="336"/>
      <c r="AB476" s="336"/>
      <c r="AC476" s="336"/>
      <c r="AD476" s="336"/>
      <c r="AE476" s="336"/>
      <c r="AF476" s="336"/>
      <c r="AG476" s="336"/>
      <c r="AH476" s="336"/>
      <c r="AI476" s="336"/>
      <c r="AJ476" s="336"/>
      <c r="AK476" s="336"/>
      <c r="AL476" s="336"/>
      <c r="AM476" s="336"/>
      <c r="AN476" s="336"/>
      <c r="AO476" s="336"/>
      <c r="AP476" s="336"/>
      <c r="AQ476" s="336"/>
      <c r="AR476" s="336"/>
      <c r="AS476" s="336"/>
      <c r="AT476" s="336"/>
    </row>
    <row r="477" spans="1:92" ht="18" customHeight="1">
      <c r="A477" s="90"/>
      <c r="B477" s="336" t="s">
        <v>686</v>
      </c>
      <c r="C477" s="336"/>
      <c r="D477" s="336"/>
      <c r="E477" s="336"/>
      <c r="F477" s="336"/>
      <c r="G477" s="505">
        <f ca="1">I462</f>
        <v>0</v>
      </c>
      <c r="H477" s="505"/>
      <c r="I477" s="505"/>
      <c r="J477" s="505"/>
      <c r="K477" s="505"/>
      <c r="L477" s="506">
        <f>L462</f>
        <v>0</v>
      </c>
      <c r="M477" s="506"/>
      <c r="N477" s="506"/>
      <c r="O477" s="506"/>
      <c r="P477" s="506"/>
      <c r="Q477" s="506"/>
      <c r="R477" s="336"/>
      <c r="S477" s="336"/>
      <c r="T477" s="336"/>
      <c r="U477" s="336"/>
      <c r="V477" s="336"/>
      <c r="W477" s="336"/>
      <c r="X477" s="336"/>
      <c r="Y477" s="336"/>
      <c r="Z477" s="336"/>
      <c r="AA477" s="336"/>
      <c r="AB477" s="336"/>
      <c r="AC477" s="336"/>
      <c r="AD477" s="336"/>
      <c r="AE477" s="336"/>
      <c r="AF477" s="336"/>
      <c r="AG477" s="336"/>
      <c r="AH477" s="336"/>
      <c r="AI477" s="336"/>
      <c r="AJ477" s="336"/>
      <c r="AK477" s="336"/>
      <c r="AL477" s="336"/>
      <c r="AM477" s="336"/>
      <c r="AN477" s="336"/>
      <c r="AO477" s="336"/>
      <c r="AP477" s="336"/>
      <c r="AQ477" s="336"/>
      <c r="AR477" s="336"/>
      <c r="AS477" s="336"/>
      <c r="AT477" s="336"/>
    </row>
    <row r="478" spans="1:92" ht="18" customHeight="1">
      <c r="A478" s="90"/>
      <c r="B478" s="336"/>
      <c r="C478" s="336"/>
      <c r="D478" s="336"/>
      <c r="E478" s="336"/>
      <c r="F478" s="336"/>
      <c r="G478" s="336" t="s">
        <v>687</v>
      </c>
      <c r="I478" s="336"/>
      <c r="J478" s="336"/>
      <c r="K478" s="336"/>
      <c r="L478" s="336"/>
      <c r="M478" s="349" t="s">
        <v>918</v>
      </c>
      <c r="N478" s="336" t="s">
        <v>919</v>
      </c>
      <c r="O478" s="507">
        <f ca="1">I463</f>
        <v>0</v>
      </c>
      <c r="P478" s="507"/>
      <c r="Q478" s="507"/>
      <c r="R478" s="507"/>
      <c r="S478" s="508">
        <f>N463</f>
        <v>0</v>
      </c>
      <c r="T478" s="508"/>
      <c r="U478" s="508"/>
      <c r="V478" s="91"/>
      <c r="W478" s="91"/>
      <c r="X478" s="91"/>
      <c r="Y478" s="336"/>
      <c r="Z478" s="92"/>
      <c r="AA478" s="92"/>
      <c r="AB478" s="234"/>
      <c r="AC478" s="234"/>
      <c r="AD478" s="234"/>
      <c r="AE478" s="234"/>
      <c r="AF478" s="334"/>
      <c r="AG478" s="334"/>
      <c r="AH478" s="334"/>
      <c r="AI478" s="336"/>
      <c r="AJ478" s="336"/>
      <c r="AK478" s="336"/>
      <c r="AL478" s="336"/>
      <c r="AM478" s="336"/>
      <c r="AN478" s="336"/>
      <c r="AO478" s="336"/>
      <c r="AP478" s="336"/>
      <c r="AQ478" s="336"/>
      <c r="AR478" s="336"/>
      <c r="AS478" s="336"/>
      <c r="AT478" s="336"/>
      <c r="AU478" s="336"/>
    </row>
    <row r="479" spans="1:92" ht="18" customHeight="1">
      <c r="A479" s="90"/>
      <c r="B479" s="336"/>
      <c r="C479" s="336"/>
      <c r="D479" s="336"/>
      <c r="E479" s="336"/>
      <c r="F479" s="336"/>
      <c r="G479" s="508" t="s">
        <v>920</v>
      </c>
      <c r="H479" s="508"/>
      <c r="I479" s="508"/>
      <c r="J479" s="508"/>
      <c r="K479" s="508"/>
      <c r="L479" s="508"/>
      <c r="M479" s="349"/>
      <c r="N479" s="336"/>
      <c r="O479" s="350"/>
      <c r="P479" s="350"/>
      <c r="Q479" s="350"/>
      <c r="R479" s="509">
        <f ca="1">O478</f>
        <v>0</v>
      </c>
      <c r="S479" s="509"/>
      <c r="T479" s="509"/>
      <c r="U479" s="509"/>
      <c r="V479" s="509"/>
      <c r="W479" s="509"/>
      <c r="X479" s="509"/>
      <c r="Y479" s="509">
        <f>S478</f>
        <v>0</v>
      </c>
      <c r="Z479" s="509"/>
      <c r="AA479" s="509"/>
      <c r="AB479" s="509"/>
      <c r="AC479" s="509"/>
      <c r="AD479" s="509"/>
      <c r="AE479" s="509"/>
      <c r="AF479" s="510" t="s">
        <v>919</v>
      </c>
      <c r="AG479" s="508">
        <f ca="1">I462</f>
        <v>0</v>
      </c>
      <c r="AH479" s="508"/>
      <c r="AI479" s="508"/>
      <c r="AJ479" s="508" t="s">
        <v>657</v>
      </c>
      <c r="AK479" s="508"/>
      <c r="AL479" s="336"/>
      <c r="AM479" s="336"/>
      <c r="AN479" s="336"/>
      <c r="AO479" s="336"/>
      <c r="AP479" s="336"/>
      <c r="AQ479" s="336"/>
      <c r="AR479" s="336"/>
      <c r="AS479" s="336"/>
      <c r="AT479" s="336"/>
      <c r="AU479" s="336"/>
    </row>
    <row r="480" spans="1:92" ht="18" customHeight="1">
      <c r="A480" s="90"/>
      <c r="B480" s="336"/>
      <c r="C480" s="336"/>
      <c r="D480" s="336"/>
      <c r="E480" s="336"/>
      <c r="F480" s="336"/>
      <c r="G480" s="508"/>
      <c r="H480" s="508"/>
      <c r="I480" s="508"/>
      <c r="J480" s="508"/>
      <c r="K480" s="508"/>
      <c r="L480" s="508"/>
      <c r="M480" s="349"/>
      <c r="N480" s="336"/>
      <c r="O480" s="350"/>
      <c r="P480" s="350"/>
      <c r="Q480" s="350"/>
      <c r="R480" s="739" t="str">
        <f ca="1">I464</f>
        <v>kg/㎥</v>
      </c>
      <c r="S480" s="739"/>
      <c r="T480" s="739"/>
      <c r="U480" s="507" t="s">
        <v>692</v>
      </c>
      <c r="V480" s="507"/>
      <c r="W480" s="507"/>
      <c r="X480" s="98" t="s">
        <v>921</v>
      </c>
      <c r="Y480" s="740">
        <f>I465</f>
        <v>9.8066499999999994</v>
      </c>
      <c r="Z480" s="740"/>
      <c r="AA480" s="740"/>
      <c r="AB480" s="740"/>
      <c r="AC480" s="507" t="s">
        <v>922</v>
      </c>
      <c r="AD480" s="507"/>
      <c r="AE480" s="507"/>
      <c r="AF480" s="510"/>
      <c r="AG480" s="508"/>
      <c r="AH480" s="508"/>
      <c r="AI480" s="508"/>
      <c r="AJ480" s="508"/>
      <c r="AK480" s="508"/>
      <c r="AL480" s="336"/>
      <c r="AM480" s="336"/>
      <c r="AN480" s="336"/>
      <c r="AO480" s="336"/>
      <c r="AP480" s="336"/>
      <c r="AQ480" s="336"/>
      <c r="AR480" s="336"/>
      <c r="AS480" s="336"/>
      <c r="AT480" s="336"/>
      <c r="AU480" s="336"/>
    </row>
    <row r="481" spans="1:46" ht="18" customHeight="1">
      <c r="A481" s="90"/>
      <c r="B481" s="508" t="s">
        <v>923</v>
      </c>
      <c r="C481" s="508"/>
      <c r="D481" s="508"/>
      <c r="E481" s="508"/>
      <c r="F481" s="508"/>
      <c r="G481" s="508"/>
      <c r="H481" s="508"/>
      <c r="I481" s="336"/>
      <c r="J481" s="336"/>
      <c r="K481" s="336"/>
      <c r="L481" s="336"/>
      <c r="M481" s="336"/>
      <c r="N481" s="336"/>
      <c r="O481" s="336"/>
      <c r="P481" s="336"/>
      <c r="Q481" s="336"/>
      <c r="R481" s="336"/>
      <c r="S481" s="336"/>
      <c r="T481" s="333"/>
      <c r="U481" s="333"/>
      <c r="V481" s="332"/>
      <c r="W481" s="336"/>
      <c r="X481" s="333"/>
      <c r="Y481" s="336"/>
      <c r="Z481" s="336"/>
      <c r="AA481" s="336"/>
      <c r="AB481" s="336"/>
      <c r="AC481" s="336"/>
      <c r="AD481" s="336"/>
      <c r="AE481" s="336"/>
      <c r="AG481" s="336"/>
      <c r="AH481" s="336"/>
      <c r="AI481" s="336"/>
    </row>
    <row r="482" spans="1:46" ht="18" customHeight="1">
      <c r="A482" s="90"/>
      <c r="B482" s="508"/>
      <c r="C482" s="508"/>
      <c r="D482" s="508"/>
      <c r="E482" s="508"/>
      <c r="F482" s="508"/>
      <c r="G482" s="508"/>
      <c r="H482" s="508"/>
      <c r="I482" s="336"/>
      <c r="J482" s="336"/>
      <c r="K482" s="336"/>
      <c r="L482" s="336"/>
      <c r="M482" s="336"/>
      <c r="N482" s="336"/>
      <c r="O482" s="336"/>
      <c r="P482" s="336"/>
      <c r="Q482" s="336"/>
      <c r="R482" s="336"/>
      <c r="S482" s="336"/>
      <c r="T482" s="333"/>
      <c r="U482" s="333"/>
      <c r="V482" s="336"/>
      <c r="W482" s="336"/>
      <c r="X482" s="333"/>
      <c r="Y482" s="336"/>
      <c r="Z482" s="336"/>
      <c r="AA482" s="336"/>
      <c r="AB482" s="336"/>
      <c r="AC482" s="336"/>
      <c r="AD482" s="336"/>
      <c r="AE482" s="336"/>
      <c r="AF482" s="336"/>
      <c r="AG482" s="336"/>
      <c r="AH482" s="336"/>
      <c r="AI482" s="336"/>
    </row>
    <row r="483" spans="1:46" ht="18" customHeight="1">
      <c r="A483" s="90"/>
      <c r="B483" s="336"/>
      <c r="C483" s="336"/>
      <c r="D483" s="336"/>
      <c r="E483" s="336"/>
      <c r="F483" s="336"/>
      <c r="G483" s="336"/>
      <c r="H483" s="336"/>
      <c r="I483" s="336"/>
      <c r="J483" s="336"/>
      <c r="K483" s="336"/>
      <c r="L483" s="336"/>
      <c r="M483" s="336"/>
      <c r="N483" s="513" t="e">
        <f ca="1">AA501</f>
        <v>#VALUE!</v>
      </c>
      <c r="O483" s="513"/>
      <c r="P483" s="513"/>
      <c r="Q483" s="336"/>
      <c r="R483" s="336"/>
      <c r="S483" s="741" t="e">
        <f ca="1">AA515</f>
        <v>#VALUE!</v>
      </c>
      <c r="T483" s="741"/>
      <c r="U483" s="741"/>
      <c r="V483" s="336"/>
      <c r="W483" s="336"/>
      <c r="X483" s="742" t="e">
        <f ca="1">Z531</f>
        <v>#VALUE!</v>
      </c>
      <c r="Y483" s="742"/>
      <c r="Z483" s="742"/>
      <c r="AA483" s="336"/>
      <c r="AB483" s="336"/>
      <c r="AC483" s="619" t="str">
        <f ca="1">Q462</f>
        <v>m</v>
      </c>
      <c r="AD483" s="508"/>
      <c r="AE483" s="508"/>
      <c r="AF483" s="337" t="s">
        <v>906</v>
      </c>
      <c r="AG483" s="337"/>
      <c r="AH483" s="337"/>
      <c r="AI483" s="336"/>
      <c r="AK483" s="351"/>
      <c r="AL483" s="351"/>
      <c r="AM483" s="351"/>
      <c r="AP483" s="351"/>
      <c r="AQ483" s="351"/>
      <c r="AR483" s="351"/>
    </row>
    <row r="484" spans="1:46" ht="18" customHeight="1">
      <c r="A484" s="90"/>
      <c r="B484" s="336" t="s">
        <v>924</v>
      </c>
      <c r="C484" s="336"/>
      <c r="D484" s="336"/>
      <c r="E484" s="336"/>
      <c r="F484" s="336"/>
      <c r="G484" s="336"/>
      <c r="H484" s="508" t="str">
        <f>Y462</f>
        <v>정규</v>
      </c>
      <c r="I484" s="508"/>
      <c r="J484" s="508"/>
      <c r="K484" s="508"/>
      <c r="L484" s="508"/>
      <c r="M484" s="336"/>
      <c r="N484" s="336"/>
      <c r="O484" s="336"/>
      <c r="P484" s="336"/>
      <c r="Q484" s="336"/>
      <c r="R484" s="336"/>
      <c r="S484" s="336"/>
      <c r="T484" s="336"/>
      <c r="U484" s="336"/>
      <c r="V484" s="336"/>
      <c r="W484" s="336"/>
      <c r="X484" s="336"/>
      <c r="Y484" s="336"/>
      <c r="Z484" s="336"/>
      <c r="AA484" s="336"/>
      <c r="AB484" s="336"/>
      <c r="AC484" s="336"/>
      <c r="AD484" s="336"/>
      <c r="AE484" s="336"/>
      <c r="AF484" s="336"/>
      <c r="AG484" s="336"/>
      <c r="AH484" s="336"/>
      <c r="AI484" s="336"/>
      <c r="AJ484" s="336"/>
      <c r="AK484" s="336"/>
      <c r="AL484" s="336"/>
      <c r="AM484" s="336"/>
      <c r="AN484" s="336"/>
      <c r="AO484" s="336"/>
      <c r="AP484" s="336"/>
      <c r="AQ484" s="336"/>
      <c r="AR484" s="336"/>
      <c r="AS484" s="336"/>
      <c r="AT484" s="336"/>
    </row>
    <row r="485" spans="1:46" ht="18" customHeight="1">
      <c r="A485" s="90"/>
      <c r="B485" s="508" t="s">
        <v>925</v>
      </c>
      <c r="C485" s="508"/>
      <c r="D485" s="508"/>
      <c r="E485" s="508"/>
      <c r="F485" s="508"/>
      <c r="G485" s="508"/>
      <c r="H485" s="336"/>
      <c r="I485" s="336"/>
      <c r="J485" s="336"/>
      <c r="K485" s="336"/>
      <c r="L485" s="336"/>
      <c r="M485" s="743">
        <f>AD462</f>
        <v>1</v>
      </c>
      <c r="N485" s="743"/>
      <c r="O485" s="336"/>
      <c r="P485" s="336"/>
      <c r="Q485" s="336"/>
      <c r="R485" s="336"/>
      <c r="S485" s="336"/>
      <c r="T485" s="336"/>
      <c r="U485" s="336"/>
      <c r="V485" s="336"/>
      <c r="W485" s="336"/>
      <c r="X485" s="336"/>
      <c r="Y485" s="336"/>
      <c r="Z485" s="336"/>
      <c r="AA485" s="336"/>
      <c r="AB485" s="336"/>
      <c r="AC485" s="336"/>
      <c r="AD485" s="336"/>
      <c r="AE485" s="336"/>
      <c r="AF485" s="336"/>
      <c r="AG485" s="336"/>
      <c r="AH485" s="336"/>
      <c r="AI485" s="336"/>
      <c r="AJ485" s="336"/>
      <c r="AK485" s="336"/>
      <c r="AL485" s="336"/>
      <c r="AM485" s="336"/>
      <c r="AN485" s="336"/>
      <c r="AO485" s="336"/>
      <c r="AP485" s="336"/>
      <c r="AQ485" s="336"/>
      <c r="AR485" s="336"/>
      <c r="AS485" s="336"/>
      <c r="AT485" s="336"/>
    </row>
    <row r="486" spans="1:46" ht="18" customHeight="1">
      <c r="A486" s="90"/>
      <c r="B486" s="508"/>
      <c r="C486" s="508"/>
      <c r="D486" s="508"/>
      <c r="E486" s="508"/>
      <c r="F486" s="508"/>
      <c r="G486" s="508"/>
      <c r="H486" s="336"/>
      <c r="I486" s="336"/>
      <c r="J486" s="336"/>
      <c r="K486" s="336"/>
      <c r="L486" s="336"/>
      <c r="M486" s="743"/>
      <c r="N486" s="743"/>
      <c r="O486" s="336"/>
      <c r="P486" s="336"/>
      <c r="Q486" s="336"/>
      <c r="R486" s="336"/>
      <c r="S486" s="336"/>
      <c r="T486" s="336"/>
      <c r="U486" s="336"/>
      <c r="V486" s="336"/>
      <c r="W486" s="336"/>
      <c r="X486" s="336"/>
      <c r="Y486" s="336"/>
      <c r="Z486" s="336"/>
      <c r="AA486" s="336"/>
      <c r="AB486" s="336"/>
      <c r="AC486" s="336"/>
      <c r="AD486" s="336"/>
      <c r="AE486" s="336"/>
      <c r="AF486" s="336"/>
      <c r="AG486" s="336"/>
      <c r="AH486" s="336"/>
      <c r="AI486" s="336"/>
      <c r="AJ486" s="336"/>
      <c r="AK486" s="336"/>
      <c r="AL486" s="336"/>
      <c r="AM486" s="336"/>
      <c r="AN486" s="336"/>
      <c r="AO486" s="336"/>
      <c r="AP486" s="336"/>
      <c r="AQ486" s="336"/>
      <c r="AR486" s="336"/>
      <c r="AS486" s="336"/>
      <c r="AT486" s="336"/>
    </row>
    <row r="487" spans="1:46" ht="18" customHeight="1">
      <c r="A487" s="90"/>
      <c r="B487" s="336" t="s">
        <v>926</v>
      </c>
      <c r="C487" s="336"/>
      <c r="D487" s="336"/>
      <c r="E487" s="336"/>
      <c r="F487" s="336"/>
      <c r="G487" s="336"/>
      <c r="H487" s="336"/>
      <c r="I487" s="336"/>
      <c r="J487" s="337" t="s">
        <v>927</v>
      </c>
      <c r="K487" s="513">
        <f>M485</f>
        <v>1</v>
      </c>
      <c r="L487" s="513"/>
      <c r="M487" s="337" t="s">
        <v>927</v>
      </c>
      <c r="N487" s="339" t="s">
        <v>921</v>
      </c>
      <c r="O487" s="619" t="str">
        <f ca="1">AC483</f>
        <v>m</v>
      </c>
      <c r="P487" s="619"/>
      <c r="Q487" s="619"/>
      <c r="R487" s="333" t="s">
        <v>906</v>
      </c>
      <c r="S487" s="351" t="s">
        <v>690</v>
      </c>
      <c r="T487" s="619" t="str">
        <f ca="1">O487</f>
        <v>m</v>
      </c>
      <c r="U487" s="619"/>
      <c r="V487" s="619"/>
      <c r="W487" s="333" t="s">
        <v>906</v>
      </c>
      <c r="X487" s="239"/>
      <c r="Y487" s="336"/>
      <c r="Z487" s="336"/>
      <c r="AA487" s="336"/>
      <c r="AB487" s="336"/>
      <c r="AC487" s="336"/>
      <c r="AD487" s="336"/>
      <c r="AE487" s="336"/>
      <c r="AF487" s="336"/>
      <c r="AG487" s="336"/>
      <c r="AH487" s="336"/>
      <c r="AI487" s="336"/>
      <c r="AJ487" s="336"/>
      <c r="AK487" s="336"/>
      <c r="AL487" s="336"/>
      <c r="AM487" s="336"/>
      <c r="AN487" s="336"/>
      <c r="AO487" s="336"/>
      <c r="AP487" s="336"/>
      <c r="AQ487" s="336"/>
      <c r="AR487" s="336"/>
      <c r="AS487" s="336"/>
      <c r="AT487" s="336"/>
    </row>
    <row r="488" spans="1:46" ht="18" customHeight="1">
      <c r="A488" s="90"/>
      <c r="B488" s="508" t="s">
        <v>703</v>
      </c>
      <c r="C488" s="508"/>
      <c r="D488" s="508"/>
      <c r="E488" s="508"/>
      <c r="F488" s="508"/>
      <c r="G488" s="508"/>
      <c r="H488" s="336"/>
      <c r="I488" s="336"/>
      <c r="J488" s="336"/>
      <c r="K488" s="96"/>
      <c r="L488" s="336"/>
      <c r="M488" s="336"/>
      <c r="N488" s="336"/>
      <c r="O488" s="336"/>
      <c r="P488" s="336"/>
      <c r="Q488" s="336"/>
      <c r="R488" s="744" t="str">
        <f ca="1">AC483</f>
        <v>m</v>
      </c>
      <c r="S488" s="521"/>
      <c r="T488" s="521"/>
      <c r="U488" s="521"/>
      <c r="V488" s="521"/>
      <c r="W488" s="521"/>
      <c r="X488" s="521"/>
      <c r="Y488" s="521"/>
      <c r="Z488" s="521"/>
      <c r="AA488" s="521"/>
      <c r="AB488" s="521"/>
      <c r="AC488" s="521"/>
      <c r="AD488" s="521"/>
      <c r="AE488" s="521"/>
      <c r="AF488" s="513" t="s">
        <v>919</v>
      </c>
      <c r="AG488" s="743">
        <f ca="1">AT462</f>
        <v>0</v>
      </c>
      <c r="AH488" s="743"/>
      <c r="AI488" s="743"/>
      <c r="AJ488" s="743"/>
      <c r="AK488" s="336"/>
      <c r="AL488" s="336"/>
      <c r="AM488" s="336"/>
      <c r="AN488" s="336"/>
      <c r="AO488" s="336"/>
      <c r="AP488" s="336"/>
      <c r="AQ488" s="336"/>
      <c r="AR488" s="336"/>
      <c r="AS488" s="336"/>
      <c r="AT488" s="336"/>
    </row>
    <row r="489" spans="1:46" ht="18" customHeight="1">
      <c r="A489" s="90"/>
      <c r="B489" s="508"/>
      <c r="C489" s="508"/>
      <c r="D489" s="508"/>
      <c r="E489" s="508"/>
      <c r="F489" s="508"/>
      <c r="G489" s="508"/>
      <c r="H489" s="336"/>
      <c r="I489" s="336"/>
      <c r="J489" s="336"/>
      <c r="K489" s="96"/>
      <c r="L489" s="341"/>
      <c r="M489" s="341"/>
      <c r="N489" s="341"/>
      <c r="O489" s="341"/>
      <c r="P489" s="341"/>
      <c r="Q489" s="336"/>
      <c r="R489" s="744" t="e">
        <f ca="1">N483</f>
        <v>#VALUE!</v>
      </c>
      <c r="S489" s="744"/>
      <c r="T489" s="744"/>
      <c r="U489" s="744"/>
      <c r="V489" s="513" t="s">
        <v>928</v>
      </c>
      <c r="W489" s="744" t="e">
        <f ca="1">S483</f>
        <v>#VALUE!</v>
      </c>
      <c r="X489" s="744"/>
      <c r="Y489" s="744"/>
      <c r="Z489" s="744"/>
      <c r="AA489" s="513" t="s">
        <v>928</v>
      </c>
      <c r="AB489" s="744" t="e">
        <f ca="1">X483</f>
        <v>#VALUE!</v>
      </c>
      <c r="AC489" s="521"/>
      <c r="AD489" s="521"/>
      <c r="AE489" s="521"/>
      <c r="AF489" s="513"/>
      <c r="AG489" s="743"/>
      <c r="AH489" s="743"/>
      <c r="AI489" s="743"/>
      <c r="AJ489" s="743"/>
      <c r="AK489" s="336"/>
      <c r="AL489" s="336"/>
      <c r="AM489" s="336"/>
      <c r="AN489" s="336"/>
      <c r="AO489" s="336"/>
      <c r="AP489" s="336"/>
      <c r="AQ489" s="336"/>
      <c r="AR489" s="336"/>
      <c r="AS489" s="336"/>
      <c r="AT489" s="336"/>
    </row>
    <row r="490" spans="1:46" ht="18" customHeight="1">
      <c r="A490" s="90"/>
      <c r="B490" s="336"/>
      <c r="C490" s="336"/>
      <c r="D490" s="336"/>
      <c r="E490" s="336"/>
      <c r="F490" s="336"/>
      <c r="G490" s="336"/>
      <c r="H490" s="336"/>
      <c r="I490" s="336"/>
      <c r="J490" s="336"/>
      <c r="K490" s="96"/>
      <c r="L490" s="341"/>
      <c r="M490" s="341"/>
      <c r="N490" s="341"/>
      <c r="O490" s="341"/>
      <c r="P490" s="341"/>
      <c r="Q490" s="336"/>
      <c r="R490" s="520" t="str">
        <f>AT463</f>
        <v>∞</v>
      </c>
      <c r="S490" s="520"/>
      <c r="T490" s="520"/>
      <c r="U490" s="520"/>
      <c r="V490" s="513"/>
      <c r="W490" s="520">
        <f>AT464</f>
        <v>12.5</v>
      </c>
      <c r="X490" s="520"/>
      <c r="Y490" s="520"/>
      <c r="Z490" s="520"/>
      <c r="AA490" s="513"/>
      <c r="AB490" s="520">
        <f>AT465</f>
        <v>12.5</v>
      </c>
      <c r="AC490" s="520"/>
      <c r="AD490" s="520"/>
      <c r="AE490" s="520"/>
      <c r="AF490" s="336"/>
      <c r="AG490" s="336"/>
      <c r="AH490" s="336"/>
      <c r="AI490" s="336"/>
      <c r="AJ490" s="336"/>
      <c r="AK490" s="336"/>
      <c r="AL490" s="336"/>
      <c r="AM490" s="336"/>
      <c r="AN490" s="336"/>
      <c r="AO490" s="336"/>
      <c r="AP490" s="336"/>
      <c r="AQ490" s="336"/>
      <c r="AR490" s="336"/>
      <c r="AS490" s="336"/>
      <c r="AT490" s="336"/>
    </row>
    <row r="491" spans="1:46" ht="18" customHeight="1">
      <c r="A491" s="90"/>
      <c r="B491" s="336"/>
      <c r="C491" s="336"/>
      <c r="D491" s="336"/>
      <c r="E491" s="336"/>
      <c r="F491" s="336"/>
      <c r="G491" s="336"/>
      <c r="H491" s="336"/>
      <c r="I491" s="336"/>
      <c r="J491" s="336"/>
      <c r="K491" s="336"/>
      <c r="L491" s="336"/>
      <c r="M491" s="336"/>
      <c r="N491" s="336"/>
      <c r="O491" s="336"/>
      <c r="P491" s="336"/>
      <c r="Q491" s="336"/>
      <c r="R491" s="336"/>
      <c r="S491" s="336"/>
      <c r="T491" s="336"/>
      <c r="U491" s="336"/>
      <c r="V491" s="336"/>
      <c r="W491" s="336"/>
      <c r="X491" s="336"/>
      <c r="Y491" s="336"/>
      <c r="Z491" s="336"/>
      <c r="AA491" s="336"/>
      <c r="AB491" s="336"/>
      <c r="AC491" s="336"/>
      <c r="AD491" s="336"/>
      <c r="AE491" s="336"/>
      <c r="AF491" s="336"/>
      <c r="AG491" s="336"/>
      <c r="AH491" s="336"/>
      <c r="AI491" s="336"/>
      <c r="AJ491" s="336"/>
      <c r="AK491" s="336"/>
      <c r="AL491" s="336"/>
      <c r="AM491" s="336"/>
      <c r="AN491" s="336"/>
      <c r="AO491" s="336"/>
      <c r="AP491" s="336"/>
      <c r="AQ491" s="336"/>
      <c r="AR491" s="336"/>
      <c r="AS491" s="336"/>
      <c r="AT491" s="336"/>
    </row>
    <row r="492" spans="1:46" ht="18" customHeight="1">
      <c r="A492" s="90"/>
      <c r="B492" s="97" t="s">
        <v>929</v>
      </c>
      <c r="D492" s="336"/>
      <c r="E492" s="336"/>
      <c r="F492" s="336"/>
      <c r="G492" s="336"/>
      <c r="H492" s="336"/>
      <c r="I492" s="336"/>
      <c r="J492" s="336"/>
      <c r="K492" s="336"/>
      <c r="L492" s="336"/>
      <c r="M492" s="336"/>
      <c r="N492" s="336"/>
      <c r="O492" s="336"/>
      <c r="P492" s="336"/>
      <c r="Q492" s="336"/>
      <c r="R492" s="348" t="s">
        <v>930</v>
      </c>
      <c r="S492" s="336"/>
      <c r="U492" s="336"/>
      <c r="V492" s="336"/>
      <c r="W492" s="336"/>
      <c r="X492" s="336"/>
      <c r="Y492" s="336"/>
      <c r="Z492" s="336"/>
      <c r="AA492" s="336"/>
      <c r="AB492" s="336"/>
      <c r="AC492" s="336"/>
      <c r="AD492" s="336"/>
      <c r="AE492" s="336"/>
      <c r="AF492" s="336"/>
      <c r="AG492" s="336"/>
      <c r="AH492" s="336"/>
      <c r="AI492" s="336"/>
      <c r="AJ492" s="336"/>
      <c r="AK492" s="336"/>
      <c r="AL492" s="336"/>
      <c r="AM492" s="336"/>
      <c r="AN492" s="336"/>
      <c r="AO492" s="336"/>
      <c r="AP492" s="336"/>
      <c r="AQ492" s="336"/>
      <c r="AR492" s="336"/>
      <c r="AS492" s="336"/>
      <c r="AT492" s="336"/>
    </row>
    <row r="493" spans="1:46" ht="18" customHeight="1">
      <c r="A493" s="90"/>
      <c r="B493" s="85" t="s">
        <v>931</v>
      </c>
      <c r="C493" s="97"/>
      <c r="D493" s="336"/>
      <c r="E493" s="336"/>
      <c r="F493" s="336"/>
      <c r="G493" s="336"/>
      <c r="H493" s="336"/>
      <c r="I493" s="336"/>
      <c r="J493" s="336"/>
      <c r="K493" s="336"/>
      <c r="L493" s="336"/>
      <c r="M493" s="336"/>
      <c r="N493" s="336"/>
      <c r="O493" s="336"/>
      <c r="P493" s="336"/>
      <c r="Q493" s="336"/>
      <c r="R493" s="348"/>
      <c r="S493" s="336"/>
      <c r="U493" s="336"/>
      <c r="V493" s="336"/>
      <c r="W493" s="336"/>
      <c r="X493" s="336"/>
      <c r="Y493" s="336"/>
      <c r="Z493" s="336"/>
      <c r="AA493" s="336"/>
      <c r="AB493" s="336"/>
      <c r="AC493" s="336"/>
      <c r="AD493" s="336"/>
      <c r="AE493" s="336"/>
      <c r="AF493" s="336"/>
      <c r="AG493" s="336"/>
      <c r="AH493" s="336"/>
      <c r="AI493" s="336"/>
      <c r="AJ493" s="336"/>
      <c r="AK493" s="336"/>
      <c r="AL493" s="336"/>
      <c r="AM493" s="336"/>
      <c r="AN493" s="336"/>
      <c r="AO493" s="336"/>
      <c r="AP493" s="336"/>
      <c r="AQ493" s="336"/>
      <c r="AR493" s="336"/>
      <c r="AS493" s="336"/>
      <c r="AT493" s="336"/>
    </row>
    <row r="494" spans="1:46" ht="18" customHeight="1">
      <c r="A494" s="90"/>
      <c r="B494" s="336" t="s">
        <v>932</v>
      </c>
      <c r="C494" s="336"/>
      <c r="D494" s="336"/>
      <c r="E494" s="336"/>
      <c r="F494" s="336"/>
      <c r="G494" s="505">
        <f ca="1">I463</f>
        <v>0</v>
      </c>
      <c r="H494" s="505"/>
      <c r="I494" s="505"/>
      <c r="J494" s="505"/>
      <c r="K494" s="505"/>
      <c r="L494" s="506">
        <f>N463</f>
        <v>0</v>
      </c>
      <c r="M494" s="506"/>
      <c r="N494" s="506"/>
      <c r="O494" s="506"/>
      <c r="P494" s="506"/>
      <c r="Q494" s="506"/>
      <c r="R494" s="336"/>
      <c r="S494" s="336"/>
      <c r="T494" s="336"/>
      <c r="U494" s="336"/>
      <c r="V494" s="336"/>
      <c r="W494" s="336"/>
      <c r="X494" s="336"/>
      <c r="Y494" s="336"/>
      <c r="Z494" s="336"/>
      <c r="AA494" s="336"/>
      <c r="AB494" s="336"/>
      <c r="AC494" s="336"/>
      <c r="AD494" s="336"/>
      <c r="AE494" s="336"/>
      <c r="AF494" s="336"/>
      <c r="AG494" s="336"/>
      <c r="AH494" s="336"/>
      <c r="AI494" s="336"/>
      <c r="AJ494" s="336"/>
      <c r="AK494" s="336"/>
      <c r="AL494" s="336"/>
      <c r="AM494" s="336"/>
      <c r="AN494" s="336"/>
      <c r="AO494" s="336"/>
      <c r="AP494" s="336"/>
      <c r="AQ494" s="336"/>
      <c r="AR494" s="336"/>
      <c r="AS494" s="336"/>
      <c r="AT494" s="336"/>
    </row>
    <row r="495" spans="1:46" ht="18" customHeight="1">
      <c r="A495" s="90"/>
      <c r="B495" s="336" t="s">
        <v>933</v>
      </c>
      <c r="C495" s="336"/>
      <c r="D495" s="336"/>
      <c r="E495" s="336"/>
      <c r="F495" s="336"/>
      <c r="G495" s="336"/>
      <c r="H495" s="336"/>
      <c r="I495" s="336" t="str">
        <f ca="1">"※ 교정성적서에 측정불확도가 "&amp;P496&amp;" "&amp;R496&amp;" 이다."</f>
        <v>※ 교정성적서에 측정불확도가 0 0 이다.</v>
      </c>
      <c r="J495" s="336"/>
      <c r="K495" s="336"/>
      <c r="L495" s="336"/>
      <c r="M495" s="336"/>
      <c r="N495" s="336"/>
      <c r="O495" s="336"/>
      <c r="P495" s="336"/>
      <c r="Q495" s="336"/>
      <c r="R495" s="336"/>
      <c r="S495" s="336"/>
      <c r="T495" s="336"/>
      <c r="U495" s="93"/>
      <c r="V495" s="93"/>
      <c r="W495" s="93"/>
      <c r="X495" s="336"/>
      <c r="Y495" s="94"/>
      <c r="Z495" s="94"/>
      <c r="AA495" s="94"/>
      <c r="AB495" s="92" t="s">
        <v>934</v>
      </c>
      <c r="AC495" s="92"/>
      <c r="AD495" s="336"/>
      <c r="AE495" s="336"/>
      <c r="AF495" s="336"/>
      <c r="AG495" s="336"/>
      <c r="AH495" s="336"/>
      <c r="AI495" s="336"/>
      <c r="AJ495" s="336"/>
      <c r="AK495" s="336"/>
      <c r="AL495" s="336"/>
      <c r="AM495" s="336"/>
      <c r="AN495" s="336"/>
      <c r="AO495" s="336"/>
      <c r="AP495" s="336"/>
      <c r="AQ495" s="336"/>
      <c r="AR495" s="336"/>
      <c r="AS495" s="336"/>
      <c r="AT495" s="336"/>
    </row>
    <row r="496" spans="1:46" ht="18" customHeight="1">
      <c r="A496" s="90"/>
      <c r="B496" s="336"/>
      <c r="C496" s="336"/>
      <c r="D496" s="336"/>
      <c r="E496" s="336"/>
      <c r="F496" s="336"/>
      <c r="G496" s="336"/>
      <c r="H496" s="336"/>
      <c r="I496" s="512" t="s">
        <v>935</v>
      </c>
      <c r="J496" s="512"/>
      <c r="K496" s="512"/>
      <c r="L496" s="513" t="s">
        <v>919</v>
      </c>
      <c r="M496" s="514" t="s">
        <v>712</v>
      </c>
      <c r="N496" s="514"/>
      <c r="O496" s="513" t="s">
        <v>690</v>
      </c>
      <c r="P496" s="515">
        <f ca="1">OFFSET(Calcu_ADJ!G44,$AL$319,0)</f>
        <v>0</v>
      </c>
      <c r="Q496" s="515"/>
      <c r="R496" s="516">
        <f>Calcu_ADJ!G44</f>
        <v>0</v>
      </c>
      <c r="S496" s="516"/>
      <c r="T496" s="517" t="s">
        <v>919</v>
      </c>
      <c r="U496" s="508">
        <f ca="1">P496/P497</f>
        <v>0</v>
      </c>
      <c r="V496" s="508"/>
      <c r="W496" s="518">
        <f>R496</f>
        <v>0</v>
      </c>
      <c r="X496" s="518"/>
      <c r="Y496" s="517" t="s">
        <v>690</v>
      </c>
      <c r="Z496" s="508" t="str">
        <f ca="1">Q463</f>
        <v>Pa</v>
      </c>
      <c r="AA496" s="508"/>
      <c r="AB496" s="508"/>
      <c r="AC496" s="518" t="str">
        <f>V463</f>
        <v>Pa</v>
      </c>
      <c r="AD496" s="518"/>
      <c r="AE496" s="99"/>
      <c r="AF496" s="99"/>
      <c r="AG496" s="99"/>
      <c r="AH496" s="99"/>
      <c r="AI496" s="99"/>
      <c r="AJ496" s="99"/>
      <c r="AK496" s="99"/>
      <c r="AL496" s="336"/>
      <c r="AM496" s="336"/>
      <c r="AN496" s="336"/>
      <c r="AO496" s="336"/>
      <c r="AP496" s="336"/>
      <c r="AQ496" s="336"/>
      <c r="AR496" s="336"/>
      <c r="AS496" s="336"/>
      <c r="AT496" s="336"/>
    </row>
    <row r="497" spans="1:48" ht="18" customHeight="1">
      <c r="A497" s="90"/>
      <c r="B497" s="336"/>
      <c r="C497" s="336"/>
      <c r="D497" s="336"/>
      <c r="E497" s="336"/>
      <c r="F497" s="336"/>
      <c r="G497" s="336"/>
      <c r="H497" s="336"/>
      <c r="I497" s="512"/>
      <c r="J497" s="512"/>
      <c r="K497" s="512"/>
      <c r="L497" s="513"/>
      <c r="M497" s="519" t="s">
        <v>936</v>
      </c>
      <c r="N497" s="519"/>
      <c r="O497" s="513"/>
      <c r="P497" s="520">
        <v>2</v>
      </c>
      <c r="Q497" s="520"/>
      <c r="R497" s="520"/>
      <c r="S497" s="520"/>
      <c r="T497" s="517"/>
      <c r="U497" s="508"/>
      <c r="V497" s="508"/>
      <c r="W497" s="518"/>
      <c r="X497" s="518"/>
      <c r="Y497" s="517"/>
      <c r="Z497" s="508"/>
      <c r="AA497" s="508"/>
      <c r="AB497" s="508"/>
      <c r="AC497" s="518"/>
      <c r="AD497" s="518"/>
      <c r="AE497" s="336"/>
      <c r="AF497" s="338"/>
      <c r="AG497" s="338"/>
      <c r="AH497" s="338"/>
      <c r="AI497" s="336"/>
      <c r="AJ497" s="100"/>
      <c r="AK497" s="338"/>
      <c r="AL497" s="338"/>
      <c r="AM497" s="338"/>
      <c r="AN497" s="332"/>
      <c r="AO497" s="332"/>
      <c r="AP497" s="336"/>
      <c r="AQ497" s="336"/>
      <c r="AR497" s="336"/>
      <c r="AS497" s="336"/>
      <c r="AT497" s="336"/>
    </row>
    <row r="498" spans="1:48" ht="18" customHeight="1">
      <c r="A498" s="90"/>
      <c r="B498" s="336" t="s">
        <v>937</v>
      </c>
      <c r="C498" s="336"/>
      <c r="D498" s="336"/>
      <c r="E498" s="336"/>
      <c r="F498" s="336"/>
      <c r="G498" s="336"/>
      <c r="H498" s="508" t="str">
        <f>Y463</f>
        <v>정규</v>
      </c>
      <c r="I498" s="508"/>
      <c r="J498" s="508"/>
      <c r="K498" s="508"/>
      <c r="L498" s="508"/>
      <c r="M498" s="336"/>
      <c r="N498" s="336"/>
      <c r="O498" s="336"/>
      <c r="P498" s="336"/>
      <c r="Q498" s="336"/>
      <c r="R498" s="336"/>
      <c r="S498" s="336"/>
      <c r="T498" s="336"/>
      <c r="U498" s="336"/>
      <c r="V498" s="336"/>
      <c r="W498" s="336"/>
      <c r="X498" s="336"/>
      <c r="Y498" s="336"/>
      <c r="Z498" s="336"/>
      <c r="AA498" s="336"/>
      <c r="AB498" s="336"/>
      <c r="AC498" s="336"/>
      <c r="AD498" s="336"/>
      <c r="AE498" s="336"/>
      <c r="AF498" s="336"/>
      <c r="AG498" s="336"/>
      <c r="AH498" s="336"/>
      <c r="AI498" s="336"/>
      <c r="AJ498" s="336"/>
      <c r="AK498" s="336"/>
      <c r="AL498" s="336"/>
      <c r="AM498" s="336"/>
      <c r="AN498" s="336"/>
      <c r="AO498" s="336"/>
      <c r="AP498" s="336"/>
      <c r="AQ498" s="336"/>
      <c r="AR498" s="336"/>
      <c r="AS498" s="336"/>
      <c r="AT498" s="336"/>
    </row>
    <row r="499" spans="1:48" ht="18" customHeight="1">
      <c r="A499" s="90"/>
      <c r="B499" s="508" t="s">
        <v>938</v>
      </c>
      <c r="C499" s="508"/>
      <c r="D499" s="508"/>
      <c r="E499" s="508"/>
      <c r="F499" s="508"/>
      <c r="G499" s="508"/>
      <c r="H499" s="336"/>
      <c r="I499" s="336"/>
      <c r="J499" s="336"/>
      <c r="K499" s="336"/>
      <c r="L499" s="336"/>
      <c r="M499" s="336"/>
      <c r="N499" s="336"/>
      <c r="O499" s="336"/>
      <c r="P499" s="336"/>
      <c r="Q499" s="521">
        <v>1</v>
      </c>
      <c r="R499" s="521"/>
      <c r="S499" s="521"/>
      <c r="T499" s="521"/>
      <c r="U499" s="521"/>
      <c r="V499" s="521"/>
      <c r="W499" s="521"/>
      <c r="X499" s="521"/>
      <c r="Y499" s="521"/>
      <c r="Z499" s="521"/>
      <c r="AA499" s="521"/>
      <c r="AB499" s="521"/>
      <c r="AC499" s="521"/>
      <c r="AD499" s="521"/>
      <c r="AE499" s="513" t="s">
        <v>919</v>
      </c>
      <c r="AF499" s="745" t="e">
        <f ca="1">1/(Q500*X500)</f>
        <v>#VALUE!</v>
      </c>
      <c r="AG499" s="745"/>
      <c r="AH499" s="745"/>
      <c r="AI499" s="745"/>
      <c r="AJ499" s="511" t="s">
        <v>895</v>
      </c>
      <c r="AK499" s="511"/>
      <c r="AL499" s="511"/>
      <c r="AM499" s="511"/>
      <c r="AN499" s="336"/>
      <c r="AO499" s="336"/>
      <c r="AP499" s="336"/>
      <c r="AQ499" s="336"/>
      <c r="AR499" s="336"/>
      <c r="AS499" s="336"/>
      <c r="AT499" s="336"/>
    </row>
    <row r="500" spans="1:48" ht="18" customHeight="1">
      <c r="A500" s="90"/>
      <c r="B500" s="508"/>
      <c r="C500" s="508"/>
      <c r="D500" s="508"/>
      <c r="E500" s="508"/>
      <c r="F500" s="508"/>
      <c r="G500" s="508"/>
      <c r="H500" s="336"/>
      <c r="I500" s="336"/>
      <c r="J500" s="336"/>
      <c r="K500" s="336"/>
      <c r="L500" s="336"/>
      <c r="M500" s="336"/>
      <c r="N500" s="336"/>
      <c r="O500" s="336"/>
      <c r="P500" s="336"/>
      <c r="Q500" s="739" t="str">
        <f ca="1">I464</f>
        <v>kg/㎥</v>
      </c>
      <c r="R500" s="739"/>
      <c r="S500" s="739"/>
      <c r="T500" s="507" t="s">
        <v>692</v>
      </c>
      <c r="U500" s="507"/>
      <c r="V500" s="507"/>
      <c r="W500" s="98" t="s">
        <v>921</v>
      </c>
      <c r="X500" s="740">
        <f>I465</f>
        <v>9.8066499999999994</v>
      </c>
      <c r="Y500" s="740"/>
      <c r="Z500" s="740"/>
      <c r="AA500" s="740"/>
      <c r="AB500" s="507" t="s">
        <v>696</v>
      </c>
      <c r="AC500" s="507"/>
      <c r="AD500" s="507"/>
      <c r="AE500" s="513"/>
      <c r="AF500" s="745"/>
      <c r="AG500" s="745"/>
      <c r="AH500" s="745"/>
      <c r="AI500" s="745"/>
      <c r="AJ500" s="511"/>
      <c r="AK500" s="511"/>
      <c r="AL500" s="511"/>
      <c r="AM500" s="511"/>
      <c r="AN500" s="336"/>
      <c r="AO500" s="336"/>
      <c r="AP500" s="336"/>
      <c r="AQ500" s="336"/>
      <c r="AR500" s="336"/>
      <c r="AS500" s="336"/>
      <c r="AT500" s="336"/>
    </row>
    <row r="501" spans="1:48" ht="18" customHeight="1">
      <c r="A501" s="90"/>
      <c r="B501" s="336" t="s">
        <v>939</v>
      </c>
      <c r="C501" s="336"/>
      <c r="D501" s="336"/>
      <c r="E501" s="336"/>
      <c r="F501" s="336"/>
      <c r="G501" s="336"/>
      <c r="H501" s="336"/>
      <c r="I501" s="336"/>
      <c r="J501" s="337" t="s">
        <v>927</v>
      </c>
      <c r="K501" s="745" t="e">
        <f ca="1">AF499</f>
        <v>#VALUE!</v>
      </c>
      <c r="L501" s="745"/>
      <c r="M501" s="745"/>
      <c r="N501" s="745"/>
      <c r="O501" s="511" t="s">
        <v>940</v>
      </c>
      <c r="P501" s="511"/>
      <c r="Q501" s="511"/>
      <c r="R501" s="511"/>
      <c r="S501" s="337" t="s">
        <v>927</v>
      </c>
      <c r="T501" s="340" t="s">
        <v>694</v>
      </c>
      <c r="U501" s="508" t="str">
        <f ca="1">Z496</f>
        <v>Pa</v>
      </c>
      <c r="V501" s="508"/>
      <c r="W501" s="508"/>
      <c r="X501" s="508" t="str">
        <f>AC496</f>
        <v>Pa</v>
      </c>
      <c r="Y501" s="508"/>
      <c r="Z501" s="337" t="s">
        <v>919</v>
      </c>
      <c r="AA501" s="508" t="e">
        <f ca="1">ABS(K501*U501)</f>
        <v>#VALUE!</v>
      </c>
      <c r="AB501" s="508"/>
      <c r="AC501" s="508"/>
      <c r="AD501" s="508" t="s">
        <v>906</v>
      </c>
      <c r="AE501" s="508"/>
      <c r="AF501" s="336"/>
      <c r="AG501" s="336"/>
      <c r="AH501" s="336"/>
      <c r="AI501" s="336"/>
      <c r="AJ501" s="336"/>
      <c r="AK501" s="336"/>
      <c r="AL501" s="336"/>
      <c r="AM501" s="336"/>
      <c r="AN501" s="336"/>
      <c r="AO501" s="336"/>
      <c r="AP501" s="336"/>
      <c r="AQ501" s="336"/>
      <c r="AR501" s="336"/>
      <c r="AS501" s="336"/>
      <c r="AT501" s="336"/>
    </row>
    <row r="502" spans="1:48" ht="18" customHeight="1">
      <c r="A502" s="90"/>
      <c r="B502" s="336" t="s">
        <v>941</v>
      </c>
      <c r="C502" s="336"/>
      <c r="D502" s="336"/>
      <c r="E502" s="336"/>
      <c r="F502" s="336"/>
      <c r="G502" s="336"/>
      <c r="H502" s="336"/>
      <c r="I502" s="336"/>
      <c r="J502" s="336"/>
      <c r="K502" s="96" t="s">
        <v>942</v>
      </c>
      <c r="L502" s="508" t="str">
        <f>AT463</f>
        <v>∞</v>
      </c>
      <c r="M502" s="508"/>
      <c r="N502" s="508"/>
      <c r="O502" s="508"/>
      <c r="P502" s="508"/>
      <c r="Q502" s="336"/>
      <c r="R502" s="336"/>
      <c r="S502" s="336"/>
      <c r="T502" s="336"/>
      <c r="U502" s="336"/>
      <c r="V502" s="336"/>
      <c r="W502" s="336"/>
      <c r="X502" s="336"/>
      <c r="Y502" s="336"/>
      <c r="Z502" s="336"/>
      <c r="AA502" s="336"/>
      <c r="AB502" s="336"/>
      <c r="AC502" s="336"/>
      <c r="AD502" s="336"/>
      <c r="AE502" s="336"/>
      <c r="AF502" s="336"/>
      <c r="AG502" s="336"/>
      <c r="AH502" s="336"/>
      <c r="AI502" s="336"/>
      <c r="AJ502" s="336"/>
      <c r="AK502" s="336"/>
      <c r="AL502" s="336"/>
      <c r="AM502" s="336"/>
      <c r="AN502" s="336"/>
      <c r="AO502" s="336"/>
      <c r="AP502" s="336"/>
      <c r="AQ502" s="336"/>
      <c r="AR502" s="336"/>
      <c r="AS502" s="336"/>
      <c r="AT502" s="336"/>
    </row>
    <row r="503" spans="1:48" ht="18" customHeight="1">
      <c r="A503" s="90"/>
      <c r="B503" s="336"/>
      <c r="C503" s="336"/>
      <c r="D503" s="336"/>
      <c r="E503" s="336"/>
      <c r="F503" s="336"/>
      <c r="G503" s="336"/>
      <c r="H503" s="336"/>
      <c r="I503" s="336"/>
      <c r="J503" s="336"/>
      <c r="K503" s="336"/>
      <c r="L503" s="336"/>
      <c r="M503" s="336"/>
      <c r="N503" s="336"/>
      <c r="O503" s="336"/>
      <c r="P503" s="336"/>
      <c r="Q503" s="336"/>
      <c r="R503" s="336"/>
      <c r="S503" s="336"/>
      <c r="T503" s="336"/>
      <c r="U503" s="336"/>
      <c r="V503" s="336"/>
      <c r="W503" s="336"/>
      <c r="X503" s="336"/>
      <c r="Y503" s="336"/>
      <c r="Z503" s="336"/>
      <c r="AA503" s="336"/>
      <c r="AB503" s="336"/>
      <c r="AC503" s="336"/>
      <c r="AD503" s="336"/>
      <c r="AE503" s="336"/>
      <c r="AF503" s="336"/>
      <c r="AG503" s="336"/>
      <c r="AH503" s="336"/>
      <c r="AI503" s="336"/>
      <c r="AJ503" s="336"/>
      <c r="AK503" s="336"/>
      <c r="AL503" s="336"/>
      <c r="AM503" s="336"/>
      <c r="AN503" s="336"/>
      <c r="AO503" s="336"/>
      <c r="AP503" s="336"/>
      <c r="AQ503" s="336"/>
      <c r="AR503" s="336"/>
      <c r="AS503" s="336"/>
      <c r="AT503" s="336"/>
    </row>
    <row r="504" spans="1:48" ht="18" customHeight="1">
      <c r="A504" s="90"/>
      <c r="B504" s="97" t="str">
        <f>"나) "&amp;Calcu_ADJ!H42&amp;" 보정에 의한 표준불확도,"</f>
        <v>나) 0밀도 보정에 의한 표준불확도,</v>
      </c>
      <c r="D504" s="336"/>
      <c r="E504" s="336"/>
      <c r="F504" s="336"/>
      <c r="G504" s="336"/>
      <c r="H504" s="336"/>
      <c r="I504" s="336"/>
      <c r="J504" s="336"/>
      <c r="K504" s="336"/>
      <c r="L504" s="336"/>
      <c r="M504" s="336"/>
      <c r="N504" s="336"/>
      <c r="O504" s="336"/>
      <c r="P504" s="336"/>
      <c r="Q504" s="336"/>
      <c r="S504" s="348" t="s">
        <v>943</v>
      </c>
      <c r="U504" s="336"/>
      <c r="V504" s="336"/>
      <c r="W504" s="336"/>
      <c r="X504" s="336"/>
      <c r="Y504" s="336"/>
      <c r="Z504" s="336"/>
      <c r="AA504" s="336"/>
      <c r="AB504" s="336"/>
      <c r="AC504" s="336"/>
      <c r="AD504" s="336"/>
      <c r="AE504" s="336"/>
      <c r="AF504" s="336"/>
      <c r="AG504" s="336"/>
      <c r="AH504" s="336"/>
      <c r="AI504" s="336"/>
      <c r="AJ504" s="336"/>
      <c r="AK504" s="336"/>
      <c r="AL504" s="336"/>
      <c r="AM504" s="336"/>
      <c r="AN504" s="336"/>
      <c r="AO504" s="336"/>
      <c r="AP504" s="336"/>
      <c r="AQ504" s="336"/>
      <c r="AR504" s="336"/>
      <c r="AS504" s="336"/>
      <c r="AT504" s="336"/>
    </row>
    <row r="505" spans="1:48" ht="18" customHeight="1">
      <c r="A505" s="90"/>
      <c r="B505" s="79" t="s">
        <v>944</v>
      </c>
      <c r="C505" s="336"/>
      <c r="D505" s="336"/>
      <c r="E505" s="336"/>
      <c r="F505" s="336"/>
      <c r="G505" s="336"/>
      <c r="H505" s="336"/>
      <c r="I505" s="336"/>
      <c r="J505" s="336"/>
      <c r="K505" s="336"/>
      <c r="L505" s="336"/>
      <c r="M505" s="336"/>
      <c r="N505" s="336"/>
      <c r="O505" s="336"/>
      <c r="P505" s="336"/>
      <c r="R505" s="348"/>
      <c r="T505" s="336"/>
      <c r="U505" s="336"/>
      <c r="V505" s="336"/>
      <c r="W505" s="336"/>
      <c r="X505" s="336"/>
      <c r="Y505" s="336"/>
      <c r="Z505" s="336"/>
      <c r="AA505" s="336"/>
      <c r="AB505" s="336"/>
      <c r="AC505" s="336"/>
      <c r="AD505" s="336"/>
      <c r="AE505" s="336"/>
      <c r="AF505" s="336"/>
      <c r="AG505" s="336"/>
      <c r="AH505" s="336"/>
      <c r="AI505" s="336"/>
      <c r="AJ505" s="336"/>
      <c r="AK505" s="336"/>
      <c r="AL505" s="336"/>
      <c r="AM505" s="336"/>
      <c r="AN505" s="336"/>
      <c r="AO505" s="336"/>
      <c r="AP505" s="336"/>
      <c r="AQ505" s="336"/>
      <c r="AR505" s="336"/>
      <c r="AS505" s="336"/>
    </row>
    <row r="506" spans="1:48" ht="18" customHeight="1">
      <c r="A506" s="90"/>
      <c r="B506" s="79" t="str">
        <f>"※ "&amp;Calcu_ADJ!D3&amp;"밀도 : "</f>
        <v xml:space="preserve">※ 0밀도 : </v>
      </c>
      <c r="C506" s="336"/>
      <c r="D506" s="336"/>
      <c r="E506" s="336"/>
      <c r="F506" s="336"/>
      <c r="G506" s="336"/>
      <c r="H506" s="746" t="str">
        <f ca="1">I464</f>
        <v>kg/㎥</v>
      </c>
      <c r="I506" s="746"/>
      <c r="J506" s="746"/>
      <c r="K506" s="745" t="s">
        <v>692</v>
      </c>
      <c r="L506" s="745"/>
      <c r="M506" s="745"/>
      <c r="N506" s="336"/>
      <c r="O506" s="336"/>
      <c r="Q506" s="348"/>
      <c r="S506" s="336"/>
      <c r="T506" s="336"/>
      <c r="U506" s="336"/>
      <c r="V506" s="336"/>
      <c r="W506" s="336"/>
      <c r="X506" s="336"/>
      <c r="Y506" s="336"/>
      <c r="Z506" s="336"/>
      <c r="AA506" s="336"/>
      <c r="AB506" s="336"/>
      <c r="AC506" s="336"/>
      <c r="AD506" s="336"/>
      <c r="AE506" s="336"/>
      <c r="AF506" s="336"/>
      <c r="AG506" s="336"/>
      <c r="AH506" s="336"/>
      <c r="AI506" s="336"/>
      <c r="AJ506" s="336"/>
      <c r="AK506" s="336"/>
      <c r="AL506" s="336"/>
      <c r="AM506" s="336"/>
      <c r="AN506" s="336"/>
      <c r="AO506" s="336"/>
      <c r="AP506" s="336"/>
      <c r="AQ506" s="336"/>
      <c r="AR506" s="336"/>
    </row>
    <row r="507" spans="1:48" ht="18" customHeight="1">
      <c r="A507" s="90"/>
      <c r="B507" s="79" t="s">
        <v>945</v>
      </c>
      <c r="C507" s="336"/>
      <c r="D507" s="336"/>
      <c r="E507" s="336"/>
      <c r="F507" s="336"/>
      <c r="G507" s="336"/>
      <c r="H507" s="336"/>
      <c r="I507" s="336"/>
      <c r="J507" s="747" t="str">
        <f ca="1">OFFSET(IF(Calcu_ADJ!D3="담수",표준압력!AJ17,표준압력!AC17),$AL$319,0)</f>
        <v>%</v>
      </c>
      <c r="K507" s="747"/>
      <c r="L507" s="747"/>
      <c r="M507" s="747"/>
      <c r="N507" s="336"/>
      <c r="O507" s="336"/>
      <c r="P507" s="336"/>
      <c r="R507" s="348"/>
      <c r="T507" s="336"/>
      <c r="U507" s="336"/>
      <c r="V507" s="336"/>
      <c r="W507" s="336"/>
      <c r="X507" s="336"/>
      <c r="Y507" s="336"/>
      <c r="Z507" s="336"/>
      <c r="AA507" s="336"/>
      <c r="AB507" s="336"/>
      <c r="AC507" s="336"/>
      <c r="AD507" s="336"/>
      <c r="AE507" s="336"/>
      <c r="AF507" s="336"/>
      <c r="AG507" s="336"/>
      <c r="AH507" s="336"/>
      <c r="AI507" s="336"/>
      <c r="AJ507" s="336"/>
      <c r="AK507" s="336"/>
      <c r="AL507" s="336"/>
      <c r="AM507" s="336"/>
      <c r="AN507" s="336"/>
      <c r="AO507" s="336"/>
      <c r="AP507" s="336"/>
      <c r="AQ507" s="336"/>
      <c r="AR507" s="336"/>
      <c r="AS507" s="336"/>
    </row>
    <row r="508" spans="1:48" ht="18" customHeight="1">
      <c r="A508" s="90"/>
      <c r="B508" s="79" t="s">
        <v>946</v>
      </c>
      <c r="C508" s="336"/>
      <c r="D508" s="336"/>
      <c r="E508" s="336"/>
      <c r="F508" s="336"/>
      <c r="G508" s="336"/>
      <c r="H508" s="336"/>
      <c r="I508" s="748" t="str">
        <f ca="1">OFFSET(Calcu_ADJ!H44,$AL$319,0)</f>
        <v>kg/㎥</v>
      </c>
      <c r="J508" s="748"/>
      <c r="K508" s="748"/>
      <c r="L508" s="745" t="s">
        <v>692</v>
      </c>
      <c r="M508" s="745"/>
      <c r="N508" s="745"/>
      <c r="O508" s="336"/>
      <c r="P508" s="336"/>
      <c r="R508" s="348"/>
      <c r="T508" s="336"/>
      <c r="U508" s="336"/>
      <c r="V508" s="336"/>
      <c r="W508" s="336"/>
      <c r="X508" s="336"/>
      <c r="Y508" s="336"/>
      <c r="Z508" s="336"/>
      <c r="AA508" s="336"/>
      <c r="AB508" s="336"/>
      <c r="AC508" s="336"/>
      <c r="AD508" s="336"/>
      <c r="AE508" s="336"/>
      <c r="AF508" s="336"/>
      <c r="AG508" s="336"/>
      <c r="AH508" s="336"/>
      <c r="AI508" s="336"/>
      <c r="AJ508" s="336"/>
      <c r="AK508" s="336"/>
      <c r="AL508" s="336"/>
      <c r="AM508" s="336"/>
      <c r="AN508" s="336"/>
      <c r="AO508" s="336"/>
      <c r="AP508" s="336"/>
      <c r="AQ508" s="336"/>
      <c r="AR508" s="336"/>
      <c r="AS508" s="336"/>
    </row>
    <row r="509" spans="1:48" ht="18" customHeight="1">
      <c r="A509" s="90"/>
      <c r="B509" s="336" t="s">
        <v>947</v>
      </c>
      <c r="C509" s="336"/>
      <c r="D509" s="336"/>
      <c r="E509" s="336"/>
      <c r="F509" s="336"/>
      <c r="G509" s="505" t="str">
        <f ca="1">I464</f>
        <v>kg/㎥</v>
      </c>
      <c r="H509" s="505"/>
      <c r="I509" s="505"/>
      <c r="J509" s="505"/>
      <c r="K509" s="505"/>
      <c r="L509" s="745" t="s">
        <v>692</v>
      </c>
      <c r="M509" s="745"/>
      <c r="N509" s="745"/>
      <c r="O509" s="336"/>
      <c r="P509" s="336"/>
      <c r="R509" s="348"/>
      <c r="T509" s="336"/>
      <c r="U509" s="336"/>
      <c r="V509" s="336"/>
      <c r="W509" s="336"/>
      <c r="X509" s="336"/>
      <c r="Y509" s="336"/>
      <c r="Z509" s="336"/>
      <c r="AA509" s="336"/>
      <c r="AB509" s="336"/>
      <c r="AC509" s="336"/>
      <c r="AD509" s="336"/>
      <c r="AE509" s="336"/>
      <c r="AF509" s="336"/>
      <c r="AG509" s="336"/>
      <c r="AH509" s="336"/>
      <c r="AI509" s="336"/>
      <c r="AJ509" s="336"/>
      <c r="AK509" s="336"/>
      <c r="AL509" s="336"/>
      <c r="AM509" s="336"/>
      <c r="AN509" s="336"/>
      <c r="AO509" s="336"/>
      <c r="AP509" s="336"/>
      <c r="AQ509" s="336"/>
      <c r="AR509" s="336"/>
      <c r="AS509" s="336"/>
      <c r="AT509" s="336"/>
    </row>
    <row r="510" spans="1:48" ht="18" customHeight="1">
      <c r="A510" s="90"/>
      <c r="B510" s="508" t="s">
        <v>729</v>
      </c>
      <c r="C510" s="508"/>
      <c r="D510" s="508"/>
      <c r="E510" s="508"/>
      <c r="F510" s="508"/>
      <c r="G510" s="508"/>
      <c r="H510" s="508"/>
      <c r="I510" s="512" t="s">
        <v>948</v>
      </c>
      <c r="J510" s="512"/>
      <c r="K510" s="512"/>
      <c r="L510" s="513" t="s">
        <v>919</v>
      </c>
      <c r="M510" s="514" t="s">
        <v>949</v>
      </c>
      <c r="N510" s="514"/>
      <c r="O510" s="513" t="s">
        <v>690</v>
      </c>
      <c r="P510" s="749" t="str">
        <f ca="1">I508</f>
        <v>kg/㎥</v>
      </c>
      <c r="Q510" s="749"/>
      <c r="R510" s="749"/>
      <c r="S510" s="750" t="s">
        <v>692</v>
      </c>
      <c r="T510" s="750"/>
      <c r="U510" s="750"/>
      <c r="V510" s="517" t="s">
        <v>919</v>
      </c>
      <c r="W510" s="508" t="e">
        <f ca="1">P510/SQRT(3)</f>
        <v>#VALUE!</v>
      </c>
      <c r="X510" s="508"/>
      <c r="Y510" s="508"/>
      <c r="Z510" s="518" t="str">
        <f>S510</f>
        <v>kg/㎥</v>
      </c>
      <c r="AA510" s="518"/>
      <c r="AB510" s="518"/>
      <c r="AC510" s="336"/>
      <c r="AD510" s="336"/>
      <c r="AE510" s="91"/>
      <c r="AF510" s="91"/>
      <c r="AG510" s="99"/>
      <c r="AH510" s="99"/>
      <c r="AI510" s="99"/>
      <c r="AJ510" s="99"/>
      <c r="AK510" s="99"/>
      <c r="AL510" s="99"/>
      <c r="AM510" s="99"/>
      <c r="AN510" s="336"/>
      <c r="AO510" s="336"/>
      <c r="AP510" s="336"/>
      <c r="AQ510" s="336"/>
      <c r="AR510" s="336"/>
      <c r="AS510" s="336"/>
      <c r="AT510" s="336"/>
      <c r="AU510" s="336"/>
      <c r="AV510" s="336"/>
    </row>
    <row r="511" spans="1:48" ht="18" customHeight="1">
      <c r="A511" s="90"/>
      <c r="B511" s="508"/>
      <c r="C511" s="508"/>
      <c r="D511" s="508"/>
      <c r="E511" s="508"/>
      <c r="F511" s="508"/>
      <c r="G511" s="508"/>
      <c r="H511" s="508"/>
      <c r="I511" s="512"/>
      <c r="J511" s="512"/>
      <c r="K511" s="512"/>
      <c r="L511" s="513"/>
      <c r="M511" s="519"/>
      <c r="N511" s="519"/>
      <c r="O511" s="513"/>
      <c r="P511" s="352"/>
      <c r="Q511" s="352"/>
      <c r="R511" s="352"/>
      <c r="S511" s="352"/>
      <c r="T511" s="352"/>
      <c r="U511" s="352"/>
      <c r="V511" s="517"/>
      <c r="W511" s="508"/>
      <c r="X511" s="508"/>
      <c r="Y511" s="508"/>
      <c r="Z511" s="518"/>
      <c r="AA511" s="518"/>
      <c r="AB511" s="518"/>
      <c r="AC511" s="336"/>
      <c r="AD511" s="336"/>
      <c r="AE511" s="91"/>
      <c r="AF511" s="91"/>
      <c r="AG511" s="336"/>
      <c r="AH511" s="338"/>
      <c r="AI511" s="338"/>
      <c r="AJ511" s="338"/>
      <c r="AK511" s="336"/>
      <c r="AL511" s="100"/>
      <c r="AM511" s="338"/>
      <c r="AN511" s="338"/>
      <c r="AO511" s="338"/>
      <c r="AP511" s="332"/>
      <c r="AQ511" s="332"/>
      <c r="AR511" s="336"/>
      <c r="AS511" s="336"/>
      <c r="AT511" s="336"/>
      <c r="AU511" s="336"/>
      <c r="AV511" s="336"/>
    </row>
    <row r="512" spans="1:48" ht="18" customHeight="1">
      <c r="A512" s="90"/>
      <c r="B512" s="336" t="s">
        <v>950</v>
      </c>
      <c r="C512" s="336"/>
      <c r="D512" s="336"/>
      <c r="E512" s="336"/>
      <c r="F512" s="336"/>
      <c r="G512" s="336"/>
      <c r="H512" s="508" t="str">
        <f>Y464</f>
        <v>직사각형</v>
      </c>
      <c r="I512" s="508"/>
      <c r="J512" s="508"/>
      <c r="K512" s="508"/>
      <c r="L512" s="508"/>
      <c r="M512" s="336"/>
      <c r="N512" s="336"/>
      <c r="O512" s="336"/>
      <c r="P512" s="336"/>
      <c r="Q512" s="336"/>
      <c r="R512" s="336"/>
      <c r="S512" s="336"/>
      <c r="T512" s="336"/>
      <c r="U512" s="336"/>
      <c r="V512" s="336"/>
      <c r="W512" s="336"/>
      <c r="X512" s="336"/>
      <c r="Y512" s="336"/>
      <c r="Z512" s="336"/>
      <c r="AA512" s="336"/>
      <c r="AB512" s="336"/>
      <c r="AC512" s="336"/>
      <c r="AD512" s="336"/>
      <c r="AE512" s="336"/>
      <c r="AF512" s="336"/>
      <c r="AG512" s="336"/>
      <c r="AH512" s="336"/>
      <c r="AI512" s="336"/>
      <c r="AJ512" s="336"/>
      <c r="AK512" s="336"/>
      <c r="AP512" s="336"/>
      <c r="AQ512" s="336"/>
      <c r="AR512" s="336"/>
      <c r="AS512" s="336"/>
      <c r="AT512" s="336"/>
    </row>
    <row r="513" spans="1:48" ht="18" customHeight="1">
      <c r="A513" s="90"/>
      <c r="B513" s="508" t="s">
        <v>951</v>
      </c>
      <c r="C513" s="508"/>
      <c r="D513" s="508"/>
      <c r="E513" s="508"/>
      <c r="F513" s="508"/>
      <c r="G513" s="508"/>
      <c r="H513" s="336"/>
      <c r="I513" s="336"/>
      <c r="J513" s="336"/>
      <c r="K513" s="336"/>
      <c r="L513" s="336"/>
      <c r="M513" s="336"/>
      <c r="N513" s="336"/>
      <c r="O513" s="336"/>
      <c r="P513" s="336"/>
      <c r="Q513" s="509">
        <f ca="1">I463</f>
        <v>0</v>
      </c>
      <c r="R513" s="509"/>
      <c r="S513" s="509"/>
      <c r="T513" s="509"/>
      <c r="U513" s="509"/>
      <c r="V513" s="509"/>
      <c r="W513" s="509"/>
      <c r="X513" s="509"/>
      <c r="Y513" s="509">
        <f>N463</f>
        <v>0</v>
      </c>
      <c r="Z513" s="509"/>
      <c r="AA513" s="509"/>
      <c r="AB513" s="509"/>
      <c r="AC513" s="509"/>
      <c r="AD513" s="509"/>
      <c r="AE513" s="509"/>
      <c r="AF513" s="509"/>
      <c r="AG513" s="513" t="s">
        <v>919</v>
      </c>
      <c r="AH513" s="745" t="str">
        <f ca="1">AD464</f>
        <v>m4/kg</v>
      </c>
      <c r="AI513" s="745"/>
      <c r="AJ513" s="745"/>
      <c r="AK513" s="745"/>
      <c r="AL513" s="511" t="s">
        <v>899</v>
      </c>
      <c r="AM513" s="511"/>
      <c r="AN513" s="511"/>
      <c r="AO513" s="511"/>
      <c r="AP513" s="336"/>
      <c r="AQ513" s="336"/>
      <c r="AR513" s="336"/>
      <c r="AS513" s="336"/>
      <c r="AT513" s="336"/>
    </row>
    <row r="514" spans="1:48" ht="18" customHeight="1">
      <c r="A514" s="90"/>
      <c r="B514" s="508"/>
      <c r="C514" s="508"/>
      <c r="D514" s="508"/>
      <c r="E514" s="508"/>
      <c r="F514" s="508"/>
      <c r="G514" s="508"/>
      <c r="H514" s="336"/>
      <c r="I514" s="336"/>
      <c r="J514" s="336"/>
      <c r="K514" s="336"/>
      <c r="L514" s="336"/>
      <c r="M514" s="336"/>
      <c r="N514" s="336"/>
      <c r="O514" s="336"/>
      <c r="P514" s="336"/>
      <c r="Q514" s="95" t="s">
        <v>952</v>
      </c>
      <c r="R514" s="739" t="str">
        <f ca="1">I464</f>
        <v>kg/㎥</v>
      </c>
      <c r="S514" s="739"/>
      <c r="T514" s="739"/>
      <c r="U514" s="751" t="s">
        <v>953</v>
      </c>
      <c r="V514" s="751"/>
      <c r="W514" s="751"/>
      <c r="X514" s="751"/>
      <c r="Y514" s="98" t="s">
        <v>921</v>
      </c>
      <c r="Z514" s="740">
        <f>I465</f>
        <v>9.8066499999999994</v>
      </c>
      <c r="AA514" s="740"/>
      <c r="AB514" s="740"/>
      <c r="AC514" s="740"/>
      <c r="AD514" s="507" t="s">
        <v>696</v>
      </c>
      <c r="AE514" s="507"/>
      <c r="AF514" s="507"/>
      <c r="AG514" s="513"/>
      <c r="AH514" s="745"/>
      <c r="AI514" s="745"/>
      <c r="AJ514" s="745"/>
      <c r="AK514" s="745"/>
      <c r="AL514" s="511"/>
      <c r="AM514" s="511"/>
      <c r="AN514" s="511"/>
      <c r="AO514" s="511"/>
      <c r="AP514" s="336"/>
      <c r="AQ514" s="336"/>
      <c r="AR514" s="336"/>
      <c r="AS514" s="336"/>
      <c r="AT514" s="336"/>
    </row>
    <row r="515" spans="1:48" ht="18" customHeight="1">
      <c r="A515" s="90"/>
      <c r="B515" s="336" t="s">
        <v>954</v>
      </c>
      <c r="C515" s="336"/>
      <c r="D515" s="336"/>
      <c r="E515" s="336"/>
      <c r="F515" s="336"/>
      <c r="G515" s="336"/>
      <c r="H515" s="336"/>
      <c r="I515" s="336"/>
      <c r="J515" s="337" t="s">
        <v>927</v>
      </c>
      <c r="K515" s="745" t="str">
        <f ca="1">AH513</f>
        <v>m4/kg</v>
      </c>
      <c r="L515" s="745"/>
      <c r="M515" s="745"/>
      <c r="N515" s="745"/>
      <c r="O515" s="511" t="s">
        <v>656</v>
      </c>
      <c r="P515" s="511"/>
      <c r="Q515" s="511"/>
      <c r="R515" s="337" t="s">
        <v>701</v>
      </c>
      <c r="S515" s="340" t="s">
        <v>694</v>
      </c>
      <c r="T515" s="508" t="e">
        <f ca="1">W510</f>
        <v>#VALUE!</v>
      </c>
      <c r="U515" s="508"/>
      <c r="V515" s="508"/>
      <c r="W515" s="518" t="str">
        <f>Z510</f>
        <v>kg/㎥</v>
      </c>
      <c r="X515" s="518"/>
      <c r="Y515" s="518"/>
      <c r="Z515" s="337" t="s">
        <v>919</v>
      </c>
      <c r="AA515" s="508" t="e">
        <f ca="1">ABS(K515*T515)</f>
        <v>#VALUE!</v>
      </c>
      <c r="AB515" s="508"/>
      <c r="AC515" s="508"/>
      <c r="AD515" s="508" t="s">
        <v>657</v>
      </c>
      <c r="AE515" s="508"/>
      <c r="AF515" s="336"/>
      <c r="AG515" s="336"/>
      <c r="AH515" s="336"/>
      <c r="AI515" s="336"/>
      <c r="AJ515" s="336"/>
      <c r="AK515" s="336"/>
      <c r="AL515" s="336"/>
      <c r="AM515" s="336"/>
      <c r="AN515" s="336"/>
      <c r="AO515" s="336"/>
      <c r="AP515" s="336"/>
      <c r="AQ515" s="336"/>
      <c r="AR515" s="336"/>
      <c r="AS515" s="336"/>
      <c r="AT515" s="336"/>
    </row>
    <row r="516" spans="1:48" ht="18" customHeight="1">
      <c r="A516" s="90"/>
      <c r="B516" s="607" t="s">
        <v>955</v>
      </c>
      <c r="C516" s="607"/>
      <c r="D516" s="607"/>
      <c r="E516" s="607"/>
      <c r="F516" s="607"/>
      <c r="G516" s="86"/>
      <c r="H516" s="106"/>
      <c r="I516" s="86"/>
      <c r="J516" s="86"/>
      <c r="K516" s="86"/>
      <c r="L516" s="86"/>
      <c r="M516" s="86"/>
      <c r="N516" s="86"/>
      <c r="O516" s="86"/>
      <c r="P516" s="86"/>
      <c r="Q516" s="353"/>
      <c r="R516" s="86"/>
      <c r="S516" s="86"/>
      <c r="T516" s="86"/>
      <c r="U516" s="106"/>
      <c r="V516" s="86"/>
      <c r="W516" s="82" t="s">
        <v>738</v>
      </c>
      <c r="X516" s="86"/>
      <c r="Y516" s="86"/>
      <c r="Z516" s="86"/>
      <c r="AA516" s="86"/>
      <c r="AB516" s="86"/>
      <c r="AC516" s="86"/>
      <c r="AD516" s="342"/>
      <c r="AE516" s="342"/>
      <c r="AF516" s="342"/>
      <c r="AG516" s="342"/>
      <c r="AH516" s="342"/>
      <c r="AI516" s="342"/>
      <c r="AJ516" s="336"/>
      <c r="AK516" s="336"/>
      <c r="AL516" s="336"/>
      <c r="AM516" s="336"/>
      <c r="AN516" s="336"/>
      <c r="AO516" s="336"/>
      <c r="AP516" s="336"/>
      <c r="AQ516" s="336"/>
      <c r="AR516" s="336"/>
      <c r="AS516" s="336"/>
      <c r="AT516" s="336"/>
    </row>
    <row r="517" spans="1:48" ht="18" customHeight="1">
      <c r="A517" s="90"/>
      <c r="B517" s="607"/>
      <c r="C517" s="607"/>
      <c r="D517" s="607"/>
      <c r="E517" s="607"/>
      <c r="F517" s="607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353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342"/>
      <c r="AE517" s="342"/>
      <c r="AF517" s="342"/>
      <c r="AG517" s="342"/>
      <c r="AH517" s="342"/>
      <c r="AI517" s="342"/>
      <c r="AJ517" s="336"/>
      <c r="AK517" s="336"/>
      <c r="AL517" s="336"/>
      <c r="AM517" s="336"/>
      <c r="AN517" s="336"/>
      <c r="AO517" s="336"/>
      <c r="AP517" s="336"/>
      <c r="AQ517" s="336"/>
      <c r="AR517" s="336"/>
      <c r="AS517" s="336"/>
      <c r="AT517" s="336"/>
    </row>
    <row r="518" spans="1:48" ht="18" customHeight="1">
      <c r="A518" s="90"/>
      <c r="B518" s="336"/>
      <c r="C518" s="336"/>
      <c r="D518" s="336"/>
      <c r="E518" s="336"/>
      <c r="F518" s="336"/>
      <c r="G518" s="336"/>
      <c r="H518" s="336"/>
      <c r="I518" s="336"/>
      <c r="J518" s="336"/>
      <c r="K518" s="336"/>
      <c r="L518" s="336"/>
      <c r="M518" s="336"/>
      <c r="N518" s="336"/>
      <c r="O518" s="336"/>
      <c r="P518" s="336"/>
      <c r="Q518" s="336"/>
      <c r="R518" s="336"/>
      <c r="S518" s="336"/>
      <c r="T518" s="336"/>
      <c r="U518" s="336"/>
      <c r="V518" s="336"/>
      <c r="W518" s="336"/>
      <c r="X518" s="336"/>
      <c r="Y518" s="336"/>
      <c r="Z518" s="336"/>
      <c r="AA518" s="336"/>
      <c r="AB518" s="336"/>
      <c r="AC518" s="336"/>
      <c r="AD518" s="336"/>
      <c r="AE518" s="336"/>
      <c r="AF518" s="336"/>
      <c r="AG518" s="336"/>
      <c r="AH518" s="336"/>
      <c r="AI518" s="336"/>
      <c r="AJ518" s="336"/>
      <c r="AK518" s="336"/>
      <c r="AL518" s="336"/>
      <c r="AM518" s="336"/>
      <c r="AN518" s="336"/>
      <c r="AO518" s="336"/>
      <c r="AP518" s="336"/>
      <c r="AQ518" s="336"/>
      <c r="AR518" s="336"/>
      <c r="AS518" s="336"/>
      <c r="AT518" s="336"/>
    </row>
    <row r="519" spans="1:48" ht="18" customHeight="1">
      <c r="A519" s="90"/>
      <c r="B519" s="97" t="s">
        <v>739</v>
      </c>
      <c r="D519" s="336"/>
      <c r="E519" s="336"/>
      <c r="F519" s="336"/>
      <c r="G519" s="336"/>
      <c r="H519" s="336"/>
      <c r="I519" s="336"/>
      <c r="J519" s="336"/>
      <c r="K519" s="336"/>
      <c r="L519" s="336"/>
      <c r="M519" s="336"/>
      <c r="N519" s="336"/>
      <c r="O519" s="336"/>
      <c r="P519" s="336"/>
      <c r="Q519" s="336"/>
      <c r="T519" s="348" t="s">
        <v>740</v>
      </c>
      <c r="U519" s="336"/>
      <c r="V519" s="336"/>
      <c r="W519" s="336"/>
      <c r="X519" s="336"/>
      <c r="Y519" s="336"/>
      <c r="Z519" s="336"/>
      <c r="AA519" s="336"/>
      <c r="AB519" s="336"/>
      <c r="AC519" s="336"/>
      <c r="AD519" s="336"/>
      <c r="AE519" s="336"/>
      <c r="AF519" s="336"/>
      <c r="AG519" s="336"/>
      <c r="AH519" s="336"/>
      <c r="AI519" s="336"/>
      <c r="AJ519" s="336"/>
      <c r="AK519" s="336"/>
      <c r="AL519" s="336"/>
      <c r="AM519" s="336"/>
      <c r="AN519" s="336"/>
      <c r="AO519" s="336"/>
      <c r="AP519" s="336"/>
      <c r="AQ519" s="336"/>
      <c r="AR519" s="336"/>
      <c r="AS519" s="336"/>
      <c r="AT519" s="336"/>
    </row>
    <row r="520" spans="1:48" ht="18" customHeight="1">
      <c r="A520" s="90"/>
      <c r="B520" s="79" t="s">
        <v>956</v>
      </c>
      <c r="C520" s="336"/>
      <c r="D520" s="336"/>
      <c r="E520" s="336"/>
      <c r="F520" s="336"/>
      <c r="G520" s="336"/>
      <c r="H520" s="336"/>
      <c r="I520" s="336"/>
      <c r="J520" s="336"/>
      <c r="K520" s="336"/>
      <c r="L520" s="336"/>
      <c r="M520" s="336"/>
      <c r="N520" s="336"/>
      <c r="O520" s="336"/>
      <c r="P520" s="336"/>
      <c r="R520" s="348"/>
      <c r="T520" s="336"/>
      <c r="U520" s="336"/>
      <c r="V520" s="336"/>
      <c r="W520" s="336"/>
      <c r="X520" s="336"/>
      <c r="Y520" s="336"/>
      <c r="Z520" s="336"/>
      <c r="AA520" s="336"/>
      <c r="AB520" s="336"/>
      <c r="AC520" s="336"/>
      <c r="AD520" s="336"/>
      <c r="AE520" s="336"/>
      <c r="AF520" s="336"/>
      <c r="AG520" s="336"/>
      <c r="AH520" s="336"/>
      <c r="AI520" s="336"/>
      <c r="AJ520" s="336"/>
      <c r="AK520" s="336"/>
      <c r="AL520" s="336"/>
      <c r="AM520" s="336"/>
      <c r="AN520" s="336"/>
      <c r="AO520" s="336"/>
      <c r="AP520" s="336"/>
      <c r="AQ520" s="336"/>
      <c r="AR520" s="336"/>
      <c r="AS520" s="336"/>
    </row>
    <row r="521" spans="1:48" ht="18" customHeight="1">
      <c r="A521" s="90"/>
      <c r="C521" s="336" t="s">
        <v>742</v>
      </c>
      <c r="D521" s="336"/>
      <c r="E521" s="336"/>
      <c r="F521" s="336"/>
      <c r="G521" s="336"/>
      <c r="H521" s="336"/>
      <c r="I521" s="336"/>
      <c r="J521" s="336"/>
      <c r="K521" s="336"/>
      <c r="L521" s="336"/>
      <c r="M521" s="336"/>
      <c r="N521" s="336"/>
      <c r="O521" s="336"/>
      <c r="P521" s="336"/>
      <c r="R521" s="348"/>
      <c r="T521" s="336"/>
      <c r="U521" s="336"/>
      <c r="V521" s="336"/>
      <c r="W521" s="336"/>
      <c r="X521" s="336"/>
      <c r="Y521" s="336"/>
      <c r="Z521" s="336"/>
      <c r="AA521" s="336"/>
      <c r="AB521" s="336"/>
      <c r="AC521" s="336"/>
      <c r="AD521" s="336"/>
      <c r="AE521" s="336"/>
      <c r="AF521" s="336"/>
      <c r="AG521" s="336"/>
      <c r="AH521" s="336"/>
      <c r="AI521" s="336"/>
      <c r="AJ521" s="336"/>
      <c r="AK521" s="336"/>
      <c r="AL521" s="336"/>
      <c r="AM521" s="336"/>
      <c r="AN521" s="336"/>
      <c r="AO521" s="336"/>
      <c r="AP521" s="336"/>
      <c r="AQ521" s="336"/>
      <c r="AR521" s="336"/>
      <c r="AS521" s="336"/>
    </row>
    <row r="522" spans="1:48" ht="18" customHeight="1">
      <c r="A522" s="90"/>
      <c r="B522" s="79" t="s">
        <v>957</v>
      </c>
      <c r="C522" s="336"/>
      <c r="D522" s="336"/>
      <c r="E522" s="336"/>
      <c r="F522" s="336"/>
      <c r="G522" s="336"/>
      <c r="H522" s="752">
        <f>I465</f>
        <v>9.8066499999999994</v>
      </c>
      <c r="I522" s="752"/>
      <c r="J522" s="752"/>
      <c r="K522" s="752"/>
      <c r="L522" s="745" t="s">
        <v>661</v>
      </c>
      <c r="M522" s="745"/>
      <c r="N522" s="745"/>
      <c r="O522" s="336"/>
      <c r="Q522" s="348"/>
      <c r="S522" s="336"/>
      <c r="T522" s="336"/>
      <c r="U522" s="336"/>
      <c r="V522" s="336"/>
      <c r="W522" s="336"/>
      <c r="X522" s="336"/>
      <c r="Y522" s="336"/>
      <c r="Z522" s="336"/>
      <c r="AA522" s="336"/>
      <c r="AB522" s="336"/>
      <c r="AC522" s="336"/>
      <c r="AD522" s="336"/>
      <c r="AE522" s="336"/>
      <c r="AF522" s="336"/>
      <c r="AG522" s="336"/>
      <c r="AH522" s="336"/>
      <c r="AI522" s="336"/>
      <c r="AJ522" s="336"/>
      <c r="AK522" s="336"/>
      <c r="AL522" s="336"/>
      <c r="AM522" s="336"/>
      <c r="AN522" s="336"/>
      <c r="AO522" s="336"/>
      <c r="AP522" s="336"/>
      <c r="AQ522" s="336"/>
      <c r="AR522" s="336"/>
    </row>
    <row r="523" spans="1:48" ht="18" customHeight="1">
      <c r="A523" s="90"/>
      <c r="B523" s="79" t="s">
        <v>744</v>
      </c>
      <c r="C523" s="336"/>
      <c r="D523" s="336"/>
      <c r="E523" s="336"/>
      <c r="F523" s="336"/>
      <c r="G523" s="336"/>
      <c r="H523" s="336"/>
      <c r="I523" s="336"/>
      <c r="K523" s="747">
        <v>8.0000000000000004E-4</v>
      </c>
      <c r="L523" s="747"/>
      <c r="M523" s="747"/>
      <c r="N523" s="747"/>
      <c r="P523" s="336"/>
      <c r="R523" s="348"/>
      <c r="T523" s="336"/>
      <c r="Z523" s="336"/>
      <c r="AA523" s="336"/>
      <c r="AB523" s="336"/>
      <c r="AC523" s="336"/>
      <c r="AD523" s="336"/>
      <c r="AE523" s="336"/>
      <c r="AF523" s="336"/>
      <c r="AG523" s="336"/>
      <c r="AH523" s="336"/>
      <c r="AI523" s="336"/>
      <c r="AJ523" s="336"/>
      <c r="AK523" s="336"/>
      <c r="AL523" s="336"/>
      <c r="AM523" s="336"/>
      <c r="AN523" s="336"/>
      <c r="AO523" s="336"/>
      <c r="AP523" s="336"/>
      <c r="AQ523" s="336"/>
      <c r="AR523" s="336"/>
      <c r="AS523" s="336"/>
    </row>
    <row r="524" spans="1:48" ht="18" customHeight="1">
      <c r="A524" s="90"/>
      <c r="B524" s="79" t="s">
        <v>958</v>
      </c>
      <c r="C524" s="336"/>
      <c r="D524" s="336"/>
      <c r="E524" s="336"/>
      <c r="F524" s="336"/>
      <c r="G524" s="336"/>
      <c r="H524" s="336"/>
      <c r="K524" s="752">
        <f>H522*K523</f>
        <v>7.8453199999999994E-3</v>
      </c>
      <c r="L524" s="752"/>
      <c r="M524" s="752"/>
      <c r="N524" s="745" t="s">
        <v>662</v>
      </c>
      <c r="O524" s="745"/>
      <c r="P524" s="745"/>
      <c r="R524" s="348"/>
      <c r="T524" s="336"/>
      <c r="U524" s="336"/>
      <c r="V524" s="336"/>
      <c r="W524" s="336"/>
      <c r="AD524" s="336"/>
      <c r="AE524" s="336"/>
      <c r="AF524" s="336"/>
      <c r="AG524" s="336"/>
      <c r="AH524" s="336"/>
      <c r="AI524" s="336"/>
      <c r="AJ524" s="336"/>
      <c r="AK524" s="336"/>
      <c r="AL524" s="336"/>
      <c r="AM524" s="336"/>
      <c r="AN524" s="336"/>
      <c r="AO524" s="336"/>
      <c r="AP524" s="336"/>
      <c r="AQ524" s="336"/>
      <c r="AR524" s="336"/>
      <c r="AS524" s="336"/>
    </row>
    <row r="525" spans="1:48" ht="18" customHeight="1">
      <c r="A525" s="90"/>
      <c r="B525" s="336" t="s">
        <v>959</v>
      </c>
      <c r="C525" s="336"/>
      <c r="D525" s="336"/>
      <c r="E525" s="336"/>
      <c r="F525" s="336"/>
      <c r="G525" s="505">
        <f>I479</f>
        <v>0</v>
      </c>
      <c r="H525" s="505"/>
      <c r="I525" s="505"/>
      <c r="J525" s="505"/>
      <c r="K525" s="505"/>
      <c r="L525" s="745" t="s">
        <v>692</v>
      </c>
      <c r="M525" s="745"/>
      <c r="N525" s="745"/>
      <c r="O525" s="336"/>
      <c r="P525" s="336"/>
      <c r="R525" s="348"/>
      <c r="T525" s="336"/>
      <c r="U525" s="336"/>
      <c r="V525" s="336"/>
      <c r="W525" s="336"/>
      <c r="X525" s="336"/>
      <c r="Y525" s="336"/>
      <c r="Z525" s="336"/>
      <c r="AA525" s="336"/>
      <c r="AB525" s="336"/>
      <c r="AC525" s="336"/>
      <c r="AD525" s="336"/>
      <c r="AE525" s="336"/>
      <c r="AF525" s="336"/>
      <c r="AG525" s="336"/>
      <c r="AH525" s="336"/>
      <c r="AI525" s="336"/>
      <c r="AJ525" s="336"/>
      <c r="AK525" s="336"/>
      <c r="AL525" s="336"/>
      <c r="AM525" s="336"/>
      <c r="AN525" s="336"/>
      <c r="AO525" s="336"/>
      <c r="AP525" s="336"/>
      <c r="AQ525" s="336"/>
      <c r="AR525" s="336"/>
      <c r="AS525" s="336"/>
      <c r="AT525" s="336"/>
    </row>
    <row r="526" spans="1:48" ht="18" customHeight="1">
      <c r="A526" s="90"/>
      <c r="B526" s="508" t="s">
        <v>960</v>
      </c>
      <c r="C526" s="508"/>
      <c r="D526" s="508"/>
      <c r="E526" s="508"/>
      <c r="F526" s="508"/>
      <c r="G526" s="508"/>
      <c r="H526" s="508"/>
      <c r="I526" s="512" t="s">
        <v>961</v>
      </c>
      <c r="J526" s="512"/>
      <c r="K526" s="512"/>
      <c r="L526" s="513" t="s">
        <v>919</v>
      </c>
      <c r="M526" s="514" t="s">
        <v>962</v>
      </c>
      <c r="N526" s="514"/>
      <c r="O526" s="513" t="s">
        <v>919</v>
      </c>
      <c r="P526" s="618">
        <f>K524</f>
        <v>7.8453199999999994E-3</v>
      </c>
      <c r="Q526" s="618"/>
      <c r="R526" s="618"/>
      <c r="S526" s="750" t="s">
        <v>661</v>
      </c>
      <c r="T526" s="750"/>
      <c r="U526" s="750"/>
      <c r="V526" s="517" t="s">
        <v>919</v>
      </c>
      <c r="W526" s="508">
        <f>P526/SQRT(3)</f>
        <v>4.5294976138787546E-3</v>
      </c>
      <c r="X526" s="508"/>
      <c r="Y526" s="508"/>
      <c r="Z526" s="518" t="s">
        <v>922</v>
      </c>
      <c r="AA526" s="518"/>
      <c r="AB526" s="518"/>
      <c r="AC526" s="336"/>
      <c r="AD526" s="336"/>
      <c r="AE526" s="91"/>
      <c r="AF526" s="91"/>
      <c r="AG526" s="99"/>
      <c r="AH526" s="99"/>
      <c r="AI526" s="99"/>
      <c r="AJ526" s="99"/>
      <c r="AK526" s="99"/>
      <c r="AL526" s="99"/>
      <c r="AM526" s="99"/>
      <c r="AN526" s="336"/>
      <c r="AO526" s="336"/>
      <c r="AP526" s="336"/>
      <c r="AQ526" s="336"/>
      <c r="AR526" s="336"/>
      <c r="AS526" s="336"/>
      <c r="AT526" s="336"/>
      <c r="AU526" s="336"/>
      <c r="AV526" s="336"/>
    </row>
    <row r="527" spans="1:48" ht="18" customHeight="1">
      <c r="A527" s="90"/>
      <c r="B527" s="508"/>
      <c r="C527" s="508"/>
      <c r="D527" s="508"/>
      <c r="E527" s="508"/>
      <c r="F527" s="508"/>
      <c r="G527" s="508"/>
      <c r="H527" s="508"/>
      <c r="I527" s="512"/>
      <c r="J527" s="512"/>
      <c r="K527" s="512"/>
      <c r="L527" s="513"/>
      <c r="M527" s="519"/>
      <c r="N527" s="519"/>
      <c r="O527" s="513"/>
      <c r="P527" s="352"/>
      <c r="Q527" s="352"/>
      <c r="R527" s="352"/>
      <c r="S527" s="352"/>
      <c r="T527" s="352"/>
      <c r="U527" s="352"/>
      <c r="V527" s="517"/>
      <c r="W527" s="508"/>
      <c r="X527" s="508"/>
      <c r="Y527" s="508"/>
      <c r="Z527" s="518"/>
      <c r="AA527" s="518"/>
      <c r="AB527" s="518"/>
      <c r="AC527" s="336"/>
      <c r="AD527" s="336"/>
      <c r="AE527" s="91"/>
      <c r="AF527" s="91"/>
      <c r="AG527" s="336"/>
      <c r="AH527" s="338"/>
      <c r="AI527" s="338"/>
      <c r="AJ527" s="338"/>
      <c r="AK527" s="336"/>
      <c r="AL527" s="100"/>
      <c r="AM527" s="338"/>
      <c r="AN527" s="338"/>
      <c r="AO527" s="338"/>
      <c r="AP527" s="332"/>
      <c r="AQ527" s="332"/>
      <c r="AR527" s="336"/>
      <c r="AS527" s="336"/>
      <c r="AT527" s="336"/>
      <c r="AU527" s="336"/>
      <c r="AV527" s="336"/>
    </row>
    <row r="528" spans="1:48" ht="18" customHeight="1">
      <c r="A528" s="90"/>
      <c r="B528" s="336" t="s">
        <v>963</v>
      </c>
      <c r="C528" s="336"/>
      <c r="D528" s="336"/>
      <c r="E528" s="336"/>
      <c r="F528" s="336"/>
      <c r="G528" s="336"/>
      <c r="H528" s="508" t="str">
        <f>Y465</f>
        <v>직사각형</v>
      </c>
      <c r="I528" s="508"/>
      <c r="J528" s="508"/>
      <c r="K528" s="508"/>
      <c r="L528" s="508"/>
      <c r="M528" s="336"/>
      <c r="N528" s="336"/>
      <c r="O528" s="336"/>
      <c r="P528" s="336"/>
      <c r="Q528" s="336"/>
      <c r="R528" s="336"/>
      <c r="S528" s="336"/>
      <c r="T528" s="336"/>
      <c r="U528" s="336"/>
      <c r="V528" s="336"/>
      <c r="W528" s="336"/>
      <c r="X528" s="336"/>
      <c r="Y528" s="336"/>
      <c r="Z528" s="336"/>
      <c r="AA528" s="336"/>
      <c r="AB528" s="336"/>
      <c r="AC528" s="336"/>
      <c r="AD528" s="336"/>
      <c r="AE528" s="336"/>
      <c r="AF528" s="336"/>
      <c r="AG528" s="336"/>
      <c r="AH528" s="336"/>
      <c r="AI528" s="336"/>
      <c r="AJ528" s="336"/>
      <c r="AK528" s="336"/>
      <c r="AP528" s="336"/>
      <c r="AQ528" s="336"/>
      <c r="AR528" s="336"/>
      <c r="AS528" s="336"/>
      <c r="AT528" s="336"/>
    </row>
    <row r="529" spans="1:46" ht="18" customHeight="1">
      <c r="A529" s="90"/>
      <c r="B529" s="508" t="s">
        <v>964</v>
      </c>
      <c r="C529" s="508"/>
      <c r="D529" s="508"/>
      <c r="E529" s="508"/>
      <c r="F529" s="508"/>
      <c r="G529" s="508"/>
      <c r="H529" s="336"/>
      <c r="I529" s="336"/>
      <c r="J529" s="336"/>
      <c r="K529" s="336"/>
      <c r="L529" s="336"/>
      <c r="M529" s="336"/>
      <c r="N529" s="336"/>
      <c r="O529" s="336"/>
      <c r="P529" s="336"/>
      <c r="Q529" s="509">
        <f ca="1">I463</f>
        <v>0</v>
      </c>
      <c r="R529" s="509"/>
      <c r="S529" s="509"/>
      <c r="T529" s="509"/>
      <c r="U529" s="509"/>
      <c r="V529" s="509"/>
      <c r="W529" s="509"/>
      <c r="X529" s="509"/>
      <c r="Y529" s="509">
        <f>N463</f>
        <v>0</v>
      </c>
      <c r="Z529" s="509"/>
      <c r="AA529" s="509"/>
      <c r="AB529" s="509"/>
      <c r="AC529" s="509"/>
      <c r="AD529" s="509"/>
      <c r="AE529" s="509"/>
      <c r="AF529" s="509"/>
      <c r="AG529" s="513" t="s">
        <v>919</v>
      </c>
      <c r="AH529" s="745" t="str">
        <f ca="1">AD465</f>
        <v>s2</v>
      </c>
      <c r="AI529" s="745"/>
      <c r="AJ529" s="745"/>
      <c r="AK529" s="745"/>
      <c r="AL529" s="511" t="s">
        <v>965</v>
      </c>
      <c r="AM529" s="511"/>
      <c r="AN529" s="511"/>
      <c r="AO529" s="354"/>
      <c r="AP529" s="336"/>
      <c r="AQ529" s="336"/>
      <c r="AR529" s="336"/>
      <c r="AS529" s="336"/>
      <c r="AT529" s="336"/>
    </row>
    <row r="530" spans="1:46" ht="18" customHeight="1">
      <c r="A530" s="90"/>
      <c r="B530" s="508"/>
      <c r="C530" s="508"/>
      <c r="D530" s="508"/>
      <c r="E530" s="508"/>
      <c r="F530" s="508"/>
      <c r="G530" s="508"/>
      <c r="H530" s="336"/>
      <c r="I530" s="336"/>
      <c r="J530" s="336"/>
      <c r="K530" s="336"/>
      <c r="L530" s="336"/>
      <c r="M530" s="336"/>
      <c r="N530" s="336"/>
      <c r="O530" s="336"/>
      <c r="P530" s="336"/>
      <c r="Q530" s="739" t="str">
        <f ca="1">I464</f>
        <v>kg/㎥</v>
      </c>
      <c r="R530" s="739"/>
      <c r="S530" s="739"/>
      <c r="T530" s="751" t="s">
        <v>966</v>
      </c>
      <c r="U530" s="751"/>
      <c r="V530" s="751"/>
      <c r="W530" s="98" t="s">
        <v>694</v>
      </c>
      <c r="X530" s="95" t="s">
        <v>754</v>
      </c>
      <c r="Y530" s="740">
        <f>I465</f>
        <v>9.8066499999999994</v>
      </c>
      <c r="Z530" s="740"/>
      <c r="AA530" s="740"/>
      <c r="AB530" s="740"/>
      <c r="AC530" s="753" t="s">
        <v>755</v>
      </c>
      <c r="AD530" s="753"/>
      <c r="AE530" s="753"/>
      <c r="AF530" s="753"/>
      <c r="AG530" s="513"/>
      <c r="AH530" s="745"/>
      <c r="AI530" s="745"/>
      <c r="AJ530" s="745"/>
      <c r="AK530" s="745"/>
      <c r="AL530" s="511"/>
      <c r="AM530" s="511"/>
      <c r="AN530" s="511"/>
      <c r="AO530" s="354"/>
      <c r="AP530" s="336"/>
      <c r="AQ530" s="336"/>
      <c r="AR530" s="336"/>
      <c r="AS530" s="336"/>
      <c r="AT530" s="336"/>
    </row>
    <row r="531" spans="1:46" ht="18" customHeight="1">
      <c r="A531" s="90"/>
      <c r="B531" s="336" t="s">
        <v>756</v>
      </c>
      <c r="C531" s="336"/>
      <c r="D531" s="336"/>
      <c r="E531" s="336"/>
      <c r="F531" s="336"/>
      <c r="G531" s="336"/>
      <c r="H531" s="336"/>
      <c r="I531" s="336"/>
      <c r="J531" s="337" t="s">
        <v>701</v>
      </c>
      <c r="K531" s="745" t="str">
        <f ca="1">AH529</f>
        <v>s2</v>
      </c>
      <c r="L531" s="745"/>
      <c r="M531" s="745"/>
      <c r="N531" s="745"/>
      <c r="O531" s="511" t="s">
        <v>663</v>
      </c>
      <c r="P531" s="511"/>
      <c r="Q531" s="337" t="s">
        <v>701</v>
      </c>
      <c r="R531" s="340" t="s">
        <v>693</v>
      </c>
      <c r="S531" s="508">
        <f>W526</f>
        <v>4.5294976138787546E-3</v>
      </c>
      <c r="T531" s="508"/>
      <c r="U531" s="508"/>
      <c r="V531" s="518" t="s">
        <v>696</v>
      </c>
      <c r="W531" s="518"/>
      <c r="X531" s="518"/>
      <c r="Y531" s="337" t="s">
        <v>967</v>
      </c>
      <c r="Z531" s="619" t="e">
        <f ca="1">ABS(K531*S531)</f>
        <v>#VALUE!</v>
      </c>
      <c r="AA531" s="619"/>
      <c r="AB531" s="619"/>
      <c r="AC531" s="508" t="s">
        <v>657</v>
      </c>
      <c r="AD531" s="508"/>
      <c r="AF531" s="336"/>
      <c r="AG531" s="336"/>
      <c r="AH531" s="336"/>
      <c r="AI531" s="336"/>
      <c r="AJ531" s="336"/>
      <c r="AK531" s="336"/>
      <c r="AL531" s="336"/>
      <c r="AM531" s="336"/>
      <c r="AN531" s="336"/>
      <c r="AO531" s="336"/>
      <c r="AP531" s="336"/>
      <c r="AQ531" s="336"/>
      <c r="AR531" s="336"/>
      <c r="AS531" s="336"/>
      <c r="AT531" s="336"/>
    </row>
    <row r="532" spans="1:46" ht="18" customHeight="1">
      <c r="A532" s="90"/>
      <c r="B532" s="607" t="s">
        <v>758</v>
      </c>
      <c r="C532" s="607"/>
      <c r="D532" s="607"/>
      <c r="E532" s="607"/>
      <c r="F532" s="607"/>
      <c r="G532" s="86"/>
      <c r="H532" s="106"/>
      <c r="I532" s="86"/>
      <c r="J532" s="86"/>
      <c r="K532" s="86"/>
      <c r="L532" s="86"/>
      <c r="M532" s="86"/>
      <c r="N532" s="86"/>
      <c r="O532" s="86"/>
      <c r="P532" s="86"/>
      <c r="Q532" s="353"/>
      <c r="R532" s="86"/>
      <c r="S532" s="86"/>
      <c r="T532" s="86"/>
      <c r="U532" s="106"/>
      <c r="V532" s="86"/>
      <c r="W532" s="82" t="s">
        <v>738</v>
      </c>
      <c r="X532" s="86"/>
      <c r="Y532" s="86"/>
      <c r="Z532" s="86"/>
      <c r="AA532" s="86"/>
      <c r="AB532" s="86"/>
      <c r="AC532" s="86"/>
      <c r="AD532" s="342"/>
      <c r="AE532" s="342"/>
      <c r="AF532" s="342"/>
      <c r="AG532" s="342"/>
      <c r="AH532" s="342"/>
      <c r="AI532" s="342"/>
      <c r="AJ532" s="336"/>
      <c r="AK532" s="336"/>
      <c r="AL532" s="336"/>
      <c r="AM532" s="336"/>
      <c r="AN532" s="336"/>
      <c r="AO532" s="336"/>
      <c r="AP532" s="336"/>
      <c r="AQ532" s="336"/>
      <c r="AR532" s="336"/>
      <c r="AS532" s="336"/>
      <c r="AT532" s="336"/>
    </row>
    <row r="533" spans="1:46" ht="18" customHeight="1">
      <c r="A533" s="90"/>
      <c r="B533" s="607"/>
      <c r="C533" s="607"/>
      <c r="D533" s="607"/>
      <c r="E533" s="607"/>
      <c r="F533" s="607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353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342"/>
      <c r="AE533" s="342"/>
      <c r="AF533" s="342"/>
      <c r="AG533" s="342"/>
      <c r="AH533" s="342"/>
      <c r="AI533" s="342"/>
      <c r="AJ533" s="336"/>
      <c r="AK533" s="336"/>
      <c r="AL533" s="336"/>
      <c r="AM533" s="336"/>
      <c r="AN533" s="336"/>
      <c r="AO533" s="336"/>
      <c r="AP533" s="336"/>
      <c r="AQ533" s="336"/>
      <c r="AR533" s="336"/>
      <c r="AS533" s="336"/>
      <c r="AT533" s="336"/>
    </row>
    <row r="534" spans="1:46" ht="18" customHeight="1">
      <c r="A534" s="90"/>
      <c r="B534" s="336"/>
      <c r="C534" s="336"/>
      <c r="D534" s="336"/>
      <c r="E534" s="336"/>
      <c r="F534" s="336"/>
      <c r="G534" s="336"/>
      <c r="H534" s="336"/>
      <c r="I534" s="336"/>
      <c r="J534" s="336"/>
      <c r="K534" s="336"/>
      <c r="L534" s="336"/>
      <c r="M534" s="336"/>
      <c r="N534" s="336"/>
      <c r="O534" s="336"/>
      <c r="P534" s="336"/>
      <c r="Q534" s="336"/>
      <c r="R534" s="336"/>
      <c r="S534" s="336"/>
      <c r="T534" s="336"/>
      <c r="U534" s="336"/>
      <c r="V534" s="336"/>
      <c r="W534" s="336"/>
      <c r="X534" s="336"/>
      <c r="Y534" s="336"/>
      <c r="Z534" s="336"/>
      <c r="AA534" s="336"/>
      <c r="AB534" s="336"/>
      <c r="AC534" s="336"/>
      <c r="AD534" s="336"/>
      <c r="AE534" s="336"/>
      <c r="AF534" s="336"/>
      <c r="AG534" s="336"/>
      <c r="AH534" s="336"/>
      <c r="AI534" s="336"/>
      <c r="AJ534" s="336"/>
      <c r="AK534" s="336"/>
      <c r="AL534" s="336"/>
      <c r="AM534" s="336"/>
      <c r="AN534" s="336"/>
      <c r="AO534" s="336"/>
      <c r="AP534" s="336"/>
      <c r="AQ534" s="336"/>
      <c r="AR534" s="336"/>
      <c r="AS534" s="336"/>
      <c r="AT534" s="336"/>
    </row>
    <row r="535" spans="1:46" ht="18" customHeight="1">
      <c r="A535" s="90"/>
      <c r="B535" s="90" t="s">
        <v>968</v>
      </c>
      <c r="D535" s="336"/>
      <c r="E535" s="336"/>
      <c r="F535" s="336"/>
      <c r="G535" s="336"/>
      <c r="H535" s="336"/>
      <c r="I535" s="336"/>
      <c r="J535" s="336"/>
      <c r="K535" s="336"/>
      <c r="L535" s="336"/>
      <c r="M535" s="336"/>
      <c r="N535" s="336"/>
      <c r="O535" s="336"/>
      <c r="P535" s="348" t="s">
        <v>760</v>
      </c>
      <c r="Q535" s="336"/>
      <c r="R535" s="336"/>
      <c r="S535" s="336"/>
      <c r="U535" s="336"/>
      <c r="V535" s="336"/>
      <c r="W535" s="336"/>
      <c r="X535" s="336"/>
      <c r="Y535" s="336"/>
      <c r="Z535" s="336"/>
      <c r="AA535" s="336"/>
      <c r="AB535" s="336"/>
      <c r="AC535" s="336"/>
      <c r="AD535" s="336"/>
      <c r="AE535" s="336"/>
      <c r="AF535" s="336"/>
      <c r="AG535" s="336"/>
      <c r="AH535" s="336"/>
      <c r="AI535" s="336"/>
      <c r="AJ535" s="336"/>
      <c r="AK535" s="336"/>
      <c r="AL535" s="336"/>
      <c r="AM535" s="336"/>
      <c r="AN535" s="336"/>
      <c r="AO535" s="336"/>
      <c r="AP535" s="336"/>
      <c r="AQ535" s="336"/>
      <c r="AR535" s="336"/>
      <c r="AS535" s="336"/>
      <c r="AT535" s="336"/>
    </row>
    <row r="536" spans="1:46" ht="18" customHeight="1">
      <c r="A536" s="90"/>
      <c r="B536" s="336" t="s">
        <v>761</v>
      </c>
      <c r="C536" s="336"/>
      <c r="E536" s="336"/>
      <c r="F536" s="336"/>
      <c r="G536" s="336"/>
      <c r="H536" s="336"/>
      <c r="I536" s="336"/>
      <c r="J536" s="336"/>
      <c r="K536" s="336"/>
      <c r="L536" s="336"/>
      <c r="M536" s="336"/>
      <c r="N536" s="336"/>
      <c r="O536" s="336"/>
      <c r="P536" s="336"/>
      <c r="Q536" s="336"/>
      <c r="R536" s="336"/>
      <c r="S536" s="336"/>
      <c r="T536" s="348"/>
      <c r="U536" s="336"/>
      <c r="V536" s="336"/>
      <c r="W536" s="336"/>
      <c r="X536" s="336"/>
      <c r="Y536" s="336"/>
      <c r="Z536" s="336"/>
      <c r="AA536" s="336"/>
      <c r="AB536" s="336"/>
      <c r="AC536" s="336"/>
      <c r="AD536" s="336"/>
      <c r="AE536" s="336"/>
      <c r="AF536" s="336"/>
      <c r="AG536" s="336"/>
      <c r="AH536" s="336"/>
      <c r="AI536" s="336"/>
      <c r="AJ536" s="336"/>
      <c r="AK536" s="336"/>
      <c r="AL536" s="336"/>
      <c r="AM536" s="336"/>
      <c r="AN536" s="336"/>
      <c r="AO536" s="336"/>
      <c r="AP536" s="336"/>
      <c r="AQ536" s="336"/>
      <c r="AR536" s="336"/>
      <c r="AS536" s="336"/>
      <c r="AT536" s="336"/>
    </row>
    <row r="537" spans="1:46" ht="18" customHeight="1">
      <c r="A537" s="90"/>
      <c r="B537" s="336"/>
      <c r="C537" s="336" t="s">
        <v>685</v>
      </c>
      <c r="E537" s="336"/>
      <c r="F537" s="336"/>
      <c r="G537" s="336"/>
      <c r="H537" s="336"/>
      <c r="I537" s="336"/>
      <c r="J537" s="336"/>
      <c r="K537" s="336"/>
      <c r="L537" s="336"/>
      <c r="M537" s="336"/>
      <c r="N537" s="336"/>
      <c r="O537" s="336"/>
      <c r="P537" s="336"/>
      <c r="Q537" s="336"/>
      <c r="R537" s="336"/>
      <c r="S537" s="336"/>
      <c r="T537" s="348"/>
      <c r="U537" s="336"/>
      <c r="V537" s="336"/>
      <c r="W537" s="336"/>
      <c r="X537" s="336"/>
      <c r="Y537" s="336"/>
      <c r="Z537" s="336"/>
      <c r="AA537" s="336"/>
      <c r="AB537" s="336"/>
      <c r="AC537" s="336"/>
      <c r="AD537" s="336"/>
      <c r="AE537" s="336"/>
      <c r="AF537" s="336"/>
      <c r="AG537" s="336"/>
      <c r="AH537" s="336"/>
      <c r="AI537" s="336"/>
      <c r="AJ537" s="336"/>
      <c r="AK537" s="336"/>
      <c r="AL537" s="336"/>
      <c r="AM537" s="336"/>
      <c r="AN537" s="336"/>
      <c r="AO537" s="336"/>
      <c r="AP537" s="336"/>
      <c r="AQ537" s="336"/>
      <c r="AR537" s="336"/>
      <c r="AS537" s="336"/>
      <c r="AT537" s="336"/>
    </row>
    <row r="538" spans="1:46" ht="18" customHeight="1">
      <c r="A538" s="90"/>
      <c r="B538" s="336" t="s">
        <v>762</v>
      </c>
      <c r="C538" s="336"/>
      <c r="D538" s="336"/>
      <c r="E538" s="336"/>
      <c r="F538" s="336"/>
      <c r="G538" s="505">
        <f ca="1">I466</f>
        <v>0</v>
      </c>
      <c r="H538" s="505"/>
      <c r="I538" s="505"/>
      <c r="J538" s="505"/>
      <c r="K538" s="505"/>
      <c r="L538" s="506">
        <f>L466</f>
        <v>0</v>
      </c>
      <c r="M538" s="506"/>
      <c r="N538" s="506"/>
      <c r="O538" s="506"/>
      <c r="P538" s="506"/>
      <c r="Q538" s="506"/>
      <c r="R538" s="336"/>
      <c r="S538" s="336"/>
      <c r="T538" s="336"/>
      <c r="U538" s="336"/>
      <c r="V538" s="336"/>
      <c r="W538" s="336"/>
      <c r="X538" s="336"/>
      <c r="Y538" s="336"/>
      <c r="Z538" s="336"/>
      <c r="AA538" s="336"/>
      <c r="AB538" s="336"/>
      <c r="AC538" s="336"/>
      <c r="AD538" s="336"/>
      <c r="AE538" s="336"/>
      <c r="AF538" s="336"/>
      <c r="AG538" s="336"/>
      <c r="AH538" s="336"/>
      <c r="AI538" s="336"/>
      <c r="AJ538" s="336"/>
      <c r="AK538" s="336"/>
      <c r="AL538" s="336"/>
      <c r="AM538" s="336"/>
      <c r="AN538" s="336"/>
      <c r="AO538" s="336"/>
      <c r="AP538" s="336"/>
      <c r="AQ538" s="336"/>
      <c r="AR538" s="336"/>
      <c r="AS538" s="336"/>
      <c r="AT538" s="336"/>
    </row>
    <row r="539" spans="1:46" ht="18" customHeight="1">
      <c r="A539" s="90"/>
      <c r="B539" s="336"/>
      <c r="C539" s="336"/>
      <c r="D539" s="336"/>
      <c r="E539" s="336"/>
      <c r="F539" s="336"/>
      <c r="G539" s="336"/>
      <c r="H539" s="349"/>
      <c r="I539" s="336"/>
      <c r="J539" s="350"/>
      <c r="K539" s="350"/>
      <c r="L539" s="350"/>
      <c r="M539" s="355" t="s">
        <v>969</v>
      </c>
      <c r="N539" s="515">
        <f ca="1">OFFSET(Calcu_ADJ!W8,$AL$319,0)</f>
        <v>0</v>
      </c>
      <c r="O539" s="515"/>
      <c r="P539" s="515"/>
      <c r="Q539" s="335" t="s">
        <v>657</v>
      </c>
      <c r="R539" s="356"/>
      <c r="S539" s="356" t="s">
        <v>704</v>
      </c>
      <c r="T539" s="515" t="str">
        <f ca="1">OFFSET(Calcu_ADJ!W23,$AL$319,0)</f>
        <v/>
      </c>
      <c r="U539" s="515"/>
      <c r="V539" s="515"/>
      <c r="W539" s="335" t="s">
        <v>657</v>
      </c>
      <c r="X539" s="335" t="s">
        <v>763</v>
      </c>
      <c r="Y539" s="513" t="s">
        <v>690</v>
      </c>
      <c r="Z539" s="508" t="e">
        <f ca="1">(N539+T539)/M540</f>
        <v>#VALUE!</v>
      </c>
      <c r="AA539" s="508"/>
      <c r="AB539" s="508"/>
      <c r="AC539" s="508" t="s">
        <v>657</v>
      </c>
      <c r="AD539" s="508"/>
      <c r="AE539" s="336"/>
      <c r="AF539" s="336"/>
      <c r="AG539" s="336"/>
      <c r="AH539" s="336"/>
      <c r="AI539" s="336"/>
      <c r="AJ539" s="336"/>
      <c r="AK539" s="336"/>
      <c r="AL539" s="336"/>
      <c r="AM539" s="336"/>
      <c r="AN539" s="336"/>
    </row>
    <row r="540" spans="1:46" ht="18" customHeight="1">
      <c r="A540" s="90"/>
      <c r="B540" s="336"/>
      <c r="C540" s="336"/>
      <c r="D540" s="336"/>
      <c r="E540" s="336"/>
      <c r="F540" s="336"/>
      <c r="G540" s="336"/>
      <c r="H540" s="349"/>
      <c r="I540" s="336"/>
      <c r="J540" s="350"/>
      <c r="K540" s="350"/>
      <c r="L540" s="350"/>
      <c r="M540" s="520">
        <v>2</v>
      </c>
      <c r="N540" s="520"/>
      <c r="O540" s="520"/>
      <c r="P540" s="520"/>
      <c r="Q540" s="520"/>
      <c r="R540" s="520"/>
      <c r="S540" s="520"/>
      <c r="T540" s="520"/>
      <c r="U540" s="520"/>
      <c r="V540" s="520"/>
      <c r="W540" s="520"/>
      <c r="X540" s="520"/>
      <c r="Y540" s="513"/>
      <c r="Z540" s="508"/>
      <c r="AA540" s="508"/>
      <c r="AB540" s="508"/>
      <c r="AC540" s="508"/>
      <c r="AD540" s="508"/>
      <c r="AE540" s="336"/>
      <c r="AF540" s="336"/>
      <c r="AG540" s="336"/>
      <c r="AH540" s="336"/>
      <c r="AI540" s="336"/>
      <c r="AJ540" s="336"/>
      <c r="AK540" s="336"/>
      <c r="AL540" s="336"/>
      <c r="AM540" s="336"/>
      <c r="AN540" s="336"/>
    </row>
    <row r="541" spans="1:46" ht="18" customHeight="1">
      <c r="A541" s="90"/>
      <c r="B541" s="508" t="s">
        <v>764</v>
      </c>
      <c r="C541" s="508"/>
      <c r="D541" s="508"/>
      <c r="E541" s="508"/>
      <c r="F541" s="508"/>
      <c r="G541" s="508"/>
      <c r="H541" s="508"/>
      <c r="I541" s="336"/>
      <c r="J541" s="336"/>
      <c r="K541" s="336"/>
      <c r="L541" s="336"/>
      <c r="M541" s="336"/>
      <c r="N541" s="336"/>
      <c r="O541" s="336"/>
      <c r="P541" s="336"/>
      <c r="Q541" s="336"/>
      <c r="R541" s="336"/>
      <c r="S541" s="336"/>
      <c r="T541" s="333"/>
      <c r="U541" s="333"/>
      <c r="V541" s="332"/>
      <c r="W541" s="336"/>
      <c r="X541" s="333"/>
      <c r="Y541" s="336"/>
      <c r="Z541" s="336"/>
      <c r="AA541" s="336"/>
      <c r="AB541" s="336"/>
      <c r="AC541" s="336"/>
      <c r="AD541" s="336"/>
      <c r="AE541" s="336"/>
      <c r="AG541" s="336"/>
      <c r="AH541" s="336"/>
      <c r="AI541" s="336"/>
    </row>
    <row r="542" spans="1:46" ht="18" customHeight="1">
      <c r="A542" s="90"/>
      <c r="B542" s="508"/>
      <c r="C542" s="508"/>
      <c r="D542" s="508"/>
      <c r="E542" s="508"/>
      <c r="F542" s="508"/>
      <c r="G542" s="508"/>
      <c r="H542" s="508"/>
      <c r="I542" s="336"/>
      <c r="J542" s="336"/>
      <c r="K542" s="336"/>
      <c r="L542" s="336"/>
      <c r="M542" s="336"/>
      <c r="N542" s="336"/>
      <c r="O542" s="336"/>
      <c r="P542" s="336"/>
      <c r="Q542" s="336"/>
      <c r="R542" s="336"/>
      <c r="S542" s="336"/>
      <c r="T542" s="333"/>
      <c r="U542" s="333"/>
      <c r="V542" s="336"/>
      <c r="W542" s="336"/>
      <c r="X542" s="333"/>
      <c r="Y542" s="336"/>
      <c r="Z542" s="336"/>
      <c r="AA542" s="336"/>
      <c r="AB542" s="336"/>
      <c r="AC542" s="336"/>
      <c r="AD542" s="336"/>
      <c r="AE542" s="336"/>
      <c r="AF542" s="336"/>
      <c r="AG542" s="336"/>
      <c r="AH542" s="336"/>
      <c r="AI542" s="336"/>
    </row>
    <row r="543" spans="1:46" ht="18" customHeight="1">
      <c r="A543" s="90"/>
      <c r="B543" s="336"/>
      <c r="C543" s="336"/>
      <c r="D543" s="336"/>
      <c r="E543" s="336"/>
      <c r="F543" s="336"/>
      <c r="G543" s="336"/>
      <c r="H543" s="336"/>
      <c r="I543" s="336"/>
      <c r="J543" s="336"/>
      <c r="K543" s="336"/>
      <c r="L543" s="336"/>
      <c r="M543" s="336"/>
      <c r="N543" s="754" t="str">
        <f ca="1">Q467</f>
        <v>m</v>
      </c>
      <c r="O543" s="513"/>
      <c r="P543" s="513"/>
      <c r="Q543" s="336"/>
      <c r="R543" s="336"/>
      <c r="S543" s="742" t="str">
        <f ca="1">Q468</f>
        <v>m</v>
      </c>
      <c r="T543" s="741"/>
      <c r="U543" s="741"/>
      <c r="V543" s="336"/>
      <c r="W543" s="336"/>
      <c r="X543" s="742" t="str">
        <f ca="1">Q469</f>
        <v>m</v>
      </c>
      <c r="Y543" s="742"/>
      <c r="Z543" s="742"/>
      <c r="AA543" s="336"/>
      <c r="AC543" s="742" t="str">
        <f ca="1">Q470</f>
        <v>m</v>
      </c>
      <c r="AD543" s="741"/>
      <c r="AE543" s="741"/>
      <c r="AG543" s="337" t="s">
        <v>689</v>
      </c>
      <c r="AH543" s="619" t="str">
        <f ca="1">Q466</f>
        <v>m</v>
      </c>
      <c r="AI543" s="508"/>
      <c r="AJ543" s="508"/>
      <c r="AK543" s="337" t="s">
        <v>546</v>
      </c>
      <c r="AL543" s="351"/>
      <c r="AM543" s="351"/>
      <c r="AP543" s="351"/>
      <c r="AQ543" s="351"/>
      <c r="AR543" s="351"/>
    </row>
    <row r="544" spans="1:46" ht="18" customHeight="1">
      <c r="A544" s="90"/>
      <c r="B544" s="336" t="s">
        <v>970</v>
      </c>
      <c r="C544" s="336"/>
      <c r="D544" s="336"/>
      <c r="E544" s="336"/>
      <c r="F544" s="336"/>
      <c r="G544" s="336"/>
      <c r="H544" s="508" t="str">
        <f>Y466</f>
        <v>직사각형</v>
      </c>
      <c r="I544" s="508"/>
      <c r="J544" s="508"/>
      <c r="K544" s="508"/>
      <c r="L544" s="508"/>
      <c r="M544" s="336"/>
      <c r="N544" s="336"/>
      <c r="O544" s="336"/>
      <c r="P544" s="336"/>
      <c r="Q544" s="336"/>
      <c r="R544" s="336"/>
      <c r="S544" s="336"/>
      <c r="T544" s="336"/>
      <c r="U544" s="336"/>
      <c r="V544" s="336"/>
      <c r="W544" s="336"/>
      <c r="X544" s="336"/>
      <c r="Y544" s="336"/>
      <c r="Z544" s="336"/>
      <c r="AA544" s="336"/>
      <c r="AB544" s="336"/>
      <c r="AG544" s="336"/>
      <c r="AH544" s="336"/>
      <c r="AI544" s="336"/>
      <c r="AJ544" s="336"/>
      <c r="AK544" s="336"/>
      <c r="AL544" s="336"/>
      <c r="AM544" s="336"/>
      <c r="AN544" s="336"/>
      <c r="AO544" s="336"/>
      <c r="AP544" s="336"/>
      <c r="AQ544" s="336"/>
      <c r="AR544" s="336"/>
      <c r="AS544" s="336"/>
      <c r="AT544" s="336"/>
    </row>
    <row r="545" spans="1:46" ht="18" customHeight="1">
      <c r="A545" s="90"/>
      <c r="B545" s="508" t="s">
        <v>971</v>
      </c>
      <c r="C545" s="508"/>
      <c r="D545" s="508"/>
      <c r="E545" s="508"/>
      <c r="F545" s="508"/>
      <c r="G545" s="508"/>
      <c r="H545" s="336"/>
      <c r="I545" s="336"/>
      <c r="J545" s="336"/>
      <c r="K545" s="336"/>
      <c r="L545" s="336"/>
      <c r="M545" s="743">
        <f>AD467</f>
        <v>1</v>
      </c>
      <c r="N545" s="743"/>
      <c r="O545" s="336"/>
      <c r="P545" s="336"/>
      <c r="Q545" s="336"/>
      <c r="R545" s="336"/>
      <c r="S545" s="336"/>
      <c r="T545" s="336"/>
      <c r="U545" s="336"/>
      <c r="V545" s="336"/>
      <c r="W545" s="336"/>
      <c r="X545" s="336"/>
      <c r="Y545" s="336"/>
      <c r="Z545" s="336"/>
      <c r="AA545" s="336"/>
      <c r="AB545" s="336"/>
      <c r="AC545" s="336"/>
      <c r="AD545" s="336"/>
      <c r="AE545" s="336"/>
      <c r="AF545" s="336"/>
      <c r="AG545" s="336"/>
      <c r="AH545" s="336"/>
      <c r="AI545" s="336"/>
      <c r="AJ545" s="336"/>
      <c r="AK545" s="336"/>
      <c r="AL545" s="336"/>
      <c r="AM545" s="336"/>
      <c r="AN545" s="336"/>
      <c r="AO545" s="336"/>
      <c r="AP545" s="336"/>
      <c r="AQ545" s="336"/>
      <c r="AR545" s="336"/>
      <c r="AS545" s="336"/>
      <c r="AT545" s="336"/>
    </row>
    <row r="546" spans="1:46" ht="18" customHeight="1">
      <c r="A546" s="90"/>
      <c r="B546" s="508"/>
      <c r="C546" s="508"/>
      <c r="D546" s="508"/>
      <c r="E546" s="508"/>
      <c r="F546" s="508"/>
      <c r="G546" s="508"/>
      <c r="H546" s="336"/>
      <c r="I546" s="336"/>
      <c r="J546" s="336"/>
      <c r="K546" s="336"/>
      <c r="L546" s="336"/>
      <c r="M546" s="743"/>
      <c r="N546" s="743"/>
      <c r="O546" s="336"/>
      <c r="P546" s="336"/>
      <c r="Q546" s="336"/>
      <c r="R546" s="336"/>
      <c r="S546" s="336"/>
      <c r="T546" s="336"/>
      <c r="U546" s="336"/>
      <c r="V546" s="336"/>
      <c r="W546" s="336"/>
      <c r="X546" s="336"/>
      <c r="Y546" s="336"/>
      <c r="Z546" s="336"/>
      <c r="AA546" s="336"/>
      <c r="AB546" s="336"/>
      <c r="AC546" s="336"/>
      <c r="AD546" s="336"/>
      <c r="AE546" s="336"/>
      <c r="AK546" s="336"/>
      <c r="AL546" s="336"/>
      <c r="AM546" s="336"/>
      <c r="AN546" s="336"/>
      <c r="AO546" s="336"/>
      <c r="AP546" s="336"/>
      <c r="AQ546" s="336"/>
      <c r="AR546" s="336"/>
      <c r="AS546" s="336"/>
      <c r="AT546" s="336"/>
    </row>
    <row r="547" spans="1:46" ht="18" customHeight="1">
      <c r="A547" s="90"/>
      <c r="B547" s="336" t="s">
        <v>767</v>
      </c>
      <c r="C547" s="336"/>
      <c r="D547" s="336"/>
      <c r="E547" s="336"/>
      <c r="F547" s="336"/>
      <c r="G547" s="336"/>
      <c r="H547" s="336"/>
      <c r="I547" s="336"/>
      <c r="J547" s="337" t="s">
        <v>721</v>
      </c>
      <c r="K547" s="513">
        <f>M545</f>
        <v>1</v>
      </c>
      <c r="L547" s="513"/>
      <c r="M547" s="337" t="s">
        <v>721</v>
      </c>
      <c r="N547" s="339" t="s">
        <v>694</v>
      </c>
      <c r="O547" s="619" t="str">
        <f ca="1">AH543</f>
        <v>m</v>
      </c>
      <c r="P547" s="619"/>
      <c r="Q547" s="619"/>
      <c r="R547" s="333" t="s">
        <v>546</v>
      </c>
      <c r="S547" s="351" t="s">
        <v>689</v>
      </c>
      <c r="T547" s="619" t="str">
        <f ca="1">O547</f>
        <v>m</v>
      </c>
      <c r="U547" s="619"/>
      <c r="V547" s="619"/>
      <c r="W547" s="333" t="s">
        <v>657</v>
      </c>
      <c r="X547" s="239"/>
      <c r="Y547" s="336"/>
      <c r="Z547" s="336"/>
      <c r="AA547" s="336"/>
      <c r="AB547" s="336"/>
      <c r="AC547" s="336"/>
      <c r="AD547" s="336"/>
      <c r="AE547" s="336"/>
      <c r="AK547" s="336"/>
      <c r="AL547" s="336"/>
      <c r="AM547" s="336"/>
      <c r="AN547" s="336"/>
      <c r="AO547" s="336"/>
      <c r="AP547" s="336"/>
      <c r="AQ547" s="336"/>
      <c r="AR547" s="336"/>
      <c r="AS547" s="336"/>
      <c r="AT547" s="336"/>
    </row>
    <row r="548" spans="1:46" ht="18" customHeight="1">
      <c r="A548" s="90"/>
      <c r="B548" s="508" t="s">
        <v>769</v>
      </c>
      <c r="C548" s="508"/>
      <c r="D548" s="508"/>
      <c r="E548" s="508"/>
      <c r="F548" s="508"/>
      <c r="G548" s="508"/>
      <c r="H548" s="336"/>
      <c r="I548" s="336"/>
      <c r="J548" s="336"/>
      <c r="K548" s="96"/>
      <c r="L548" s="336"/>
      <c r="M548" s="336"/>
      <c r="N548" s="336"/>
      <c r="O548" s="336"/>
      <c r="P548" s="336"/>
      <c r="Q548" s="336"/>
      <c r="R548" s="744" t="str">
        <f ca="1">AH543</f>
        <v>m</v>
      </c>
      <c r="S548" s="744"/>
      <c r="T548" s="744"/>
      <c r="U548" s="744"/>
      <c r="V548" s="744"/>
      <c r="W548" s="744"/>
      <c r="X548" s="744"/>
      <c r="Y548" s="744"/>
      <c r="Z548" s="744"/>
      <c r="AA548" s="744"/>
      <c r="AB548" s="744"/>
      <c r="AC548" s="744"/>
      <c r="AD548" s="744"/>
      <c r="AE548" s="744"/>
      <c r="AF548" s="744"/>
      <c r="AG548" s="744"/>
      <c r="AH548" s="744"/>
      <c r="AI548" s="744"/>
      <c r="AJ548" s="744"/>
      <c r="AK548" s="513" t="s">
        <v>689</v>
      </c>
      <c r="AL548" s="743">
        <f ca="1">AT466</f>
        <v>0</v>
      </c>
      <c r="AM548" s="743"/>
      <c r="AN548" s="743"/>
      <c r="AO548" s="743"/>
      <c r="AP548" s="336"/>
      <c r="AQ548" s="336"/>
      <c r="AR548" s="336"/>
      <c r="AS548" s="336"/>
      <c r="AT548" s="336"/>
    </row>
    <row r="549" spans="1:46" ht="18" customHeight="1">
      <c r="A549" s="90"/>
      <c r="B549" s="508"/>
      <c r="C549" s="508"/>
      <c r="D549" s="508"/>
      <c r="E549" s="508"/>
      <c r="F549" s="508"/>
      <c r="G549" s="508"/>
      <c r="H549" s="336"/>
      <c r="I549" s="336"/>
      <c r="J549" s="336"/>
      <c r="K549" s="96"/>
      <c r="L549" s="341"/>
      <c r="M549" s="341"/>
      <c r="N549" s="341"/>
      <c r="O549" s="341"/>
      <c r="P549" s="341"/>
      <c r="Q549" s="336"/>
      <c r="R549" s="744" t="str">
        <f ca="1">N543</f>
        <v>m</v>
      </c>
      <c r="S549" s="744"/>
      <c r="T549" s="744"/>
      <c r="U549" s="744"/>
      <c r="V549" s="513" t="s">
        <v>972</v>
      </c>
      <c r="W549" s="744" t="str">
        <f ca="1">S543</f>
        <v>m</v>
      </c>
      <c r="X549" s="744"/>
      <c r="Y549" s="744"/>
      <c r="Z549" s="744"/>
      <c r="AA549" s="513" t="s">
        <v>972</v>
      </c>
      <c r="AB549" s="744" t="str">
        <f ca="1">X543</f>
        <v>m</v>
      </c>
      <c r="AC549" s="521"/>
      <c r="AD549" s="521"/>
      <c r="AE549" s="521"/>
      <c r="AF549" s="513" t="s">
        <v>972</v>
      </c>
      <c r="AG549" s="744" t="str">
        <f ca="1">AC543</f>
        <v>m</v>
      </c>
      <c r="AH549" s="521"/>
      <c r="AI549" s="521"/>
      <c r="AJ549" s="521"/>
      <c r="AK549" s="513"/>
      <c r="AL549" s="743"/>
      <c r="AM549" s="743"/>
      <c r="AN549" s="743"/>
      <c r="AO549" s="743"/>
      <c r="AP549" s="336"/>
      <c r="AQ549" s="336"/>
      <c r="AR549" s="336"/>
      <c r="AS549" s="336"/>
      <c r="AT549" s="336"/>
    </row>
    <row r="550" spans="1:46" ht="18" customHeight="1">
      <c r="A550" s="90"/>
      <c r="B550" s="336"/>
      <c r="C550" s="336"/>
      <c r="D550" s="336"/>
      <c r="E550" s="336"/>
      <c r="F550" s="336"/>
      <c r="G550" s="336"/>
      <c r="H550" s="336"/>
      <c r="I550" s="336"/>
      <c r="J550" s="336"/>
      <c r="K550" s="96"/>
      <c r="L550" s="341"/>
      <c r="M550" s="341"/>
      <c r="N550" s="341"/>
      <c r="O550" s="341"/>
      <c r="P550" s="341"/>
      <c r="Q550" s="336"/>
      <c r="R550" s="520" t="str">
        <f>AT467</f>
        <v>∞</v>
      </c>
      <c r="S550" s="520"/>
      <c r="T550" s="520"/>
      <c r="U550" s="520"/>
      <c r="V550" s="513"/>
      <c r="W550" s="520">
        <f>AT468</f>
        <v>12.5</v>
      </c>
      <c r="X550" s="520"/>
      <c r="Y550" s="520"/>
      <c r="Z550" s="520"/>
      <c r="AA550" s="513"/>
      <c r="AB550" s="520">
        <f>AT469</f>
        <v>12.5</v>
      </c>
      <c r="AC550" s="520"/>
      <c r="AD550" s="520"/>
      <c r="AE550" s="520"/>
      <c r="AF550" s="513"/>
      <c r="AG550" s="520">
        <f>AT470</f>
        <v>2</v>
      </c>
      <c r="AH550" s="520"/>
      <c r="AI550" s="520"/>
      <c r="AJ550" s="520"/>
      <c r="AK550" s="336"/>
      <c r="AL550" s="336"/>
      <c r="AM550" s="336"/>
      <c r="AN550" s="336"/>
      <c r="AO550" s="336"/>
      <c r="AP550" s="336"/>
      <c r="AQ550" s="336"/>
      <c r="AR550" s="336"/>
      <c r="AS550" s="336"/>
      <c r="AT550" s="336"/>
    </row>
    <row r="551" spans="1:46" ht="18" customHeight="1">
      <c r="A551" s="90"/>
      <c r="B551" s="336"/>
      <c r="C551" s="336"/>
      <c r="D551" s="336"/>
      <c r="E551" s="336"/>
      <c r="F551" s="336"/>
      <c r="G551" s="336"/>
      <c r="H551" s="336"/>
      <c r="I551" s="336"/>
      <c r="J551" s="336"/>
      <c r="K551" s="336"/>
      <c r="L551" s="336"/>
      <c r="M551" s="336"/>
      <c r="N551" s="336"/>
      <c r="O551" s="336"/>
      <c r="P551" s="336"/>
      <c r="Q551" s="336"/>
      <c r="R551" s="336"/>
      <c r="S551" s="336"/>
      <c r="T551" s="336"/>
      <c r="U551" s="336"/>
      <c r="V551" s="336"/>
      <c r="W551" s="336"/>
      <c r="X551" s="336"/>
      <c r="Y551" s="336"/>
      <c r="Z551" s="336"/>
      <c r="AA551" s="336"/>
      <c r="AB551" s="336"/>
      <c r="AC551" s="336"/>
      <c r="AD551" s="336"/>
      <c r="AE551" s="336"/>
      <c r="AF551" s="336"/>
      <c r="AG551" s="336"/>
      <c r="AH551" s="336"/>
      <c r="AI551" s="336"/>
      <c r="AJ551" s="336"/>
      <c r="AK551" s="336"/>
      <c r="AL551" s="336"/>
      <c r="AM551" s="336"/>
      <c r="AN551" s="336"/>
      <c r="AO551" s="336"/>
      <c r="AP551" s="336"/>
      <c r="AQ551" s="336"/>
      <c r="AR551" s="336"/>
      <c r="AS551" s="336"/>
      <c r="AT551" s="336"/>
    </row>
    <row r="552" spans="1:46" ht="18" customHeight="1">
      <c r="A552" s="90"/>
      <c r="B552" s="97" t="s">
        <v>773</v>
      </c>
      <c r="D552" s="336"/>
      <c r="E552" s="336"/>
      <c r="F552" s="336"/>
      <c r="G552" s="336"/>
      <c r="H552" s="336"/>
      <c r="I552" s="336"/>
      <c r="J552" s="336"/>
      <c r="K552" s="336"/>
      <c r="L552" s="336"/>
      <c r="M552" s="336"/>
      <c r="N552" s="336"/>
      <c r="O552" s="336"/>
      <c r="P552" s="348" t="s">
        <v>973</v>
      </c>
      <c r="Q552" s="336"/>
      <c r="S552" s="336"/>
      <c r="U552" s="336"/>
      <c r="V552" s="336"/>
      <c r="W552" s="336"/>
      <c r="X552" s="336"/>
      <c r="Y552" s="336"/>
      <c r="Z552" s="336"/>
      <c r="AA552" s="336"/>
      <c r="AB552" s="336"/>
      <c r="AC552" s="336"/>
      <c r="AD552" s="336"/>
      <c r="AE552" s="336"/>
      <c r="AF552" s="336"/>
      <c r="AG552" s="336"/>
      <c r="AH552" s="336"/>
      <c r="AI552" s="336"/>
      <c r="AJ552" s="336"/>
      <c r="AK552" s="336"/>
      <c r="AL552" s="336"/>
      <c r="AM552" s="336"/>
      <c r="AN552" s="336"/>
      <c r="AO552" s="336"/>
      <c r="AP552" s="336"/>
      <c r="AQ552" s="336"/>
      <c r="AR552" s="336"/>
      <c r="AS552" s="336"/>
      <c r="AT552" s="336"/>
    </row>
    <row r="553" spans="1:46" ht="18" customHeight="1">
      <c r="A553" s="90"/>
      <c r="B553" s="85" t="s">
        <v>974</v>
      </c>
      <c r="C553" s="97"/>
      <c r="D553" s="336"/>
      <c r="E553" s="336"/>
      <c r="F553" s="336"/>
      <c r="G553" s="336"/>
      <c r="H553" s="336"/>
      <c r="I553" s="336"/>
      <c r="J553" s="336"/>
      <c r="K553" s="336"/>
      <c r="L553" s="336"/>
      <c r="M553" s="336"/>
      <c r="N553" s="336"/>
      <c r="O553" s="336"/>
      <c r="P553" s="336"/>
      <c r="Q553" s="336"/>
      <c r="R553" s="348"/>
      <c r="S553" s="336"/>
      <c r="U553" s="336"/>
      <c r="V553" s="336"/>
      <c r="W553" s="336"/>
      <c r="X553" s="336"/>
      <c r="Y553" s="336"/>
      <c r="Z553" s="336"/>
      <c r="AA553" s="336"/>
      <c r="AB553" s="336"/>
      <c r="AC553" s="336"/>
      <c r="AD553" s="336"/>
      <c r="AE553" s="336"/>
      <c r="AF553" s="336"/>
      <c r="AG553" s="336"/>
      <c r="AH553" s="336"/>
      <c r="AI553" s="336"/>
      <c r="AJ553" s="336"/>
      <c r="AK553" s="336"/>
      <c r="AL553" s="336"/>
      <c r="AM553" s="336"/>
      <c r="AN553" s="336"/>
      <c r="AO553" s="336"/>
      <c r="AP553" s="336"/>
      <c r="AQ553" s="336"/>
      <c r="AR553" s="336"/>
      <c r="AS553" s="336"/>
      <c r="AT553" s="336"/>
    </row>
    <row r="554" spans="1:46" ht="18" customHeight="1">
      <c r="A554" s="90"/>
      <c r="B554" s="336" t="s">
        <v>975</v>
      </c>
      <c r="C554" s="336"/>
      <c r="D554" s="336"/>
      <c r="E554" s="336"/>
      <c r="F554" s="336"/>
      <c r="G554" s="513">
        <v>0</v>
      </c>
      <c r="H554" s="513"/>
      <c r="I554" s="513"/>
      <c r="J554" s="513"/>
      <c r="K554" s="513"/>
      <c r="L554" s="506"/>
      <c r="M554" s="506"/>
      <c r="N554" s="506"/>
      <c r="O554" s="506"/>
      <c r="P554" s="506"/>
      <c r="Q554" s="506"/>
      <c r="R554" s="336"/>
      <c r="S554" s="336"/>
      <c r="T554" s="336"/>
      <c r="U554" s="336"/>
      <c r="V554" s="336"/>
      <c r="W554" s="336"/>
      <c r="X554" s="336"/>
      <c r="Y554" s="336"/>
      <c r="Z554" s="336"/>
      <c r="AA554" s="336"/>
      <c r="AB554" s="336"/>
      <c r="AC554" s="336"/>
      <c r="AD554" s="336"/>
      <c r="AE554" s="336"/>
      <c r="AF554" s="336"/>
      <c r="AG554" s="336"/>
      <c r="AH554" s="336"/>
      <c r="AI554" s="336"/>
      <c r="AJ554" s="336"/>
      <c r="AK554" s="336"/>
      <c r="AL554" s="336"/>
      <c r="AM554" s="336"/>
      <c r="AN554" s="336"/>
      <c r="AO554" s="336"/>
      <c r="AP554" s="336"/>
      <c r="AQ554" s="336"/>
      <c r="AR554" s="336"/>
      <c r="AS554" s="336"/>
      <c r="AT554" s="336"/>
    </row>
    <row r="555" spans="1:46" ht="18" customHeight="1">
      <c r="A555" s="90"/>
      <c r="B555" s="336" t="s">
        <v>777</v>
      </c>
      <c r="C555" s="336"/>
      <c r="D555" s="336"/>
      <c r="E555" s="336"/>
      <c r="F555" s="336"/>
      <c r="G555" s="336"/>
      <c r="H555" s="336"/>
      <c r="I555" s="336" t="s">
        <v>976</v>
      </c>
      <c r="J555" s="336"/>
      <c r="K555" s="336"/>
      <c r="L555" s="336"/>
      <c r="M555" s="336"/>
      <c r="N555" s="336"/>
      <c r="O555" s="508">
        <f>Calcu_ADJ!G3</f>
        <v>0</v>
      </c>
      <c r="P555" s="508"/>
      <c r="Q555" s="336" t="s">
        <v>546</v>
      </c>
      <c r="R555" s="336"/>
      <c r="S555" s="336"/>
      <c r="T555" s="336"/>
      <c r="U555" s="93"/>
      <c r="V555" s="93"/>
      <c r="W555" s="93"/>
      <c r="X555" s="336"/>
      <c r="Y555" s="94"/>
      <c r="Z555" s="94"/>
      <c r="AA555" s="94"/>
      <c r="AB555" s="92"/>
      <c r="AC555" s="92"/>
      <c r="AD555" s="336"/>
      <c r="AE555" s="336"/>
      <c r="AF555" s="336"/>
      <c r="AG555" s="336"/>
      <c r="AH555" s="336"/>
      <c r="AI555" s="336"/>
      <c r="AJ555" s="336"/>
      <c r="AK555" s="336"/>
      <c r="AL555" s="336"/>
      <c r="AM555" s="336"/>
      <c r="AN555" s="336"/>
      <c r="AO555" s="336"/>
      <c r="AP555" s="336"/>
      <c r="AQ555" s="336"/>
      <c r="AR555" s="336"/>
      <c r="AS555" s="336"/>
      <c r="AT555" s="336"/>
    </row>
    <row r="556" spans="1:46" ht="18" customHeight="1">
      <c r="A556" s="90"/>
      <c r="B556" s="336"/>
      <c r="C556" s="336"/>
      <c r="D556" s="336"/>
      <c r="E556" s="336"/>
      <c r="F556" s="336"/>
      <c r="G556" s="336"/>
      <c r="H556" s="336"/>
      <c r="I556" s="512" t="s">
        <v>780</v>
      </c>
      <c r="J556" s="512"/>
      <c r="K556" s="512"/>
      <c r="L556" s="513" t="s">
        <v>689</v>
      </c>
      <c r="M556" s="514" t="s">
        <v>977</v>
      </c>
      <c r="N556" s="514"/>
      <c r="O556" s="514"/>
      <c r="P556" s="513" t="s">
        <v>689</v>
      </c>
      <c r="Q556" s="515">
        <f>O555</f>
        <v>0</v>
      </c>
      <c r="R556" s="515"/>
      <c r="S556" s="516" t="str">
        <f>Q555</f>
        <v>m</v>
      </c>
      <c r="T556" s="516"/>
      <c r="U556" s="517" t="s">
        <v>689</v>
      </c>
      <c r="V556" s="619">
        <f>Q556/2/SQRT(3)</f>
        <v>0</v>
      </c>
      <c r="W556" s="619"/>
      <c r="X556" s="619"/>
      <c r="Y556" s="518" t="str">
        <f>S556</f>
        <v>m</v>
      </c>
      <c r="Z556" s="508"/>
      <c r="AA556" s="336"/>
      <c r="AB556" s="336"/>
      <c r="AC556" s="336"/>
      <c r="AD556" s="336"/>
      <c r="AE556" s="336"/>
      <c r="AF556" s="336"/>
      <c r="AG556" s="336"/>
      <c r="AH556" s="99"/>
      <c r="AI556" s="99"/>
      <c r="AJ556" s="99"/>
      <c r="AK556" s="99"/>
      <c r="AL556" s="336"/>
      <c r="AM556" s="336"/>
      <c r="AN556" s="336"/>
      <c r="AO556" s="336"/>
      <c r="AP556" s="336"/>
      <c r="AQ556" s="336"/>
      <c r="AR556" s="336"/>
      <c r="AS556" s="336"/>
      <c r="AT556" s="336"/>
    </row>
    <row r="557" spans="1:46" ht="18" customHeight="1">
      <c r="A557" s="90"/>
      <c r="B557" s="336"/>
      <c r="C557" s="336"/>
      <c r="D557" s="336"/>
      <c r="E557" s="336"/>
      <c r="F557" s="336"/>
      <c r="G557" s="336"/>
      <c r="H557" s="336"/>
      <c r="I557" s="512"/>
      <c r="J557" s="512"/>
      <c r="K557" s="512"/>
      <c r="L557" s="513"/>
      <c r="M557" s="81"/>
      <c r="N557" s="81"/>
      <c r="O557" s="336"/>
      <c r="P557" s="513"/>
      <c r="Q557" s="352"/>
      <c r="R557" s="352"/>
      <c r="S557" s="352"/>
      <c r="T557" s="352"/>
      <c r="U557" s="517"/>
      <c r="V557" s="619"/>
      <c r="W557" s="619"/>
      <c r="X557" s="619"/>
      <c r="Y557" s="508"/>
      <c r="Z557" s="508"/>
      <c r="AA557" s="336"/>
      <c r="AB557" s="336"/>
      <c r="AC557" s="336"/>
      <c r="AD557" s="336"/>
      <c r="AE557" s="336"/>
      <c r="AF557" s="336"/>
      <c r="AG557" s="336"/>
      <c r="AH557" s="338"/>
      <c r="AI557" s="336"/>
      <c r="AJ557" s="100"/>
      <c r="AK557" s="338"/>
      <c r="AL557" s="338"/>
      <c r="AM557" s="338"/>
      <c r="AN557" s="332"/>
      <c r="AO557" s="332"/>
      <c r="AP557" s="336"/>
      <c r="AQ557" s="336"/>
      <c r="AR557" s="336"/>
      <c r="AS557" s="336"/>
      <c r="AT557" s="336"/>
    </row>
    <row r="558" spans="1:46" ht="18" customHeight="1">
      <c r="A558" s="90"/>
      <c r="B558" s="336" t="s">
        <v>978</v>
      </c>
      <c r="C558" s="336"/>
      <c r="D558" s="336"/>
      <c r="E558" s="336"/>
      <c r="F558" s="336"/>
      <c r="G558" s="336"/>
      <c r="H558" s="508" t="str">
        <f>Y467</f>
        <v>직사각형</v>
      </c>
      <c r="I558" s="508"/>
      <c r="J558" s="508"/>
      <c r="K558" s="508"/>
      <c r="L558" s="508"/>
      <c r="M558" s="336"/>
      <c r="N558" s="336"/>
      <c r="O558" s="336"/>
      <c r="P558" s="336"/>
      <c r="Q558" s="336"/>
      <c r="R558" s="336"/>
      <c r="S558" s="336"/>
      <c r="T558" s="336"/>
      <c r="U558" s="336"/>
      <c r="V558" s="336"/>
      <c r="W558" s="336"/>
      <c r="X558" s="336"/>
      <c r="Y558" s="336"/>
      <c r="Z558" s="336"/>
      <c r="AA558" s="336"/>
      <c r="AB558" s="336"/>
      <c r="AC558" s="336"/>
      <c r="AD558" s="336"/>
      <c r="AE558" s="336"/>
      <c r="AF558" s="336"/>
      <c r="AG558" s="336"/>
      <c r="AH558" s="336"/>
      <c r="AI558" s="336"/>
      <c r="AJ558" s="336"/>
      <c r="AK558" s="336"/>
      <c r="AL558" s="336"/>
      <c r="AM558" s="336"/>
      <c r="AN558" s="336"/>
      <c r="AO558" s="336"/>
      <c r="AP558" s="336"/>
      <c r="AQ558" s="336"/>
      <c r="AR558" s="336"/>
      <c r="AS558" s="336"/>
      <c r="AT558" s="336"/>
    </row>
    <row r="559" spans="1:46" ht="18" customHeight="1">
      <c r="A559" s="90"/>
      <c r="B559" s="508" t="s">
        <v>979</v>
      </c>
      <c r="C559" s="508"/>
      <c r="D559" s="508"/>
      <c r="E559" s="508"/>
      <c r="F559" s="508"/>
      <c r="G559" s="508"/>
      <c r="H559" s="336"/>
      <c r="I559" s="336"/>
      <c r="J559" s="336"/>
      <c r="K559" s="336"/>
      <c r="L559" s="336"/>
      <c r="M559" s="336"/>
      <c r="N559" s="513">
        <f>AD467</f>
        <v>1</v>
      </c>
      <c r="O559" s="513"/>
      <c r="P559" s="336"/>
      <c r="Q559" s="336"/>
      <c r="R559" s="336"/>
      <c r="S559" s="336"/>
      <c r="T559" s="336"/>
      <c r="U559" s="336"/>
      <c r="V559" s="336"/>
      <c r="W559" s="336"/>
      <c r="X559" s="336"/>
      <c r="Y559" s="336"/>
      <c r="Z559" s="336"/>
      <c r="AA559" s="336"/>
      <c r="AB559" s="336"/>
      <c r="AC559" s="336"/>
      <c r="AD559" s="336"/>
      <c r="AE559" s="336"/>
      <c r="AF559" s="357"/>
      <c r="AG559" s="357"/>
      <c r="AH559" s="357"/>
      <c r="AI559" s="357"/>
      <c r="AJ559" s="354"/>
      <c r="AK559" s="354"/>
      <c r="AL559" s="354"/>
      <c r="AM559" s="354"/>
      <c r="AN559" s="336"/>
      <c r="AO559" s="336"/>
      <c r="AP559" s="336"/>
      <c r="AQ559" s="336"/>
      <c r="AR559" s="336"/>
      <c r="AS559" s="336"/>
      <c r="AT559" s="336"/>
    </row>
    <row r="560" spans="1:46" ht="18" customHeight="1">
      <c r="A560" s="90"/>
      <c r="B560" s="508"/>
      <c r="C560" s="508"/>
      <c r="D560" s="508"/>
      <c r="E560" s="508"/>
      <c r="F560" s="508"/>
      <c r="G560" s="508"/>
      <c r="H560" s="336"/>
      <c r="I560" s="336"/>
      <c r="J560" s="336"/>
      <c r="K560" s="336"/>
      <c r="L560" s="336"/>
      <c r="M560" s="336"/>
      <c r="N560" s="513"/>
      <c r="O560" s="513"/>
      <c r="P560" s="336"/>
      <c r="Q560" s="336"/>
      <c r="R560" s="336"/>
      <c r="S560" s="336"/>
      <c r="T560" s="336"/>
      <c r="AF560" s="357"/>
      <c r="AG560" s="357"/>
      <c r="AH560" s="357"/>
      <c r="AI560" s="357"/>
      <c r="AJ560" s="354"/>
      <c r="AK560" s="354"/>
      <c r="AL560" s="354"/>
      <c r="AM560" s="354"/>
      <c r="AN560" s="336"/>
      <c r="AO560" s="336"/>
      <c r="AP560" s="336"/>
      <c r="AQ560" s="336"/>
      <c r="AR560" s="336"/>
      <c r="AS560" s="336"/>
      <c r="AT560" s="336"/>
    </row>
    <row r="561" spans="1:46" ht="18" customHeight="1">
      <c r="A561" s="90"/>
      <c r="B561" s="336" t="s">
        <v>980</v>
      </c>
      <c r="C561" s="336"/>
      <c r="D561" s="336"/>
      <c r="E561" s="336"/>
      <c r="F561" s="336"/>
      <c r="G561" s="336"/>
      <c r="H561" s="336"/>
      <c r="I561" s="336"/>
      <c r="J561" s="337" t="s">
        <v>981</v>
      </c>
      <c r="K561" s="620">
        <f>N559</f>
        <v>1</v>
      </c>
      <c r="L561" s="620"/>
      <c r="M561" s="337" t="s">
        <v>721</v>
      </c>
      <c r="N561" s="340" t="s">
        <v>693</v>
      </c>
      <c r="O561" s="619">
        <f>V556</f>
        <v>0</v>
      </c>
      <c r="P561" s="508"/>
      <c r="Q561" s="508"/>
      <c r="R561" s="518" t="str">
        <f>Y556</f>
        <v>m</v>
      </c>
      <c r="S561" s="508"/>
      <c r="T561" s="337" t="s">
        <v>689</v>
      </c>
      <c r="U561" s="619">
        <f>ABS(K561*O561)</f>
        <v>0</v>
      </c>
      <c r="V561" s="619"/>
      <c r="W561" s="619"/>
      <c r="X561" s="508" t="s">
        <v>546</v>
      </c>
      <c r="Y561" s="508"/>
      <c r="AF561" s="336"/>
      <c r="AG561" s="336"/>
      <c r="AH561" s="336"/>
      <c r="AI561" s="336"/>
      <c r="AJ561" s="336"/>
      <c r="AK561" s="336"/>
      <c r="AL561" s="336"/>
      <c r="AM561" s="336"/>
      <c r="AN561" s="336"/>
      <c r="AO561" s="336"/>
      <c r="AP561" s="336"/>
      <c r="AQ561" s="336"/>
      <c r="AR561" s="336"/>
      <c r="AS561" s="336"/>
      <c r="AT561" s="336"/>
    </row>
    <row r="562" spans="1:46" ht="18" customHeight="1">
      <c r="A562" s="90"/>
      <c r="B562" s="336" t="s">
        <v>982</v>
      </c>
      <c r="C562" s="336"/>
      <c r="D562" s="336"/>
      <c r="E562" s="336"/>
      <c r="F562" s="336"/>
      <c r="G562" s="336"/>
      <c r="H562" s="336"/>
      <c r="I562" s="336"/>
      <c r="J562" s="336"/>
      <c r="K562" s="96" t="s">
        <v>983</v>
      </c>
      <c r="L562" s="508" t="str">
        <f>AT467</f>
        <v>∞</v>
      </c>
      <c r="M562" s="508"/>
      <c r="N562" s="508"/>
      <c r="O562" s="508"/>
      <c r="P562" s="508"/>
      <c r="Q562" s="336"/>
      <c r="R562" s="336"/>
      <c r="S562" s="336"/>
      <c r="T562" s="336"/>
      <c r="U562" s="336"/>
      <c r="V562" s="336"/>
      <c r="W562" s="336"/>
      <c r="X562" s="336"/>
      <c r="Y562" s="336"/>
      <c r="Z562" s="336"/>
      <c r="AA562" s="336"/>
      <c r="AB562" s="336"/>
      <c r="AC562" s="336"/>
      <c r="AD562" s="336"/>
      <c r="AE562" s="336"/>
      <c r="AF562" s="336"/>
      <c r="AG562" s="336"/>
      <c r="AH562" s="336"/>
      <c r="AI562" s="336"/>
      <c r="AJ562" s="336"/>
      <c r="AK562" s="336"/>
      <c r="AL562" s="336"/>
      <c r="AM562" s="336"/>
      <c r="AN562" s="336"/>
      <c r="AO562" s="336"/>
      <c r="AP562" s="336"/>
      <c r="AQ562" s="336"/>
      <c r="AR562" s="336"/>
      <c r="AS562" s="336"/>
      <c r="AT562" s="336"/>
    </row>
    <row r="563" spans="1:46" ht="18" customHeight="1">
      <c r="A563" s="90"/>
      <c r="B563" s="336"/>
      <c r="C563" s="336"/>
      <c r="D563" s="336"/>
      <c r="E563" s="336"/>
      <c r="F563" s="336"/>
      <c r="G563" s="336"/>
      <c r="H563" s="336"/>
      <c r="I563" s="336"/>
      <c r="J563" s="336"/>
      <c r="K563" s="336"/>
      <c r="L563" s="336"/>
      <c r="M563" s="336"/>
      <c r="N563" s="336"/>
      <c r="O563" s="336"/>
      <c r="P563" s="336"/>
      <c r="Q563" s="336"/>
      <c r="R563" s="336"/>
      <c r="S563" s="336"/>
      <c r="T563" s="336"/>
      <c r="U563" s="336"/>
      <c r="V563" s="336"/>
      <c r="W563" s="336"/>
      <c r="X563" s="336"/>
      <c r="Y563" s="336"/>
      <c r="Z563" s="336"/>
      <c r="AA563" s="336"/>
      <c r="AB563" s="336"/>
      <c r="AC563" s="336"/>
      <c r="AD563" s="336"/>
      <c r="AE563" s="336"/>
      <c r="AF563" s="336"/>
      <c r="AG563" s="336"/>
      <c r="AH563" s="336"/>
      <c r="AI563" s="336"/>
      <c r="AJ563" s="336"/>
      <c r="AK563" s="336"/>
      <c r="AL563" s="336"/>
      <c r="AM563" s="336"/>
      <c r="AN563" s="336"/>
      <c r="AO563" s="336"/>
      <c r="AP563" s="336"/>
      <c r="AQ563" s="336"/>
      <c r="AR563" s="336"/>
      <c r="AS563" s="336"/>
      <c r="AT563" s="336"/>
    </row>
    <row r="564" spans="1:46" ht="18" customHeight="1">
      <c r="A564" s="90"/>
      <c r="B564" s="97" t="s">
        <v>984</v>
      </c>
      <c r="D564" s="336"/>
      <c r="E564" s="336"/>
      <c r="F564" s="336"/>
      <c r="G564" s="336"/>
      <c r="H564" s="336"/>
      <c r="I564" s="336"/>
      <c r="J564" s="336"/>
      <c r="K564" s="336"/>
      <c r="L564" s="336"/>
      <c r="M564" s="336"/>
      <c r="N564" s="336"/>
      <c r="O564" s="336"/>
      <c r="P564" s="336"/>
      <c r="Q564" s="348" t="s">
        <v>985</v>
      </c>
      <c r="U564" s="336"/>
      <c r="V564" s="336"/>
      <c r="W564" s="336"/>
      <c r="X564" s="336"/>
      <c r="Y564" s="336"/>
      <c r="Z564" s="336"/>
      <c r="AA564" s="336"/>
      <c r="AB564" s="336"/>
      <c r="AC564" s="336"/>
      <c r="AD564" s="336"/>
      <c r="AE564" s="336"/>
      <c r="AF564" s="336"/>
      <c r="AG564" s="336"/>
      <c r="AH564" s="336"/>
      <c r="AI564" s="336"/>
      <c r="AJ564" s="336"/>
      <c r="AK564" s="336"/>
      <c r="AL564" s="336"/>
      <c r="AM564" s="336"/>
      <c r="AN564" s="336"/>
      <c r="AO564" s="336"/>
      <c r="AP564" s="336"/>
      <c r="AQ564" s="336"/>
      <c r="AR564" s="336"/>
      <c r="AS564" s="336"/>
      <c r="AT564" s="336"/>
    </row>
    <row r="565" spans="1:46" ht="18" customHeight="1">
      <c r="A565" s="90"/>
      <c r="B565" s="79" t="s">
        <v>791</v>
      </c>
      <c r="C565" s="336"/>
      <c r="D565" s="336"/>
      <c r="E565" s="336"/>
      <c r="F565" s="336"/>
      <c r="G565" s="336"/>
      <c r="H565" s="336"/>
      <c r="I565" s="336"/>
      <c r="J565" s="336"/>
      <c r="K565" s="336"/>
      <c r="L565" s="336"/>
      <c r="M565" s="336"/>
      <c r="N565" s="336"/>
      <c r="O565" s="336"/>
      <c r="P565" s="336"/>
      <c r="R565" s="348"/>
      <c r="T565" s="336"/>
      <c r="U565" s="336"/>
      <c r="V565" s="336"/>
      <c r="W565" s="336"/>
      <c r="X565" s="336"/>
      <c r="Y565" s="336"/>
      <c r="Z565" s="336"/>
      <c r="AA565" s="336"/>
      <c r="AB565" s="336"/>
      <c r="AC565" s="336"/>
      <c r="AD565" s="336"/>
      <c r="AE565" s="336"/>
      <c r="AF565" s="336"/>
      <c r="AG565" s="336"/>
      <c r="AH565" s="336"/>
      <c r="AI565" s="336"/>
      <c r="AJ565" s="336"/>
      <c r="AK565" s="336"/>
      <c r="AL565" s="336"/>
      <c r="AM565" s="336"/>
      <c r="AN565" s="336"/>
      <c r="AO565" s="336"/>
      <c r="AP565" s="336"/>
      <c r="AQ565" s="336"/>
      <c r="AR565" s="336"/>
      <c r="AS565" s="336"/>
    </row>
    <row r="566" spans="1:46" ht="18" customHeight="1">
      <c r="A566" s="90"/>
      <c r="B566" s="79" t="s">
        <v>986</v>
      </c>
      <c r="C566" s="336"/>
      <c r="D566" s="336"/>
      <c r="E566" s="336"/>
      <c r="F566" s="336"/>
      <c r="G566" s="336"/>
      <c r="H566" s="358"/>
      <c r="I566" s="358"/>
      <c r="J566" s="358"/>
      <c r="K566" s="357"/>
      <c r="L566" s="357"/>
      <c r="M566" s="357"/>
      <c r="N566" s="336"/>
      <c r="O566" s="336"/>
      <c r="Q566" s="348"/>
      <c r="S566" s="336"/>
      <c r="T566" s="336"/>
      <c r="U566" s="336"/>
      <c r="V566" s="336"/>
      <c r="W566" s="336"/>
      <c r="X566" s="336"/>
      <c r="Y566" s="336"/>
      <c r="Z566" s="336"/>
      <c r="AA566" s="336"/>
      <c r="AB566" s="336"/>
      <c r="AC566" s="336"/>
      <c r="AD566" s="336"/>
      <c r="AE566" s="336"/>
      <c r="AF566" s="336"/>
      <c r="AG566" s="336"/>
      <c r="AH566" s="336"/>
      <c r="AI566" s="336"/>
      <c r="AJ566" s="336"/>
      <c r="AK566" s="336"/>
      <c r="AL566" s="336"/>
      <c r="AM566" s="336"/>
      <c r="AN566" s="336"/>
      <c r="AO566" s="336"/>
      <c r="AP566" s="336"/>
      <c r="AQ566" s="336"/>
      <c r="AR566" s="336"/>
    </row>
    <row r="567" spans="1:46" ht="18" customHeight="1">
      <c r="A567" s="90"/>
      <c r="B567" s="79" t="s">
        <v>987</v>
      </c>
      <c r="C567" s="336"/>
      <c r="D567" s="336"/>
      <c r="E567" s="336"/>
      <c r="F567" s="336"/>
      <c r="G567" s="336"/>
      <c r="H567" s="336"/>
      <c r="I567" s="508" t="e">
        <f ca="1">S569</f>
        <v>#VALUE!</v>
      </c>
      <c r="J567" s="508"/>
      <c r="K567" s="508"/>
      <c r="L567" s="359" t="s">
        <v>546</v>
      </c>
      <c r="M567" s="359"/>
      <c r="N567" s="336"/>
      <c r="O567" s="336"/>
      <c r="P567" s="336"/>
      <c r="R567" s="348"/>
      <c r="T567" s="336"/>
      <c r="U567" s="336"/>
      <c r="V567" s="336"/>
      <c r="W567" s="336"/>
      <c r="X567" s="336"/>
      <c r="Y567" s="336"/>
      <c r="Z567" s="336"/>
      <c r="AA567" s="336"/>
      <c r="AB567" s="336"/>
      <c r="AC567" s="336"/>
      <c r="AD567" s="336"/>
      <c r="AE567" s="336"/>
      <c r="AF567" s="336"/>
      <c r="AG567" s="336"/>
      <c r="AH567" s="336"/>
      <c r="AI567" s="336"/>
      <c r="AJ567" s="336"/>
      <c r="AK567" s="336"/>
      <c r="AL567" s="336"/>
      <c r="AM567" s="336"/>
      <c r="AN567" s="336"/>
      <c r="AO567" s="336"/>
      <c r="AP567" s="336"/>
      <c r="AQ567" s="336"/>
      <c r="AR567" s="336"/>
      <c r="AS567" s="336"/>
    </row>
    <row r="568" spans="1:46" ht="18" customHeight="1">
      <c r="A568" s="90"/>
      <c r="B568" s="336" t="s">
        <v>796</v>
      </c>
      <c r="C568" s="336"/>
      <c r="D568" s="336"/>
      <c r="E568" s="336"/>
      <c r="F568" s="336"/>
      <c r="G568" s="513">
        <v>0</v>
      </c>
      <c r="H568" s="513"/>
      <c r="I568" s="513"/>
      <c r="J568" s="513"/>
      <c r="K568" s="513"/>
      <c r="L568" s="506"/>
      <c r="M568" s="506"/>
      <c r="N568" s="506"/>
      <c r="O568" s="506"/>
      <c r="P568" s="506"/>
      <c r="Q568" s="506"/>
      <c r="R568" s="348"/>
      <c r="T568" s="336"/>
      <c r="U568" s="336"/>
      <c r="V568" s="336"/>
      <c r="W568" s="336"/>
      <c r="X568" s="336"/>
      <c r="Y568" s="336"/>
      <c r="Z568" s="336"/>
      <c r="AA568" s="336"/>
      <c r="AB568" s="336"/>
      <c r="AC568" s="336"/>
      <c r="AD568" s="336"/>
      <c r="AE568" s="336"/>
      <c r="AF568" s="336"/>
      <c r="AG568" s="336"/>
      <c r="AH568" s="336"/>
      <c r="AI568" s="336"/>
      <c r="AJ568" s="336"/>
      <c r="AK568" s="336"/>
      <c r="AL568" s="336"/>
      <c r="AM568" s="336"/>
      <c r="AN568" s="336"/>
      <c r="AO568" s="336"/>
      <c r="AP568" s="336"/>
      <c r="AQ568" s="336"/>
      <c r="AR568" s="336"/>
      <c r="AS568" s="336"/>
      <c r="AT568" s="336"/>
    </row>
    <row r="569" spans="1:46" ht="18" customHeight="1">
      <c r="A569" s="90"/>
      <c r="B569" s="508" t="s">
        <v>988</v>
      </c>
      <c r="C569" s="508"/>
      <c r="D569" s="508"/>
      <c r="E569" s="508"/>
      <c r="F569" s="508"/>
      <c r="G569" s="508"/>
      <c r="H569" s="508"/>
      <c r="I569" s="512" t="s">
        <v>798</v>
      </c>
      <c r="J569" s="512"/>
      <c r="K569" s="512"/>
      <c r="L569" s="512"/>
      <c r="M569" s="512"/>
      <c r="N569" s="513" t="s">
        <v>689</v>
      </c>
      <c r="O569" s="617" t="s">
        <v>799</v>
      </c>
      <c r="P569" s="617"/>
      <c r="Q569" s="617"/>
      <c r="R569" s="513" t="s">
        <v>690</v>
      </c>
      <c r="S569" s="618" t="e">
        <f ca="1">X569*SQRT(3)*2</f>
        <v>#VALUE!</v>
      </c>
      <c r="T569" s="618"/>
      <c r="U569" s="360" t="s">
        <v>657</v>
      </c>
      <c r="V569" s="361"/>
      <c r="W569" s="517" t="s">
        <v>690</v>
      </c>
      <c r="X569" s="619" t="str">
        <f ca="1">Q468</f>
        <v>m</v>
      </c>
      <c r="Y569" s="508"/>
      <c r="Z569" s="508"/>
      <c r="AA569" s="518" t="str">
        <f>U569</f>
        <v>m</v>
      </c>
      <c r="AB569" s="518"/>
      <c r="AC569" s="518"/>
      <c r="AD569" s="91"/>
      <c r="AE569" s="99"/>
      <c r="AF569" s="99"/>
      <c r="AG569" s="99"/>
      <c r="AH569" s="99"/>
      <c r="AI569" s="99"/>
      <c r="AJ569" s="99"/>
      <c r="AK569" s="99"/>
      <c r="AL569" s="336"/>
      <c r="AM569" s="336"/>
      <c r="AN569" s="336"/>
      <c r="AO569" s="336"/>
      <c r="AP569" s="336"/>
      <c r="AQ569" s="336"/>
      <c r="AR569" s="336"/>
      <c r="AS569" s="336"/>
      <c r="AT569" s="336"/>
    </row>
    <row r="570" spans="1:46" ht="18" customHeight="1">
      <c r="A570" s="90"/>
      <c r="B570" s="508"/>
      <c r="C570" s="508"/>
      <c r="D570" s="508"/>
      <c r="E570" s="508"/>
      <c r="F570" s="508"/>
      <c r="G570" s="508"/>
      <c r="H570" s="508"/>
      <c r="I570" s="512"/>
      <c r="J570" s="512"/>
      <c r="K570" s="512"/>
      <c r="L570" s="512"/>
      <c r="M570" s="512"/>
      <c r="N570" s="513"/>
      <c r="O570" s="81"/>
      <c r="P570" s="81"/>
      <c r="Q570" s="91"/>
      <c r="R570" s="513"/>
      <c r="S570" s="352"/>
      <c r="T570" s="352"/>
      <c r="U570" s="352"/>
      <c r="V570" s="352"/>
      <c r="W570" s="517"/>
      <c r="X570" s="508"/>
      <c r="Y570" s="508"/>
      <c r="Z570" s="508"/>
      <c r="AA570" s="518"/>
      <c r="AB570" s="518"/>
      <c r="AC570" s="518"/>
      <c r="AD570" s="91"/>
      <c r="AE570" s="336"/>
      <c r="AF570" s="338"/>
      <c r="AG570" s="338"/>
      <c r="AH570" s="338"/>
      <c r="AI570" s="336"/>
      <c r="AJ570" s="100"/>
      <c r="AK570" s="338"/>
      <c r="AL570" s="338"/>
      <c r="AM570" s="338"/>
      <c r="AN570" s="332"/>
      <c r="AO570" s="332"/>
      <c r="AP570" s="336"/>
      <c r="AQ570" s="336"/>
      <c r="AR570" s="336"/>
      <c r="AS570" s="336"/>
      <c r="AT570" s="336"/>
    </row>
    <row r="571" spans="1:46" ht="18" customHeight="1">
      <c r="A571" s="90"/>
      <c r="B571" s="336" t="s">
        <v>989</v>
      </c>
      <c r="C571" s="336"/>
      <c r="D571" s="336"/>
      <c r="E571" s="336"/>
      <c r="F571" s="336"/>
      <c r="G571" s="336"/>
      <c r="H571" s="508">
        <f>Y525</f>
        <v>0</v>
      </c>
      <c r="I571" s="508"/>
      <c r="J571" s="508"/>
      <c r="K571" s="508"/>
      <c r="L571" s="508"/>
      <c r="M571" s="336"/>
      <c r="N571" s="336"/>
      <c r="O571" s="336"/>
      <c r="P571" s="336"/>
      <c r="Q571" s="336"/>
      <c r="R571" s="336"/>
      <c r="S571" s="336"/>
      <c r="T571" s="336"/>
      <c r="U571" s="336"/>
      <c r="V571" s="336"/>
      <c r="W571" s="336"/>
      <c r="X571" s="336"/>
      <c r="Y571" s="336"/>
      <c r="Z571" s="336"/>
      <c r="AA571" s="336"/>
      <c r="AB571" s="336"/>
      <c r="AC571" s="336"/>
      <c r="AD571" s="336"/>
      <c r="AE571" s="336"/>
      <c r="AF571" s="336"/>
      <c r="AG571" s="336"/>
      <c r="AH571" s="336"/>
      <c r="AI571" s="336"/>
      <c r="AJ571" s="336"/>
      <c r="AK571" s="336"/>
      <c r="AP571" s="336"/>
      <c r="AQ571" s="336"/>
      <c r="AR571" s="336"/>
      <c r="AS571" s="336"/>
      <c r="AT571" s="336"/>
    </row>
    <row r="572" spans="1:46" ht="18" customHeight="1">
      <c r="A572" s="90"/>
      <c r="B572" s="508" t="s">
        <v>802</v>
      </c>
      <c r="C572" s="508"/>
      <c r="D572" s="508"/>
      <c r="E572" s="508"/>
      <c r="F572" s="508"/>
      <c r="G572" s="508"/>
      <c r="H572" s="336"/>
      <c r="I572" s="336"/>
      <c r="J572" s="336"/>
      <c r="K572" s="336"/>
      <c r="L572" s="336"/>
      <c r="M572" s="336"/>
      <c r="N572" s="336"/>
      <c r="O572" s="336"/>
      <c r="P572" s="336"/>
      <c r="Q572" s="92"/>
      <c r="R572" s="92"/>
      <c r="S572" s="513">
        <f>AD468</f>
        <v>1</v>
      </c>
      <c r="T572" s="513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336"/>
      <c r="AH572" s="357"/>
      <c r="AI572" s="357"/>
      <c r="AJ572" s="357"/>
      <c r="AK572" s="357"/>
      <c r="AL572" s="354"/>
      <c r="AM572" s="354"/>
      <c r="AN572" s="354"/>
      <c r="AO572" s="354"/>
      <c r="AP572" s="336"/>
      <c r="AQ572" s="336"/>
      <c r="AR572" s="336"/>
      <c r="AS572" s="336"/>
      <c r="AT572" s="336"/>
    </row>
    <row r="573" spans="1:46" ht="18" customHeight="1">
      <c r="A573" s="90"/>
      <c r="B573" s="508"/>
      <c r="C573" s="508"/>
      <c r="D573" s="508"/>
      <c r="E573" s="508"/>
      <c r="F573" s="508"/>
      <c r="G573" s="508"/>
      <c r="H573" s="336"/>
      <c r="I573" s="336"/>
      <c r="J573" s="336"/>
      <c r="K573" s="336"/>
      <c r="L573" s="336"/>
      <c r="M573" s="336"/>
      <c r="N573" s="336"/>
      <c r="O573" s="336"/>
      <c r="P573" s="336"/>
      <c r="Q573" s="95"/>
      <c r="R573" s="92"/>
      <c r="S573" s="513"/>
      <c r="T573" s="513"/>
      <c r="U573" s="92"/>
      <c r="V573" s="92"/>
      <c r="W573" s="92"/>
      <c r="X573" s="92"/>
      <c r="Y573" s="98"/>
      <c r="Z573" s="336"/>
      <c r="AA573" s="336"/>
      <c r="AB573" s="336"/>
      <c r="AC573" s="336"/>
      <c r="AD573" s="92"/>
      <c r="AE573" s="92"/>
      <c r="AF573" s="92"/>
      <c r="AG573" s="336"/>
      <c r="AH573" s="357"/>
      <c r="AI573" s="357"/>
      <c r="AJ573" s="357"/>
      <c r="AK573" s="357"/>
      <c r="AL573" s="354"/>
      <c r="AM573" s="354"/>
      <c r="AN573" s="354"/>
      <c r="AO573" s="354"/>
      <c r="AP573" s="336"/>
      <c r="AQ573" s="336"/>
      <c r="AR573" s="336"/>
      <c r="AS573" s="336"/>
      <c r="AT573" s="336"/>
    </row>
    <row r="574" spans="1:46" ht="18" customHeight="1">
      <c r="A574" s="90"/>
      <c r="B574" s="336" t="s">
        <v>990</v>
      </c>
      <c r="C574" s="336"/>
      <c r="D574" s="336"/>
      <c r="E574" s="336"/>
      <c r="F574" s="336"/>
      <c r="G574" s="336"/>
      <c r="H574" s="336"/>
      <c r="I574" s="336"/>
      <c r="J574" s="337" t="s">
        <v>786</v>
      </c>
      <c r="K574" s="620">
        <f>S572</f>
        <v>1</v>
      </c>
      <c r="L574" s="620"/>
      <c r="M574" s="337" t="s">
        <v>721</v>
      </c>
      <c r="N574" s="340" t="s">
        <v>693</v>
      </c>
      <c r="O574" s="619" t="str">
        <f ca="1">X569</f>
        <v>m</v>
      </c>
      <c r="P574" s="508"/>
      <c r="Q574" s="508"/>
      <c r="R574" s="518" t="str">
        <f>AA569</f>
        <v>m</v>
      </c>
      <c r="S574" s="508"/>
      <c r="T574" s="337" t="s">
        <v>690</v>
      </c>
      <c r="U574" s="619" t="e">
        <f ca="1">ABS(K574*O574)</f>
        <v>#VALUE!</v>
      </c>
      <c r="V574" s="619"/>
      <c r="W574" s="619"/>
      <c r="X574" s="508" t="s">
        <v>657</v>
      </c>
      <c r="Y574" s="508"/>
      <c r="AF574" s="336"/>
      <c r="AG574" s="336"/>
      <c r="AH574" s="336"/>
      <c r="AI574" s="336"/>
      <c r="AJ574" s="336"/>
      <c r="AK574" s="336"/>
      <c r="AL574" s="336"/>
      <c r="AM574" s="336"/>
      <c r="AN574" s="336"/>
      <c r="AO574" s="336"/>
      <c r="AP574" s="336"/>
      <c r="AQ574" s="336"/>
      <c r="AR574" s="336"/>
      <c r="AS574" s="336"/>
      <c r="AT574" s="336"/>
    </row>
    <row r="575" spans="1:46" ht="18" customHeight="1">
      <c r="A575" s="90"/>
      <c r="B575" s="607" t="s">
        <v>807</v>
      </c>
      <c r="C575" s="607"/>
      <c r="D575" s="607"/>
      <c r="E575" s="607"/>
      <c r="F575" s="607"/>
      <c r="G575" s="86"/>
      <c r="H575" s="106"/>
      <c r="I575" s="86"/>
      <c r="J575" s="86"/>
      <c r="K575" s="86"/>
      <c r="L575" s="86"/>
      <c r="M575" s="86"/>
      <c r="N575" s="86"/>
      <c r="O575" s="86"/>
      <c r="P575" s="86"/>
      <c r="Q575" s="353"/>
      <c r="R575" s="86"/>
      <c r="S575" s="86"/>
      <c r="T575" s="86"/>
      <c r="U575" s="106"/>
      <c r="V575" s="86"/>
      <c r="X575" s="86"/>
      <c r="Y575" s="86"/>
      <c r="AA575" s="82" t="s">
        <v>991</v>
      </c>
      <c r="AB575" s="86"/>
      <c r="AC575" s="86"/>
      <c r="AD575" s="342"/>
      <c r="AE575" s="342"/>
      <c r="AF575" s="342"/>
      <c r="AG575" s="342"/>
      <c r="AH575" s="342"/>
      <c r="AI575" s="342"/>
      <c r="AJ575" s="336"/>
      <c r="AK575" s="336"/>
      <c r="AL575" s="336"/>
      <c r="AM575" s="336"/>
      <c r="AN575" s="336"/>
      <c r="AO575" s="336"/>
      <c r="AP575" s="336"/>
      <c r="AQ575" s="336"/>
      <c r="AR575" s="336"/>
      <c r="AS575" s="336"/>
      <c r="AT575" s="336"/>
    </row>
    <row r="576" spans="1:46" ht="18" customHeight="1">
      <c r="A576" s="90"/>
      <c r="B576" s="607"/>
      <c r="C576" s="607"/>
      <c r="D576" s="607"/>
      <c r="E576" s="607"/>
      <c r="F576" s="607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353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342"/>
      <c r="AE576" s="342"/>
      <c r="AF576" s="342"/>
      <c r="AG576" s="342"/>
      <c r="AH576" s="342"/>
      <c r="AI576" s="342"/>
      <c r="AJ576" s="336"/>
      <c r="AK576" s="336"/>
      <c r="AL576" s="336"/>
      <c r="AM576" s="336"/>
      <c r="AN576" s="336"/>
      <c r="AO576" s="336"/>
      <c r="AP576" s="336"/>
      <c r="AQ576" s="336"/>
      <c r="AR576" s="336"/>
      <c r="AS576" s="336"/>
      <c r="AT576" s="336"/>
    </row>
    <row r="577" spans="1:46" ht="18" customHeight="1">
      <c r="A577" s="90"/>
      <c r="B577" s="336"/>
      <c r="C577" s="336"/>
      <c r="D577" s="336"/>
      <c r="E577" s="336"/>
      <c r="F577" s="336"/>
      <c r="G577" s="336"/>
      <c r="H577" s="336"/>
      <c r="I577" s="336"/>
      <c r="J577" s="336"/>
      <c r="K577" s="336"/>
      <c r="L577" s="336"/>
      <c r="M577" s="336"/>
      <c r="N577" s="336"/>
      <c r="O577" s="336"/>
      <c r="P577" s="336"/>
      <c r="Q577" s="336"/>
      <c r="R577" s="336"/>
      <c r="S577" s="336"/>
      <c r="T577" s="336"/>
      <c r="U577" s="336"/>
      <c r="V577" s="336"/>
      <c r="W577" s="336"/>
      <c r="X577" s="336"/>
      <c r="Y577" s="336"/>
      <c r="Z577" s="336"/>
      <c r="AA577" s="336"/>
      <c r="AB577" s="336"/>
      <c r="AC577" s="336"/>
      <c r="AD577" s="336"/>
      <c r="AE577" s="336"/>
      <c r="AF577" s="336"/>
      <c r="AG577" s="336"/>
      <c r="AH577" s="336"/>
      <c r="AI577" s="336"/>
      <c r="AJ577" s="336"/>
      <c r="AK577" s="336"/>
      <c r="AL577" s="336"/>
      <c r="AM577" s="336"/>
      <c r="AN577" s="336"/>
      <c r="AO577" s="336"/>
      <c r="AP577" s="336"/>
      <c r="AQ577" s="336"/>
      <c r="AR577" s="336"/>
      <c r="AS577" s="336"/>
      <c r="AT577" s="336"/>
    </row>
    <row r="578" spans="1:46" ht="18" customHeight="1">
      <c r="A578" s="90"/>
      <c r="B578" s="97" t="s">
        <v>992</v>
      </c>
      <c r="D578" s="336"/>
      <c r="E578" s="336"/>
      <c r="F578" s="336"/>
      <c r="G578" s="336"/>
      <c r="H578" s="336"/>
      <c r="I578" s="336"/>
      <c r="J578" s="336"/>
      <c r="K578" s="336"/>
      <c r="L578" s="336"/>
      <c r="M578" s="336"/>
      <c r="N578" s="336"/>
      <c r="O578" s="336"/>
      <c r="P578" s="348" t="s">
        <v>993</v>
      </c>
      <c r="Q578" s="336"/>
      <c r="T578" s="336"/>
      <c r="U578" s="336"/>
      <c r="V578" s="336"/>
      <c r="W578" s="336"/>
      <c r="X578" s="336"/>
      <c r="Y578" s="336"/>
      <c r="Z578" s="336"/>
      <c r="AA578" s="336"/>
      <c r="AB578" s="336"/>
      <c r="AC578" s="336"/>
      <c r="AD578" s="336"/>
      <c r="AE578" s="336"/>
      <c r="AF578" s="336"/>
      <c r="AG578" s="336"/>
      <c r="AH578" s="336"/>
      <c r="AI578" s="336"/>
      <c r="AJ578" s="336"/>
      <c r="AK578" s="336"/>
      <c r="AL578" s="336"/>
      <c r="AM578" s="336"/>
      <c r="AN578" s="336"/>
      <c r="AO578" s="336"/>
      <c r="AP578" s="336"/>
      <c r="AQ578" s="336"/>
      <c r="AR578" s="336"/>
      <c r="AS578" s="336"/>
      <c r="AT578" s="336"/>
    </row>
    <row r="579" spans="1:46" ht="18" customHeight="1">
      <c r="A579" s="90"/>
      <c r="B579" s="79" t="s">
        <v>994</v>
      </c>
      <c r="C579" s="336"/>
      <c r="D579" s="336"/>
      <c r="E579" s="336"/>
      <c r="F579" s="336"/>
      <c r="G579" s="336"/>
      <c r="H579" s="336"/>
      <c r="I579" s="336"/>
      <c r="J579" s="336"/>
      <c r="K579" s="336"/>
      <c r="L579" s="336"/>
      <c r="M579" s="336"/>
      <c r="N579" s="336"/>
      <c r="O579" s="336"/>
      <c r="P579" s="336"/>
      <c r="R579" s="348"/>
      <c r="T579" s="336"/>
      <c r="U579" s="336"/>
      <c r="V579" s="336"/>
      <c r="W579" s="336"/>
      <c r="X579" s="336"/>
      <c r="Y579" s="336"/>
      <c r="Z579" s="336"/>
      <c r="AA579" s="336"/>
      <c r="AB579" s="336"/>
      <c r="AC579" s="336"/>
      <c r="AD579" s="336"/>
      <c r="AE579" s="336"/>
      <c r="AF579" s="336"/>
      <c r="AG579" s="336"/>
      <c r="AH579" s="336"/>
      <c r="AI579" s="336"/>
      <c r="AJ579" s="336"/>
      <c r="AK579" s="336"/>
      <c r="AL579" s="336"/>
      <c r="AM579" s="336"/>
      <c r="AN579" s="336"/>
      <c r="AO579" s="336"/>
      <c r="AP579" s="336"/>
      <c r="AQ579" s="336"/>
      <c r="AR579" s="336"/>
      <c r="AS579" s="336"/>
    </row>
    <row r="580" spans="1:46" ht="18" customHeight="1">
      <c r="A580" s="90"/>
      <c r="C580" s="79" t="s">
        <v>811</v>
      </c>
      <c r="D580" s="336"/>
      <c r="E580" s="336"/>
      <c r="F580" s="336"/>
      <c r="G580" s="336"/>
      <c r="H580" s="336"/>
      <c r="I580" s="358"/>
      <c r="J580" s="358"/>
      <c r="K580" s="358"/>
      <c r="L580" s="357"/>
      <c r="M580" s="357"/>
      <c r="N580" s="357"/>
      <c r="O580" s="336"/>
      <c r="P580" s="336"/>
      <c r="R580" s="348"/>
      <c r="T580" s="336"/>
      <c r="U580" s="336"/>
      <c r="V580" s="336"/>
      <c r="W580" s="336"/>
      <c r="X580" s="336"/>
      <c r="Y580" s="336"/>
      <c r="Z580" s="336"/>
      <c r="AA580" s="336"/>
      <c r="AB580" s="336"/>
      <c r="AC580" s="336"/>
      <c r="AD580" s="336"/>
      <c r="AE580" s="336"/>
      <c r="AF580" s="336"/>
      <c r="AG580" s="336"/>
      <c r="AH580" s="336"/>
      <c r="AI580" s="336"/>
      <c r="AJ580" s="336"/>
      <c r="AK580" s="336"/>
      <c r="AL580" s="336"/>
      <c r="AM580" s="336"/>
      <c r="AN580" s="336"/>
      <c r="AO580" s="336"/>
      <c r="AP580" s="336"/>
      <c r="AQ580" s="336"/>
      <c r="AR580" s="336"/>
      <c r="AS580" s="336"/>
    </row>
    <row r="581" spans="1:46" ht="18" customHeight="1">
      <c r="A581" s="90"/>
      <c r="D581" s="336"/>
      <c r="E581" s="336"/>
      <c r="F581" s="336"/>
      <c r="G581" s="336"/>
      <c r="H581" s="336"/>
      <c r="I581" s="336"/>
      <c r="J581" s="336"/>
      <c r="K581" s="336"/>
      <c r="L581" s="336"/>
      <c r="M581" s="359"/>
      <c r="N581" s="359"/>
      <c r="O581" s="336"/>
      <c r="P581" s="336"/>
      <c r="Q581" s="336"/>
      <c r="S581" s="362" t="s">
        <v>690</v>
      </c>
      <c r="T581" s="755">
        <f>MAX(Calcu_ADJ!AA9:AA23)</f>
        <v>0</v>
      </c>
      <c r="U581" s="755"/>
      <c r="V581" s="79" t="s">
        <v>657</v>
      </c>
      <c r="W581" s="336"/>
      <c r="X581" s="336"/>
      <c r="Y581" s="336"/>
      <c r="Z581" s="336"/>
      <c r="AA581" s="336"/>
      <c r="AB581" s="336"/>
      <c r="AC581" s="336"/>
      <c r="AD581" s="336"/>
      <c r="AE581" s="336"/>
      <c r="AF581" s="336"/>
      <c r="AG581" s="336"/>
      <c r="AH581" s="336"/>
      <c r="AI581" s="336"/>
      <c r="AJ581" s="336"/>
      <c r="AK581" s="336"/>
      <c r="AL581" s="336"/>
      <c r="AM581" s="336"/>
      <c r="AN581" s="336"/>
      <c r="AO581" s="336"/>
      <c r="AP581" s="336"/>
      <c r="AQ581" s="336"/>
      <c r="AR581" s="336"/>
    </row>
    <row r="582" spans="1:46" ht="18" customHeight="1">
      <c r="A582" s="90"/>
      <c r="C582" s="79" t="s">
        <v>995</v>
      </c>
      <c r="D582" s="336"/>
      <c r="E582" s="336"/>
      <c r="F582" s="336"/>
      <c r="G582" s="336"/>
      <c r="H582" s="336"/>
      <c r="I582" s="358"/>
      <c r="J582" s="358"/>
      <c r="K582" s="358"/>
      <c r="L582" s="357"/>
      <c r="M582" s="357"/>
      <c r="N582" s="357"/>
      <c r="O582" s="336"/>
      <c r="P582" s="336"/>
      <c r="R582" s="348"/>
      <c r="T582" s="336"/>
      <c r="U582" s="336"/>
      <c r="V582" s="336"/>
      <c r="W582" s="336"/>
      <c r="X582" s="336"/>
      <c r="Y582" s="336"/>
      <c r="Z582" s="336"/>
      <c r="AA582" s="336"/>
      <c r="AB582" s="336"/>
      <c r="AC582" s="336"/>
      <c r="AD582" s="336"/>
      <c r="AE582" s="336"/>
      <c r="AF582" s="336"/>
      <c r="AG582" s="336"/>
      <c r="AH582" s="336"/>
      <c r="AI582" s="336"/>
      <c r="AJ582" s="336"/>
      <c r="AK582" s="336"/>
      <c r="AL582" s="336"/>
      <c r="AM582" s="336"/>
      <c r="AN582" s="336"/>
      <c r="AO582" s="336"/>
      <c r="AP582" s="336"/>
      <c r="AQ582" s="336"/>
      <c r="AR582" s="336"/>
      <c r="AS582" s="336"/>
    </row>
    <row r="583" spans="1:46" ht="18" customHeight="1">
      <c r="A583" s="90"/>
      <c r="D583" s="336"/>
      <c r="E583" s="336"/>
      <c r="F583" s="336"/>
      <c r="G583" s="336"/>
      <c r="H583" s="336"/>
      <c r="I583" s="336"/>
      <c r="J583" s="336"/>
      <c r="K583" s="336"/>
      <c r="L583" s="336"/>
      <c r="M583" s="359"/>
      <c r="N583" s="359"/>
      <c r="O583" s="336"/>
      <c r="P583" s="336"/>
      <c r="Q583" s="336"/>
      <c r="S583" s="362" t="s">
        <v>690</v>
      </c>
      <c r="T583" s="755">
        <f>MAX(Calcu_ADJ!AA24:AA38)</f>
        <v>0</v>
      </c>
      <c r="U583" s="755"/>
      <c r="V583" s="79" t="s">
        <v>657</v>
      </c>
      <c r="W583" s="336"/>
      <c r="X583" s="336"/>
      <c r="Y583" s="336"/>
      <c r="Z583" s="336"/>
      <c r="AA583" s="336"/>
      <c r="AB583" s="336"/>
      <c r="AC583" s="336"/>
      <c r="AD583" s="336"/>
      <c r="AE583" s="336"/>
      <c r="AF583" s="336"/>
      <c r="AG583" s="336"/>
      <c r="AH583" s="336"/>
      <c r="AI583" s="336"/>
      <c r="AJ583" s="336"/>
      <c r="AK583" s="336"/>
      <c r="AL583" s="336"/>
      <c r="AM583" s="336"/>
      <c r="AN583" s="336"/>
      <c r="AO583" s="336"/>
      <c r="AP583" s="336"/>
      <c r="AQ583" s="336"/>
      <c r="AR583" s="336"/>
    </row>
    <row r="584" spans="1:46" ht="18" customHeight="1">
      <c r="A584" s="90"/>
      <c r="C584" s="79" t="s">
        <v>996</v>
      </c>
      <c r="D584" s="336"/>
      <c r="E584" s="336"/>
      <c r="F584" s="336"/>
      <c r="G584" s="336"/>
      <c r="H584" s="336"/>
      <c r="I584" s="336"/>
      <c r="J584" s="336"/>
      <c r="K584" s="336"/>
      <c r="L584" s="336"/>
      <c r="M584" s="359"/>
      <c r="N584" s="359"/>
      <c r="O584" s="336"/>
      <c r="P584" s="336"/>
      <c r="Q584" s="336"/>
      <c r="S584" s="362"/>
      <c r="W584" s="336"/>
      <c r="X584" s="336"/>
      <c r="Y584" s="336"/>
      <c r="Z584" s="336"/>
      <c r="AA584" s="336"/>
      <c r="AB584" s="336"/>
      <c r="AC584" s="336"/>
      <c r="AD584" s="336"/>
      <c r="AE584" s="336"/>
      <c r="AF584" s="336"/>
      <c r="AG584" s="336"/>
      <c r="AH584" s="336"/>
      <c r="AI584" s="336"/>
      <c r="AJ584" s="337" t="s">
        <v>690</v>
      </c>
      <c r="AK584" s="755">
        <f>MAX(T581,T583)</f>
        <v>0</v>
      </c>
      <c r="AL584" s="755"/>
      <c r="AM584" s="336" t="s">
        <v>657</v>
      </c>
      <c r="AN584" s="336"/>
      <c r="AO584" s="336"/>
      <c r="AP584" s="336"/>
      <c r="AQ584" s="336"/>
      <c r="AR584" s="336"/>
    </row>
    <row r="585" spans="1:46" ht="18" customHeight="1">
      <c r="A585" s="90"/>
      <c r="B585" s="336" t="s">
        <v>814</v>
      </c>
      <c r="C585" s="336"/>
      <c r="D585" s="336"/>
      <c r="E585" s="336"/>
      <c r="F585" s="336"/>
      <c r="G585" s="513">
        <v>0</v>
      </c>
      <c r="H585" s="513"/>
      <c r="I585" s="513"/>
      <c r="J585" s="513"/>
      <c r="K585" s="513"/>
      <c r="L585" s="506"/>
      <c r="M585" s="506"/>
      <c r="N585" s="506"/>
      <c r="O585" s="506"/>
      <c r="P585" s="506"/>
      <c r="Q585" s="506"/>
      <c r="R585" s="348"/>
      <c r="T585" s="336"/>
      <c r="U585" s="336"/>
      <c r="V585" s="336"/>
      <c r="W585" s="336"/>
      <c r="X585" s="336"/>
      <c r="Y585" s="336"/>
      <c r="Z585" s="336"/>
      <c r="AA585" s="336"/>
      <c r="AB585" s="336"/>
      <c r="AC585" s="336"/>
      <c r="AD585" s="336"/>
      <c r="AE585" s="336"/>
      <c r="AF585" s="336"/>
      <c r="AG585" s="336"/>
      <c r="AH585" s="336"/>
      <c r="AI585" s="336"/>
      <c r="AJ585" s="336"/>
      <c r="AK585" s="336"/>
      <c r="AL585" s="336"/>
      <c r="AM585" s="336"/>
      <c r="AN585" s="336"/>
      <c r="AO585" s="336"/>
      <c r="AP585" s="336"/>
      <c r="AQ585" s="336"/>
      <c r="AR585" s="336"/>
      <c r="AS585" s="336"/>
      <c r="AT585" s="336"/>
    </row>
    <row r="586" spans="1:46" ht="18" customHeight="1">
      <c r="A586" s="90"/>
      <c r="B586" s="508" t="s">
        <v>997</v>
      </c>
      <c r="C586" s="508"/>
      <c r="D586" s="508"/>
      <c r="E586" s="508"/>
      <c r="F586" s="508"/>
      <c r="G586" s="508"/>
      <c r="H586" s="508"/>
      <c r="I586" s="512" t="s">
        <v>998</v>
      </c>
      <c r="J586" s="512"/>
      <c r="K586" s="512"/>
      <c r="L586" s="513" t="s">
        <v>689</v>
      </c>
      <c r="M586" s="514" t="s">
        <v>817</v>
      </c>
      <c r="N586" s="514"/>
      <c r="O586" s="514"/>
      <c r="P586" s="513" t="s">
        <v>689</v>
      </c>
      <c r="Q586" s="618">
        <f>AK584</f>
        <v>0</v>
      </c>
      <c r="R586" s="618"/>
      <c r="S586" s="361" t="str">
        <f>AM584</f>
        <v>m</v>
      </c>
      <c r="T586" s="361"/>
      <c r="U586" s="517" t="s">
        <v>689</v>
      </c>
      <c r="V586" s="619" t="str">
        <f ca="1">Q469</f>
        <v>m</v>
      </c>
      <c r="W586" s="508"/>
      <c r="X586" s="508"/>
      <c r="Y586" s="518" t="str">
        <f>S586</f>
        <v>m</v>
      </c>
      <c r="Z586" s="518"/>
      <c r="AA586" s="518"/>
      <c r="AB586" s="336"/>
      <c r="AC586" s="91"/>
      <c r="AD586" s="91"/>
      <c r="AE586" s="99"/>
      <c r="AF586" s="99"/>
      <c r="AG586" s="99"/>
      <c r="AH586" s="99"/>
      <c r="AI586" s="99"/>
      <c r="AJ586" s="99"/>
      <c r="AK586" s="99"/>
      <c r="AL586" s="336"/>
      <c r="AM586" s="336"/>
      <c r="AN586" s="336"/>
      <c r="AO586" s="336"/>
      <c r="AP586" s="336"/>
      <c r="AQ586" s="336"/>
      <c r="AR586" s="336"/>
      <c r="AS586" s="336"/>
      <c r="AT586" s="336"/>
    </row>
    <row r="587" spans="1:46" ht="18" customHeight="1">
      <c r="A587" s="90"/>
      <c r="B587" s="508"/>
      <c r="C587" s="508"/>
      <c r="D587" s="508"/>
      <c r="E587" s="508"/>
      <c r="F587" s="508"/>
      <c r="G587" s="508"/>
      <c r="H587" s="508"/>
      <c r="I587" s="512"/>
      <c r="J587" s="512"/>
      <c r="K587" s="512"/>
      <c r="L587" s="513"/>
      <c r="M587" s="81"/>
      <c r="N587" s="81"/>
      <c r="O587" s="336"/>
      <c r="P587" s="513"/>
      <c r="Q587" s="352"/>
      <c r="R587" s="352"/>
      <c r="S587" s="352"/>
      <c r="T587" s="352"/>
      <c r="U587" s="517"/>
      <c r="V587" s="508"/>
      <c r="W587" s="508"/>
      <c r="X587" s="508"/>
      <c r="Y587" s="518"/>
      <c r="Z587" s="518"/>
      <c r="AA587" s="518"/>
      <c r="AB587" s="336"/>
      <c r="AC587" s="91"/>
      <c r="AD587" s="91"/>
      <c r="AE587" s="336"/>
      <c r="AF587" s="338"/>
      <c r="AG587" s="338"/>
      <c r="AH587" s="338"/>
      <c r="AI587" s="336"/>
      <c r="AJ587" s="100"/>
      <c r="AK587" s="338"/>
      <c r="AL587" s="338"/>
      <c r="AM587" s="338"/>
      <c r="AN587" s="332"/>
      <c r="AO587" s="332"/>
      <c r="AP587" s="336"/>
      <c r="AQ587" s="336"/>
      <c r="AR587" s="336"/>
      <c r="AS587" s="336"/>
      <c r="AT587" s="336"/>
    </row>
    <row r="588" spans="1:46" ht="18" customHeight="1">
      <c r="A588" s="90"/>
      <c r="B588" s="336" t="s">
        <v>999</v>
      </c>
      <c r="C588" s="336"/>
      <c r="D588" s="336"/>
      <c r="E588" s="336"/>
      <c r="F588" s="336"/>
      <c r="G588" s="336"/>
      <c r="H588" s="508" t="str">
        <f>Y469</f>
        <v>직사각형</v>
      </c>
      <c r="I588" s="508"/>
      <c r="J588" s="508"/>
      <c r="K588" s="508"/>
      <c r="L588" s="508"/>
      <c r="M588" s="336"/>
      <c r="N588" s="336"/>
      <c r="O588" s="336"/>
      <c r="P588" s="336"/>
      <c r="Q588" s="336"/>
      <c r="R588" s="336"/>
      <c r="S588" s="336"/>
      <c r="T588" s="336"/>
      <c r="U588" s="336"/>
      <c r="V588" s="336"/>
      <c r="W588" s="336"/>
      <c r="X588" s="336"/>
      <c r="Y588" s="336"/>
      <c r="Z588" s="336"/>
      <c r="AA588" s="336"/>
      <c r="AB588" s="336"/>
      <c r="AC588" s="336"/>
      <c r="AD588" s="336"/>
      <c r="AE588" s="336"/>
      <c r="AF588" s="336"/>
      <c r="AG588" s="336"/>
      <c r="AH588" s="336"/>
      <c r="AI588" s="336"/>
      <c r="AJ588" s="336"/>
      <c r="AK588" s="336"/>
      <c r="AP588" s="336"/>
      <c r="AQ588" s="336"/>
      <c r="AR588" s="336"/>
      <c r="AS588" s="336"/>
      <c r="AT588" s="336"/>
    </row>
    <row r="589" spans="1:46" ht="18" customHeight="1">
      <c r="A589" s="90"/>
      <c r="B589" s="508" t="s">
        <v>820</v>
      </c>
      <c r="C589" s="508"/>
      <c r="D589" s="508"/>
      <c r="E589" s="508"/>
      <c r="F589" s="508"/>
      <c r="G589" s="508"/>
      <c r="H589" s="336"/>
      <c r="I589" s="336"/>
      <c r="J589" s="336"/>
      <c r="K589" s="336"/>
      <c r="L589" s="336"/>
      <c r="M589" s="336"/>
      <c r="N589" s="756">
        <f>AD469</f>
        <v>1</v>
      </c>
      <c r="O589" s="756"/>
      <c r="P589" s="357"/>
      <c r="Q589" s="357"/>
      <c r="R589" s="354"/>
      <c r="S589" s="354"/>
      <c r="T589" s="354"/>
      <c r="U589" s="354"/>
      <c r="V589" s="336"/>
      <c r="W589" s="336"/>
      <c r="X589" s="336"/>
      <c r="Y589" s="336"/>
      <c r="Z589" s="336"/>
    </row>
    <row r="590" spans="1:46" ht="18" customHeight="1">
      <c r="A590" s="90"/>
      <c r="B590" s="508"/>
      <c r="C590" s="508"/>
      <c r="D590" s="508"/>
      <c r="E590" s="508"/>
      <c r="F590" s="508"/>
      <c r="G590" s="508"/>
      <c r="H590" s="336"/>
      <c r="I590" s="336"/>
      <c r="J590" s="336"/>
      <c r="K590" s="336"/>
      <c r="L590" s="336"/>
      <c r="M590" s="336"/>
      <c r="N590" s="756"/>
      <c r="O590" s="756"/>
      <c r="P590" s="357"/>
      <c r="Q590" s="357"/>
      <c r="R590" s="354"/>
      <c r="S590" s="354"/>
      <c r="T590" s="354"/>
      <c r="U590" s="354"/>
      <c r="V590" s="336"/>
      <c r="W590" s="336"/>
      <c r="X590" s="336"/>
      <c r="Y590" s="336"/>
      <c r="Z590" s="336"/>
    </row>
    <row r="591" spans="1:46" ht="18" customHeight="1">
      <c r="A591" s="90"/>
      <c r="B591" s="336" t="s">
        <v>822</v>
      </c>
      <c r="C591" s="336"/>
      <c r="D591" s="336"/>
      <c r="E591" s="336"/>
      <c r="F591" s="336"/>
      <c r="G591" s="336"/>
      <c r="H591" s="336"/>
      <c r="I591" s="336"/>
      <c r="J591" s="337" t="s">
        <v>721</v>
      </c>
      <c r="K591" s="620">
        <f>N589</f>
        <v>1</v>
      </c>
      <c r="L591" s="620"/>
      <c r="M591" s="337" t="s">
        <v>721</v>
      </c>
      <c r="N591" s="340" t="s">
        <v>694</v>
      </c>
      <c r="O591" s="619" t="str">
        <f ca="1">V586</f>
        <v>m</v>
      </c>
      <c r="P591" s="508"/>
      <c r="Q591" s="508"/>
      <c r="R591" s="518" t="str">
        <f>Y586</f>
        <v>m</v>
      </c>
      <c r="S591" s="508"/>
      <c r="T591" s="337" t="s">
        <v>690</v>
      </c>
      <c r="U591" s="619" t="e">
        <f ca="1">ABS(K591*O591)</f>
        <v>#VALUE!</v>
      </c>
      <c r="V591" s="619"/>
      <c r="W591" s="619"/>
      <c r="X591" s="508" t="s">
        <v>657</v>
      </c>
      <c r="Y591" s="508"/>
      <c r="AF591" s="336"/>
      <c r="AG591" s="336"/>
      <c r="AH591" s="336"/>
      <c r="AI591" s="336"/>
      <c r="AJ591" s="336"/>
      <c r="AK591" s="336"/>
      <c r="AL591" s="336"/>
      <c r="AM591" s="336"/>
      <c r="AN591" s="336"/>
      <c r="AO591" s="336"/>
      <c r="AP591" s="336"/>
      <c r="AQ591" s="336"/>
      <c r="AR591" s="336"/>
      <c r="AS591" s="336"/>
      <c r="AT591" s="336"/>
    </row>
    <row r="592" spans="1:46" ht="18" customHeight="1">
      <c r="A592" s="90"/>
      <c r="B592" s="607" t="s">
        <v>824</v>
      </c>
      <c r="C592" s="607"/>
      <c r="D592" s="607"/>
      <c r="E592" s="607"/>
      <c r="F592" s="607"/>
      <c r="G592" s="86"/>
      <c r="H592" s="106"/>
      <c r="I592" s="86"/>
      <c r="J592" s="86"/>
      <c r="K592" s="86"/>
      <c r="L592" s="86"/>
      <c r="M592" s="86"/>
      <c r="N592" s="86"/>
      <c r="O592" s="86"/>
      <c r="P592" s="86"/>
      <c r="Q592" s="353"/>
      <c r="R592" s="86"/>
      <c r="S592" s="86"/>
      <c r="T592" s="86"/>
      <c r="U592" s="106"/>
      <c r="V592" s="86"/>
      <c r="W592" s="82" t="s">
        <v>738</v>
      </c>
      <c r="X592" s="86"/>
      <c r="Y592" s="86"/>
      <c r="Z592" s="86"/>
      <c r="AA592" s="86"/>
      <c r="AB592" s="86"/>
      <c r="AC592" s="86"/>
      <c r="AD592" s="342"/>
      <c r="AE592" s="342"/>
      <c r="AF592" s="342"/>
      <c r="AG592" s="342"/>
      <c r="AH592" s="342"/>
      <c r="AI592" s="342"/>
      <c r="AJ592" s="336"/>
      <c r="AK592" s="336"/>
      <c r="AL592" s="336"/>
      <c r="AM592" s="336"/>
      <c r="AN592" s="336"/>
      <c r="AO592" s="336"/>
      <c r="AP592" s="336"/>
      <c r="AQ592" s="336"/>
      <c r="AR592" s="336"/>
      <c r="AS592" s="336"/>
      <c r="AT592" s="336"/>
    </row>
    <row r="593" spans="1:46" ht="18" customHeight="1">
      <c r="A593" s="90"/>
      <c r="B593" s="607"/>
      <c r="C593" s="607"/>
      <c r="D593" s="607"/>
      <c r="E593" s="607"/>
      <c r="F593" s="607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353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342"/>
      <c r="AE593" s="342"/>
      <c r="AF593" s="342"/>
      <c r="AG593" s="342"/>
      <c r="AH593" s="342"/>
      <c r="AI593" s="342"/>
      <c r="AJ593" s="336"/>
      <c r="AK593" s="336"/>
      <c r="AL593" s="336"/>
      <c r="AM593" s="336"/>
      <c r="AN593" s="336"/>
      <c r="AO593" s="336"/>
      <c r="AP593" s="336"/>
      <c r="AQ593" s="336"/>
      <c r="AR593" s="336"/>
      <c r="AS593" s="336"/>
      <c r="AT593" s="336"/>
    </row>
    <row r="594" spans="1:46" ht="18" customHeight="1">
      <c r="A594" s="90"/>
      <c r="B594" s="336"/>
      <c r="C594" s="336"/>
      <c r="D594" s="336"/>
      <c r="E594" s="336"/>
      <c r="F594" s="336"/>
      <c r="G594" s="336"/>
      <c r="H594" s="336"/>
      <c r="I594" s="336"/>
      <c r="J594" s="336"/>
      <c r="K594" s="95"/>
      <c r="L594" s="338"/>
      <c r="M594" s="338"/>
      <c r="N594" s="338"/>
      <c r="O594" s="332"/>
      <c r="P594" s="332"/>
      <c r="Q594" s="340"/>
      <c r="R594" s="338"/>
      <c r="S594" s="338"/>
      <c r="T594" s="338"/>
      <c r="U594" s="332"/>
      <c r="V594" s="332"/>
      <c r="W594" s="338"/>
      <c r="X594" s="338"/>
      <c r="Y594" s="336"/>
      <c r="Z594" s="336"/>
      <c r="AA594" s="336"/>
      <c r="AB594" s="336"/>
      <c r="AC594" s="336"/>
      <c r="AD594" s="336"/>
      <c r="AE594" s="336"/>
      <c r="AF594" s="336"/>
      <c r="AG594" s="336"/>
      <c r="AH594" s="336"/>
      <c r="AI594" s="336"/>
      <c r="AJ594" s="336"/>
      <c r="AK594" s="336"/>
      <c r="AL594" s="336"/>
      <c r="AM594" s="336"/>
      <c r="AN594" s="336"/>
      <c r="AO594" s="336"/>
      <c r="AP594" s="336"/>
      <c r="AQ594" s="336"/>
      <c r="AR594" s="336"/>
      <c r="AS594" s="336"/>
      <c r="AT594" s="336"/>
    </row>
    <row r="595" spans="1:46" ht="18" customHeight="1">
      <c r="A595" s="90"/>
      <c r="B595" s="97" t="s">
        <v>825</v>
      </c>
      <c r="D595" s="336"/>
      <c r="E595" s="336"/>
      <c r="F595" s="336"/>
      <c r="G595" s="336"/>
      <c r="H595" s="336"/>
      <c r="I595" s="336"/>
      <c r="J595" s="336"/>
      <c r="K595" s="336"/>
      <c r="L595" s="336"/>
      <c r="M595" s="336"/>
      <c r="N595" s="336"/>
      <c r="O595" s="336"/>
      <c r="Q595" s="336"/>
      <c r="R595" s="348" t="s">
        <v>1000</v>
      </c>
      <c r="T595" s="336"/>
      <c r="U595" s="336"/>
      <c r="V595" s="336"/>
      <c r="W595" s="336"/>
      <c r="X595" s="336"/>
      <c r="Y595" s="336"/>
      <c r="Z595" s="336"/>
      <c r="AA595" s="336"/>
      <c r="AB595" s="336"/>
      <c r="AC595" s="336"/>
      <c r="AD595" s="336"/>
      <c r="AE595" s="336"/>
      <c r="AF595" s="336"/>
      <c r="AG595" s="336"/>
      <c r="AH595" s="336"/>
      <c r="AI595" s="336"/>
      <c r="AJ595" s="336"/>
      <c r="AK595" s="336"/>
      <c r="AL595" s="336"/>
      <c r="AM595" s="336"/>
      <c r="AN595" s="336"/>
      <c r="AO595" s="336"/>
      <c r="AP595" s="336"/>
      <c r="AQ595" s="336"/>
      <c r="AR595" s="336"/>
      <c r="AS595" s="336"/>
      <c r="AT595" s="336"/>
    </row>
    <row r="596" spans="1:46" ht="18" customHeight="1">
      <c r="A596" s="90"/>
      <c r="B596" s="79" t="s">
        <v>1001</v>
      </c>
      <c r="C596" s="336"/>
      <c r="D596" s="336"/>
      <c r="E596" s="336"/>
      <c r="F596" s="336"/>
      <c r="G596" s="336"/>
      <c r="H596" s="336"/>
      <c r="I596" s="336"/>
      <c r="J596" s="336"/>
      <c r="K596" s="336"/>
      <c r="L596" s="336"/>
      <c r="M596" s="336"/>
      <c r="N596" s="336"/>
      <c r="O596" s="336"/>
      <c r="P596" s="336"/>
      <c r="R596" s="348"/>
      <c r="T596" s="336"/>
      <c r="U596" s="336"/>
      <c r="V596" s="336"/>
      <c r="W596" s="336"/>
      <c r="X596" s="336"/>
      <c r="Y596" s="336"/>
      <c r="Z596" s="336"/>
      <c r="AA596" s="336"/>
      <c r="AB596" s="336"/>
      <c r="AC596" s="336"/>
      <c r="AD596" s="336"/>
      <c r="AE596" s="336"/>
      <c r="AF596" s="336"/>
      <c r="AG596" s="336"/>
      <c r="AH596" s="336"/>
      <c r="AI596" s="336"/>
      <c r="AJ596" s="336"/>
      <c r="AK596" s="336"/>
      <c r="AL596" s="336"/>
      <c r="AM596" s="336"/>
      <c r="AN596" s="336"/>
      <c r="AO596" s="336"/>
      <c r="AP596" s="336"/>
      <c r="AQ596" s="336"/>
      <c r="AR596" s="336"/>
      <c r="AS596" s="336"/>
    </row>
    <row r="597" spans="1:46" ht="18" customHeight="1">
      <c r="A597" s="90"/>
      <c r="C597" s="79" t="s">
        <v>829</v>
      </c>
      <c r="D597" s="336"/>
      <c r="E597" s="336"/>
      <c r="F597" s="336"/>
      <c r="G597" s="336"/>
      <c r="H597" s="336"/>
      <c r="I597" s="358"/>
      <c r="J597" s="358"/>
      <c r="K597" s="358"/>
      <c r="L597" s="357"/>
      <c r="M597" s="357"/>
      <c r="N597" s="357"/>
      <c r="O597" s="336"/>
      <c r="P597" s="336"/>
      <c r="R597" s="348"/>
      <c r="T597" s="336"/>
      <c r="U597" s="362" t="s">
        <v>690</v>
      </c>
      <c r="V597" s="755">
        <f ca="1">OFFSET(Calcu_ADJ!N44,$AL$319,0)</f>
        <v>0</v>
      </c>
      <c r="W597" s="755"/>
      <c r="X597" s="79" t="s">
        <v>657</v>
      </c>
      <c r="Y597" s="336"/>
      <c r="Z597" s="336"/>
      <c r="AA597" s="336"/>
      <c r="AB597" s="336"/>
      <c r="AC597" s="336"/>
      <c r="AD597" s="336"/>
      <c r="AE597" s="336"/>
      <c r="AF597" s="336"/>
      <c r="AG597" s="336"/>
      <c r="AH597" s="336"/>
      <c r="AI597" s="336"/>
      <c r="AJ597" s="336"/>
      <c r="AK597" s="336"/>
      <c r="AL597" s="336"/>
      <c r="AM597" s="336"/>
      <c r="AN597" s="336"/>
      <c r="AO597" s="336"/>
      <c r="AP597" s="336"/>
      <c r="AQ597" s="336"/>
      <c r="AR597" s="336"/>
      <c r="AS597" s="336"/>
    </row>
    <row r="598" spans="1:46" ht="18" customHeight="1">
      <c r="A598" s="90"/>
      <c r="B598" s="336" t="s">
        <v>830</v>
      </c>
      <c r="C598" s="336"/>
      <c r="D598" s="336"/>
      <c r="E598" s="336"/>
      <c r="F598" s="336"/>
      <c r="G598" s="513">
        <v>0</v>
      </c>
      <c r="H598" s="513"/>
      <c r="I598" s="513"/>
      <c r="J598" s="513"/>
      <c r="K598" s="513"/>
      <c r="L598" s="506"/>
      <c r="M598" s="506"/>
      <c r="N598" s="506"/>
      <c r="O598" s="506"/>
      <c r="P598" s="506"/>
      <c r="Q598" s="506"/>
      <c r="R598" s="348"/>
      <c r="T598" s="336"/>
      <c r="U598" s="336"/>
      <c r="V598" s="336"/>
      <c r="W598" s="336"/>
      <c r="X598" s="336"/>
      <c r="Y598" s="336"/>
      <c r="Z598" s="336"/>
      <c r="AA598" s="336"/>
      <c r="AB598" s="336"/>
      <c r="AC598" s="336"/>
      <c r="AD598" s="336"/>
      <c r="AE598" s="336"/>
      <c r="AF598" s="336"/>
      <c r="AG598" s="336"/>
      <c r="AH598" s="336"/>
      <c r="AI598" s="336"/>
      <c r="AJ598" s="336"/>
      <c r="AK598" s="336"/>
      <c r="AL598" s="336"/>
      <c r="AM598" s="336"/>
      <c r="AN598" s="336"/>
      <c r="AO598" s="336"/>
      <c r="AP598" s="336"/>
      <c r="AQ598" s="336"/>
      <c r="AR598" s="336"/>
      <c r="AS598" s="336"/>
      <c r="AT598" s="336"/>
    </row>
    <row r="599" spans="1:46" ht="18" customHeight="1">
      <c r="A599" s="90"/>
      <c r="B599" s="508" t="s">
        <v>831</v>
      </c>
      <c r="C599" s="508"/>
      <c r="D599" s="508"/>
      <c r="E599" s="508"/>
      <c r="F599" s="508"/>
      <c r="G599" s="508"/>
      <c r="H599" s="508"/>
      <c r="I599" s="512" t="s">
        <v>1002</v>
      </c>
      <c r="J599" s="512"/>
      <c r="K599" s="512"/>
      <c r="L599" s="513" t="s">
        <v>690</v>
      </c>
      <c r="M599" s="514" t="s">
        <v>833</v>
      </c>
      <c r="N599" s="514"/>
      <c r="O599" s="514"/>
      <c r="P599" s="513" t="s">
        <v>690</v>
      </c>
      <c r="Q599" s="618">
        <f ca="1">V597</f>
        <v>0</v>
      </c>
      <c r="R599" s="618"/>
      <c r="S599" s="361" t="str">
        <f>X597</f>
        <v>m</v>
      </c>
      <c r="T599" s="361"/>
      <c r="U599" s="517" t="s">
        <v>689</v>
      </c>
      <c r="V599" s="619">
        <f ca="1">Q599/2/SQRT(3)</f>
        <v>0</v>
      </c>
      <c r="W599" s="508"/>
      <c r="X599" s="508"/>
      <c r="Y599" s="518" t="str">
        <f>S599</f>
        <v>m</v>
      </c>
      <c r="Z599" s="518"/>
      <c r="AA599" s="518"/>
      <c r="AB599" s="336"/>
      <c r="AC599" s="91"/>
      <c r="AD599" s="91"/>
      <c r="AE599" s="99"/>
      <c r="AF599" s="99"/>
      <c r="AG599" s="99"/>
      <c r="AH599" s="99"/>
      <c r="AI599" s="99"/>
      <c r="AJ599" s="99"/>
      <c r="AK599" s="99"/>
      <c r="AL599" s="336"/>
      <c r="AM599" s="336"/>
      <c r="AN599" s="336"/>
      <c r="AO599" s="336"/>
      <c r="AP599" s="336"/>
      <c r="AQ599" s="336"/>
      <c r="AR599" s="336"/>
      <c r="AS599" s="336"/>
      <c r="AT599" s="336"/>
    </row>
    <row r="600" spans="1:46" ht="18" customHeight="1">
      <c r="A600" s="90"/>
      <c r="B600" s="508"/>
      <c r="C600" s="508"/>
      <c r="D600" s="508"/>
      <c r="E600" s="508"/>
      <c r="F600" s="508"/>
      <c r="G600" s="508"/>
      <c r="H600" s="508"/>
      <c r="I600" s="512"/>
      <c r="J600" s="512"/>
      <c r="K600" s="512"/>
      <c r="L600" s="513"/>
      <c r="M600" s="81"/>
      <c r="N600" s="81"/>
      <c r="O600" s="336"/>
      <c r="P600" s="513"/>
      <c r="Q600" s="352"/>
      <c r="R600" s="352"/>
      <c r="S600" s="352"/>
      <c r="T600" s="352"/>
      <c r="U600" s="517"/>
      <c r="V600" s="508"/>
      <c r="W600" s="508"/>
      <c r="X600" s="508"/>
      <c r="Y600" s="518"/>
      <c r="Z600" s="518"/>
      <c r="AA600" s="518"/>
      <c r="AB600" s="336"/>
      <c r="AC600" s="91"/>
      <c r="AD600" s="91"/>
      <c r="AE600" s="336"/>
      <c r="AF600" s="338"/>
      <c r="AG600" s="338"/>
      <c r="AH600" s="338"/>
      <c r="AI600" s="336"/>
      <c r="AJ600" s="100"/>
      <c r="AK600" s="338"/>
      <c r="AL600" s="338"/>
      <c r="AM600" s="338"/>
      <c r="AN600" s="332"/>
      <c r="AO600" s="332"/>
      <c r="AP600" s="336"/>
      <c r="AQ600" s="336"/>
      <c r="AR600" s="336"/>
      <c r="AS600" s="336"/>
      <c r="AT600" s="336"/>
    </row>
    <row r="601" spans="1:46" ht="18" customHeight="1">
      <c r="A601" s="90"/>
      <c r="B601" s="336" t="s">
        <v>834</v>
      </c>
      <c r="C601" s="336"/>
      <c r="D601" s="336"/>
      <c r="E601" s="336"/>
      <c r="F601" s="336"/>
      <c r="G601" s="336"/>
      <c r="H601" s="508" t="str">
        <f>Y470</f>
        <v>직사각형</v>
      </c>
      <c r="I601" s="508"/>
      <c r="J601" s="508"/>
      <c r="K601" s="508"/>
      <c r="L601" s="508"/>
      <c r="M601" s="336"/>
      <c r="N601" s="336"/>
      <c r="O601" s="336"/>
      <c r="P601" s="336"/>
      <c r="Q601" s="336"/>
      <c r="R601" s="336"/>
      <c r="S601" s="336"/>
      <c r="T601" s="336"/>
      <c r="U601" s="336"/>
      <c r="V601" s="336"/>
      <c r="W601" s="336"/>
      <c r="X601" s="336"/>
      <c r="Y601" s="336"/>
      <c r="Z601" s="336"/>
      <c r="AA601" s="336"/>
      <c r="AB601" s="336"/>
      <c r="AC601" s="336"/>
      <c r="AD601" s="336"/>
      <c r="AE601" s="336"/>
      <c r="AF601" s="336"/>
      <c r="AG601" s="336"/>
      <c r="AH601" s="336"/>
      <c r="AI601" s="336"/>
      <c r="AJ601" s="336"/>
      <c r="AK601" s="336"/>
      <c r="AP601" s="336"/>
      <c r="AQ601" s="336"/>
      <c r="AR601" s="336"/>
      <c r="AS601" s="336"/>
      <c r="AT601" s="336"/>
    </row>
    <row r="602" spans="1:46" ht="18" customHeight="1">
      <c r="A602" s="90"/>
      <c r="B602" s="508" t="s">
        <v>835</v>
      </c>
      <c r="C602" s="508"/>
      <c r="D602" s="508"/>
      <c r="E602" s="508"/>
      <c r="F602" s="508"/>
      <c r="G602" s="508"/>
      <c r="H602" s="336"/>
      <c r="I602" s="336"/>
      <c r="J602" s="336"/>
      <c r="K602" s="336"/>
      <c r="L602" s="336"/>
      <c r="M602" s="336"/>
      <c r="N602" s="620">
        <f>AD470</f>
        <v>1</v>
      </c>
      <c r="O602" s="620"/>
      <c r="P602" s="357"/>
      <c r="Q602" s="357"/>
      <c r="R602" s="354"/>
      <c r="S602" s="354"/>
      <c r="T602" s="354"/>
      <c r="U602" s="354"/>
      <c r="V602" s="336"/>
      <c r="W602" s="336"/>
      <c r="X602" s="336"/>
      <c r="Y602" s="336"/>
      <c r="Z602" s="336"/>
    </row>
    <row r="603" spans="1:46" ht="18" customHeight="1">
      <c r="A603" s="90"/>
      <c r="B603" s="508"/>
      <c r="C603" s="508"/>
      <c r="D603" s="508"/>
      <c r="E603" s="508"/>
      <c r="F603" s="508"/>
      <c r="G603" s="508"/>
      <c r="H603" s="336"/>
      <c r="I603" s="336"/>
      <c r="J603" s="336"/>
      <c r="K603" s="336"/>
      <c r="L603" s="336"/>
      <c r="M603" s="336"/>
      <c r="N603" s="620"/>
      <c r="O603" s="620"/>
      <c r="P603" s="357"/>
      <c r="Q603" s="357"/>
      <c r="R603" s="354"/>
      <c r="S603" s="354"/>
      <c r="T603" s="354"/>
      <c r="U603" s="354"/>
      <c r="V603" s="336"/>
      <c r="W603" s="336"/>
      <c r="X603" s="336"/>
      <c r="Y603" s="336"/>
      <c r="Z603" s="336"/>
    </row>
    <row r="604" spans="1:46" ht="18" customHeight="1">
      <c r="A604" s="90"/>
      <c r="B604" s="336" t="s">
        <v>836</v>
      </c>
      <c r="C604" s="336"/>
      <c r="D604" s="336"/>
      <c r="E604" s="336"/>
      <c r="F604" s="336"/>
      <c r="G604" s="336"/>
      <c r="H604" s="336"/>
      <c r="I604" s="336"/>
      <c r="J604" s="337" t="s">
        <v>721</v>
      </c>
      <c r="K604" s="620">
        <f>N602</f>
        <v>1</v>
      </c>
      <c r="L604" s="620"/>
      <c r="M604" s="337" t="s">
        <v>721</v>
      </c>
      <c r="N604" s="340" t="s">
        <v>693</v>
      </c>
      <c r="O604" s="619">
        <f ca="1">V599</f>
        <v>0</v>
      </c>
      <c r="P604" s="508"/>
      <c r="Q604" s="508"/>
      <c r="R604" s="518" t="str">
        <f>Y599</f>
        <v>m</v>
      </c>
      <c r="S604" s="508"/>
      <c r="T604" s="337" t="s">
        <v>689</v>
      </c>
      <c r="U604" s="619">
        <f ca="1">ABS(K604*O604)</f>
        <v>0</v>
      </c>
      <c r="V604" s="619"/>
      <c r="W604" s="619"/>
      <c r="X604" s="508" t="s">
        <v>546</v>
      </c>
      <c r="Y604" s="508"/>
      <c r="AF604" s="336"/>
      <c r="AG604" s="336"/>
      <c r="AH604" s="336"/>
      <c r="AI604" s="336"/>
      <c r="AJ604" s="336"/>
      <c r="AK604" s="336"/>
      <c r="AL604" s="336"/>
      <c r="AM604" s="336"/>
      <c r="AN604" s="336"/>
      <c r="AO604" s="336"/>
      <c r="AP604" s="336"/>
      <c r="AQ604" s="336"/>
      <c r="AR604" s="336"/>
      <c r="AS604" s="336"/>
      <c r="AT604" s="336"/>
    </row>
    <row r="605" spans="1:46" ht="18" customHeight="1">
      <c r="A605" s="90"/>
      <c r="B605" s="607" t="s">
        <v>1003</v>
      </c>
      <c r="C605" s="607"/>
      <c r="D605" s="607"/>
      <c r="E605" s="607"/>
      <c r="F605" s="607"/>
      <c r="G605" s="86"/>
      <c r="H605" s="106"/>
      <c r="I605" s="86"/>
      <c r="J605" s="86"/>
      <c r="K605" s="86"/>
      <c r="L605" s="86"/>
      <c r="M605" s="86"/>
      <c r="N605" s="86"/>
      <c r="O605" s="86"/>
      <c r="P605" s="86"/>
      <c r="Q605" s="353"/>
      <c r="R605" s="86"/>
      <c r="S605" s="86"/>
      <c r="T605" s="86"/>
      <c r="U605" s="106"/>
      <c r="V605" s="86"/>
      <c r="X605" s="82" t="s">
        <v>1004</v>
      </c>
      <c r="Y605" s="86"/>
      <c r="Z605" s="86"/>
      <c r="AA605" s="86"/>
      <c r="AB605" s="86"/>
      <c r="AC605" s="86"/>
      <c r="AD605" s="342"/>
      <c r="AE605" s="342"/>
      <c r="AF605" s="342"/>
      <c r="AG605" s="342"/>
      <c r="AH605" s="342"/>
      <c r="AI605" s="342"/>
      <c r="AJ605" s="336"/>
      <c r="AK605" s="336"/>
      <c r="AL605" s="336"/>
      <c r="AM605" s="336"/>
      <c r="AN605" s="336"/>
      <c r="AO605" s="336"/>
      <c r="AP605" s="336"/>
      <c r="AQ605" s="336"/>
      <c r="AR605" s="336"/>
      <c r="AS605" s="336"/>
      <c r="AT605" s="336"/>
    </row>
    <row r="606" spans="1:46" ht="18" customHeight="1">
      <c r="A606" s="90"/>
      <c r="B606" s="607"/>
      <c r="C606" s="607"/>
      <c r="D606" s="607"/>
      <c r="E606" s="607"/>
      <c r="F606" s="607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353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342"/>
      <c r="AE606" s="342"/>
      <c r="AF606" s="342"/>
      <c r="AG606" s="342"/>
      <c r="AH606" s="342"/>
      <c r="AI606" s="342"/>
      <c r="AJ606" s="336"/>
      <c r="AK606" s="336"/>
      <c r="AL606" s="336"/>
      <c r="AM606" s="336"/>
      <c r="AN606" s="336"/>
      <c r="AO606" s="336"/>
      <c r="AP606" s="336"/>
      <c r="AQ606" s="336"/>
      <c r="AR606" s="336"/>
      <c r="AS606" s="336"/>
      <c r="AT606" s="336"/>
    </row>
    <row r="607" spans="1:46" ht="18" customHeight="1">
      <c r="A607" s="90"/>
      <c r="B607" s="336"/>
      <c r="C607" s="336"/>
      <c r="D607" s="336"/>
      <c r="E607" s="336"/>
      <c r="F607" s="336"/>
      <c r="G607" s="336"/>
      <c r="H607" s="336"/>
      <c r="I607" s="336"/>
      <c r="J607" s="336"/>
      <c r="K607" s="96"/>
      <c r="L607" s="336"/>
      <c r="M607" s="336"/>
      <c r="N607" s="336"/>
      <c r="O607" s="336"/>
      <c r="P607" s="336"/>
      <c r="Q607" s="336"/>
      <c r="R607" s="336"/>
      <c r="S607" s="336"/>
      <c r="T607" s="336"/>
      <c r="U607" s="336"/>
      <c r="V607" s="336"/>
      <c r="W607" s="336"/>
      <c r="X607" s="336"/>
      <c r="Y607" s="336"/>
      <c r="Z607" s="336"/>
      <c r="AA607" s="336"/>
      <c r="AB607" s="336"/>
      <c r="AC607" s="336"/>
      <c r="AD607" s="336"/>
      <c r="AE607" s="336"/>
      <c r="AF607" s="336"/>
      <c r="AG607" s="336"/>
      <c r="AH607" s="336"/>
      <c r="AI607" s="336"/>
      <c r="AJ607" s="336"/>
      <c r="AK607" s="336"/>
      <c r="AL607" s="336"/>
      <c r="AM607" s="336"/>
      <c r="AN607" s="336"/>
      <c r="AO607" s="336"/>
      <c r="AP607" s="336"/>
      <c r="AQ607" s="336"/>
      <c r="AR607" s="336"/>
      <c r="AS607" s="336"/>
      <c r="AT607" s="336"/>
    </row>
    <row r="608" spans="1:46" s="102" customFormat="1" ht="18.75" customHeight="1">
      <c r="A608" s="90" t="s">
        <v>1005</v>
      </c>
      <c r="B608" s="342"/>
      <c r="C608" s="342"/>
      <c r="D608" s="342"/>
      <c r="E608" s="342"/>
      <c r="F608" s="342"/>
      <c r="G608" s="342"/>
      <c r="H608" s="342"/>
      <c r="I608" s="342"/>
      <c r="J608" s="342"/>
      <c r="K608" s="342"/>
      <c r="L608" s="342"/>
      <c r="M608" s="342"/>
      <c r="N608" s="342"/>
      <c r="O608" s="342"/>
      <c r="P608" s="342"/>
      <c r="Q608" s="342"/>
      <c r="R608" s="342"/>
      <c r="S608" s="342"/>
      <c r="T608" s="342"/>
      <c r="U608" s="101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342"/>
      <c r="AJ608" s="86"/>
      <c r="AK608" s="86"/>
      <c r="AL608" s="86"/>
      <c r="AM608" s="86"/>
      <c r="AN608" s="86"/>
      <c r="AO608" s="342"/>
      <c r="AP608" s="342"/>
      <c r="AQ608" s="342"/>
      <c r="AR608" s="342"/>
      <c r="AS608" s="342"/>
      <c r="AT608" s="342"/>
    </row>
    <row r="609" spans="1:56" s="102" customFormat="1" ht="18.75" customHeight="1">
      <c r="A609" s="342"/>
      <c r="B609" s="342"/>
      <c r="C609" s="342"/>
      <c r="D609" s="342"/>
      <c r="E609" s="342"/>
      <c r="F609" s="342"/>
      <c r="G609" s="342"/>
      <c r="H609" s="342"/>
      <c r="I609" s="342"/>
      <c r="J609" s="342"/>
      <c r="K609" s="342"/>
      <c r="L609" s="342"/>
      <c r="M609" s="342"/>
      <c r="N609" s="342"/>
      <c r="O609" s="342"/>
      <c r="P609" s="342"/>
      <c r="Q609" s="342"/>
      <c r="R609" s="342"/>
      <c r="S609" s="342"/>
      <c r="T609" s="342"/>
      <c r="U609" s="342"/>
      <c r="V609" s="342"/>
      <c r="W609" s="342"/>
      <c r="X609" s="342"/>
      <c r="Y609" s="342"/>
      <c r="Z609" s="342"/>
      <c r="AA609" s="342"/>
      <c r="AB609" s="342"/>
      <c r="AC609" s="342"/>
      <c r="AD609" s="342"/>
      <c r="AE609" s="342"/>
      <c r="AF609" s="342"/>
      <c r="AG609" s="86"/>
      <c r="AH609" s="342"/>
      <c r="AI609" s="342"/>
      <c r="AJ609" s="342"/>
      <c r="AK609" s="342"/>
      <c r="AL609" s="342"/>
      <c r="AM609" s="342"/>
      <c r="AN609" s="342"/>
      <c r="AO609" s="342"/>
      <c r="AP609" s="342"/>
      <c r="AQ609" s="342"/>
      <c r="AR609" s="342"/>
      <c r="AS609" s="342"/>
      <c r="AT609" s="342"/>
    </row>
    <row r="610" spans="1:56" s="102" customFormat="1" ht="18.75" customHeight="1">
      <c r="A610" s="86"/>
      <c r="B610" s="86"/>
      <c r="C610" s="86"/>
      <c r="D610" s="86"/>
      <c r="E610" s="342" t="s">
        <v>1006</v>
      </c>
      <c r="F610" s="86"/>
      <c r="G610" s="608" t="e">
        <f ca="1">AL462</f>
        <v>#VALUE!</v>
      </c>
      <c r="H610" s="608"/>
      <c r="I610" s="608"/>
      <c r="J610" s="105" t="str">
        <f>AP462</f>
        <v>m</v>
      </c>
      <c r="K610" s="363"/>
      <c r="L610" s="364"/>
      <c r="M610" s="608" t="e">
        <f ca="1">AL466</f>
        <v>#VALUE!</v>
      </c>
      <c r="N610" s="608"/>
      <c r="O610" s="608"/>
      <c r="P610" s="365" t="str">
        <f>AP466</f>
        <v>m</v>
      </c>
      <c r="Q610" s="366"/>
      <c r="R610" s="103"/>
      <c r="S610" s="103"/>
      <c r="T610" s="104"/>
      <c r="U610" s="103"/>
      <c r="V610" s="103"/>
      <c r="W610" s="103"/>
      <c r="X610" s="103"/>
      <c r="Y610" s="103"/>
      <c r="Z610" s="103"/>
      <c r="AA610" s="103"/>
      <c r="AB610" s="103"/>
      <c r="AC610" s="104"/>
      <c r="AD610" s="103"/>
      <c r="AE610" s="103"/>
      <c r="AF610" s="103"/>
      <c r="AG610" s="103"/>
      <c r="AH610" s="103"/>
      <c r="AI610" s="103"/>
      <c r="AJ610" s="103"/>
      <c r="AK610" s="104"/>
      <c r="AL610" s="103"/>
      <c r="AM610" s="103"/>
      <c r="AN610" s="103"/>
      <c r="AO610" s="103"/>
      <c r="AP610" s="103"/>
      <c r="AQ610" s="103"/>
      <c r="AR610" s="103"/>
      <c r="AS610" s="105"/>
      <c r="AT610" s="86"/>
    </row>
    <row r="611" spans="1:56" s="106" customFormat="1" ht="18.75" customHeight="1">
      <c r="A611" s="86"/>
      <c r="B611" s="86"/>
      <c r="C611" s="86"/>
      <c r="D611" s="86"/>
      <c r="E611" s="342" t="s">
        <v>198</v>
      </c>
      <c r="F611" s="609" t="e">
        <f ca="1">AL471</f>
        <v>#VALUE!</v>
      </c>
      <c r="G611" s="610"/>
      <c r="H611" s="610"/>
      <c r="I611" s="367" t="str">
        <f>AP471</f>
        <v>m</v>
      </c>
      <c r="J611" s="367"/>
      <c r="K611" s="240"/>
      <c r="L611" s="103"/>
      <c r="M611" s="342"/>
      <c r="N611" s="342"/>
      <c r="O611" s="342"/>
      <c r="P611" s="342"/>
      <c r="Q611" s="342"/>
      <c r="R611" s="342"/>
      <c r="S611" s="342"/>
      <c r="T611" s="342"/>
      <c r="U611" s="342"/>
      <c r="V611" s="342"/>
      <c r="W611" s="342"/>
      <c r="X611" s="342"/>
      <c r="Y611" s="86"/>
      <c r="Z611" s="86"/>
      <c r="AA611" s="86"/>
      <c r="AB611" s="86"/>
      <c r="AC611" s="86"/>
      <c r="AD611" s="86"/>
      <c r="AE611" s="342"/>
      <c r="AF611" s="86"/>
      <c r="AG611" s="86"/>
      <c r="AH611" s="86"/>
      <c r="AI611" s="86"/>
      <c r="AJ611" s="86"/>
      <c r="AK611" s="86"/>
      <c r="AL611" s="86"/>
      <c r="AM611" s="86"/>
      <c r="AN611" s="86"/>
      <c r="AO611" s="86"/>
      <c r="AP611" s="86"/>
      <c r="AQ611" s="86"/>
      <c r="AR611" s="86"/>
      <c r="AS611" s="86"/>
      <c r="AT611" s="86"/>
    </row>
    <row r="612" spans="1:56" s="86" customFormat="1" ht="18.75" customHeight="1">
      <c r="E612" s="342"/>
      <c r="F612" s="107"/>
      <c r="G612" s="107"/>
      <c r="H612" s="107"/>
      <c r="I612" s="107"/>
    </row>
    <row r="613" spans="1:56" s="83" customFormat="1" ht="17.25" customHeight="1">
      <c r="A613" s="90" t="s">
        <v>841</v>
      </c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86"/>
      <c r="AM613" s="82"/>
      <c r="AN613" s="82"/>
      <c r="AO613" s="82"/>
      <c r="AP613" s="82"/>
      <c r="AQ613" s="82"/>
      <c r="AR613" s="82"/>
      <c r="AS613" s="82"/>
      <c r="AT613" s="82"/>
    </row>
    <row r="614" spans="1:56" s="83" customFormat="1" ht="17.2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611" t="e">
        <f ca="1">F611</f>
        <v>#VALUE!</v>
      </c>
      <c r="M614" s="611"/>
      <c r="N614" s="611"/>
      <c r="O614" s="611"/>
      <c r="P614" s="611"/>
      <c r="Q614" s="611"/>
      <c r="R614" s="611"/>
      <c r="S614" s="611"/>
      <c r="T614" s="611"/>
      <c r="U614" s="611"/>
      <c r="V614" s="611"/>
      <c r="W614" s="612" t="s">
        <v>198</v>
      </c>
      <c r="X614" s="613">
        <f ca="1">AT471</f>
        <v>0</v>
      </c>
      <c r="Y614" s="613"/>
      <c r="Z614" s="613"/>
      <c r="AA614" s="613"/>
      <c r="AB614" s="613"/>
      <c r="AC614" s="613"/>
      <c r="AD614" s="86"/>
      <c r="AE614" s="86"/>
      <c r="AF614" s="86"/>
      <c r="AG614" s="86"/>
      <c r="AH614" s="86"/>
      <c r="AI614" s="86"/>
      <c r="AJ614" s="86"/>
      <c r="AK614" s="86"/>
      <c r="AL614" s="86"/>
      <c r="AM614" s="86"/>
      <c r="AN614" s="86"/>
      <c r="AO614" s="82"/>
      <c r="AP614" s="82"/>
      <c r="AQ614" s="82"/>
      <c r="AR614" s="82"/>
      <c r="AS614" s="82"/>
      <c r="AT614" s="82"/>
      <c r="AU614" s="82"/>
      <c r="AV614" s="82"/>
    </row>
    <row r="615" spans="1:56" s="83" customFormat="1" ht="17.2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614" t="e">
        <f ca="1">G610</f>
        <v>#VALUE!</v>
      </c>
      <c r="M615" s="614"/>
      <c r="N615" s="614"/>
      <c r="O615" s="614"/>
      <c r="P615" s="614"/>
      <c r="Q615" s="615" t="s">
        <v>843</v>
      </c>
      <c r="R615" s="614" t="e">
        <f ca="1">M610</f>
        <v>#VALUE!</v>
      </c>
      <c r="S615" s="614"/>
      <c r="T615" s="614"/>
      <c r="U615" s="614"/>
      <c r="V615" s="614"/>
      <c r="W615" s="612"/>
      <c r="X615" s="613"/>
      <c r="Y615" s="613"/>
      <c r="Z615" s="613"/>
      <c r="AA615" s="613"/>
      <c r="AB615" s="613"/>
      <c r="AC615" s="613"/>
      <c r="AD615" s="86"/>
      <c r="AE615" s="86"/>
      <c r="AF615" s="86"/>
      <c r="AG615" s="86"/>
      <c r="AH615" s="86"/>
      <c r="AI615" s="86"/>
      <c r="AJ615" s="86"/>
      <c r="AK615" s="86"/>
      <c r="AL615" s="86"/>
      <c r="AM615" s="86"/>
      <c r="AN615" s="86"/>
      <c r="AO615" s="82"/>
      <c r="AP615" s="82"/>
      <c r="AQ615" s="82"/>
      <c r="AR615" s="82"/>
      <c r="AS615" s="82"/>
      <c r="AT615" s="82"/>
      <c r="AU615" s="82"/>
      <c r="AV615" s="82"/>
    </row>
    <row r="616" spans="1:56" s="83" customFormat="1" ht="17.2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612">
        <f ca="1">AT462</f>
        <v>0</v>
      </c>
      <c r="M616" s="612"/>
      <c r="N616" s="612"/>
      <c r="O616" s="612"/>
      <c r="P616" s="612"/>
      <c r="Q616" s="616"/>
      <c r="R616" s="612">
        <f ca="1">AT466</f>
        <v>0</v>
      </c>
      <c r="S616" s="612"/>
      <c r="T616" s="612"/>
      <c r="U616" s="612"/>
      <c r="V616" s="612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86"/>
      <c r="AM616" s="86"/>
      <c r="AN616" s="86"/>
      <c r="AO616" s="82"/>
      <c r="AP616" s="82"/>
      <c r="AQ616" s="82"/>
      <c r="AR616" s="82"/>
      <c r="AS616" s="82"/>
      <c r="AT616" s="82"/>
      <c r="AU616" s="82"/>
      <c r="AV616" s="82"/>
    </row>
    <row r="617" spans="1:56" s="83" customFormat="1" ht="18.75" customHeight="1">
      <c r="A617" s="82"/>
      <c r="B617" s="82"/>
      <c r="C617" s="82"/>
      <c r="D617" s="109"/>
      <c r="E617" s="342"/>
      <c r="F617" s="109"/>
      <c r="G617" s="109"/>
      <c r="H617" s="342"/>
      <c r="I617" s="110"/>
      <c r="J617" s="110"/>
      <c r="K617" s="111"/>
      <c r="L617" s="82"/>
      <c r="M617" s="82"/>
      <c r="N617" s="82"/>
      <c r="O617" s="82"/>
      <c r="P617" s="82"/>
      <c r="Q617" s="82"/>
      <c r="R617" s="82"/>
      <c r="S617" s="82"/>
      <c r="T617" s="82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86"/>
      <c r="AM617" s="82"/>
      <c r="AN617" s="82"/>
      <c r="AO617" s="82"/>
      <c r="AP617" s="82"/>
      <c r="AQ617" s="82"/>
      <c r="AR617" s="82"/>
      <c r="AS617" s="82"/>
      <c r="AT617" s="82"/>
    </row>
    <row r="618" spans="1:56" s="83" customFormat="1" ht="18.75" customHeight="1">
      <c r="A618" s="90" t="s">
        <v>844</v>
      </c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</row>
    <row r="619" spans="1:56" s="83" customFormat="1" ht="18.75" customHeight="1">
      <c r="A619" s="90"/>
      <c r="B619" s="82" t="s">
        <v>1007</v>
      </c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  <c r="BB619" s="82"/>
      <c r="BC619" s="82"/>
      <c r="BD619" s="82"/>
    </row>
    <row r="620" spans="1:56" s="83" customFormat="1" ht="18.75" customHeight="1">
      <c r="A620" s="90"/>
      <c r="B620" s="82"/>
      <c r="C620" s="82" t="s">
        <v>846</v>
      </c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  <c r="BB620" s="82"/>
      <c r="BC620" s="82"/>
      <c r="BD620" s="82"/>
    </row>
    <row r="621" spans="1:56" s="83" customFormat="1" ht="18.75" customHeight="1">
      <c r="A621" s="90"/>
      <c r="B621" s="82"/>
      <c r="C621" s="83" t="s">
        <v>1008</v>
      </c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  <c r="BB621" s="82"/>
      <c r="BC621" s="82"/>
      <c r="BD621" s="82"/>
    </row>
    <row r="622" spans="1:56" s="83" customFormat="1" ht="18.75" customHeight="1">
      <c r="A622" s="90"/>
      <c r="B622" s="82"/>
      <c r="C622" s="86" t="s">
        <v>1009</v>
      </c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  <c r="BB622" s="82"/>
      <c r="BC622" s="82"/>
      <c r="BD622" s="82"/>
    </row>
    <row r="623" spans="1:56" s="83" customFormat="1" ht="18.75" customHeight="1">
      <c r="A623" s="90"/>
      <c r="B623" s="82"/>
      <c r="D623" s="82"/>
      <c r="E623" s="112"/>
      <c r="F623" s="82"/>
      <c r="G623" s="108"/>
      <c r="H623" s="342"/>
      <c r="I623" s="342"/>
      <c r="J623" s="342"/>
      <c r="R623" s="112"/>
      <c r="S623" s="368"/>
      <c r="T623" s="368"/>
      <c r="U623" s="368"/>
      <c r="V623" s="368"/>
      <c r="W623" s="368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  <c r="BB623" s="82"/>
      <c r="BC623" s="82"/>
      <c r="BD623" s="82"/>
    </row>
    <row r="624" spans="1:56" s="83" customFormat="1" ht="18.75" customHeight="1">
      <c r="A624" s="82"/>
      <c r="B624" s="82"/>
      <c r="C624" s="342"/>
      <c r="D624" s="82"/>
      <c r="E624" s="112"/>
      <c r="F624" s="82"/>
      <c r="G624" s="108" t="s">
        <v>849</v>
      </c>
      <c r="H624" s="620">
        <f ca="1">MAX(Calcu_ADJ!AE45:AE59)</f>
        <v>0</v>
      </c>
      <c r="I624" s="620"/>
      <c r="J624" s="106" t="s">
        <v>693</v>
      </c>
      <c r="K624" s="608" t="e">
        <f ca="1">F611</f>
        <v>#VALUE!</v>
      </c>
      <c r="L624" s="608"/>
      <c r="M624" s="608"/>
      <c r="N624" s="357" t="str">
        <f>I611</f>
        <v>m</v>
      </c>
      <c r="P624" s="241" t="s">
        <v>1010</v>
      </c>
      <c r="Q624" s="608" t="e">
        <f ca="1">H624*K624</f>
        <v>#VALUE!</v>
      </c>
      <c r="R624" s="608"/>
      <c r="S624" s="608"/>
      <c r="T624" s="357" t="str">
        <f>N624</f>
        <v>m</v>
      </c>
      <c r="U624" s="357"/>
      <c r="V624" s="242"/>
      <c r="W624" s="242"/>
      <c r="X624" s="24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</row>
    <row r="625" spans="1:46" ht="18" customHeight="1">
      <c r="A625" s="336"/>
      <c r="B625" s="336"/>
      <c r="C625" s="336"/>
      <c r="D625" s="336"/>
      <c r="E625" s="336"/>
      <c r="F625" s="336"/>
      <c r="G625" s="336"/>
      <c r="H625" s="336"/>
      <c r="I625" s="336"/>
      <c r="J625" s="336"/>
      <c r="K625" s="336"/>
      <c r="L625" s="336"/>
      <c r="M625" s="336"/>
      <c r="N625" s="336"/>
      <c r="U625" s="336"/>
      <c r="V625" s="336"/>
      <c r="W625" s="336"/>
      <c r="X625" s="336"/>
      <c r="Y625" s="336"/>
      <c r="Z625" s="336"/>
      <c r="AA625" s="336"/>
      <c r="AB625" s="336"/>
      <c r="AC625" s="336"/>
      <c r="AD625" s="336"/>
      <c r="AE625" s="336"/>
      <c r="AF625" s="336"/>
      <c r="AG625" s="336"/>
      <c r="AH625" s="336"/>
      <c r="AI625" s="336"/>
      <c r="AJ625" s="336"/>
      <c r="AK625" s="336"/>
      <c r="AL625" s="336"/>
      <c r="AM625" s="336"/>
      <c r="AN625" s="336"/>
      <c r="AO625" s="336"/>
      <c r="AP625" s="336"/>
      <c r="AQ625" s="336"/>
      <c r="AR625" s="336"/>
      <c r="AS625" s="336"/>
      <c r="AT625" s="336"/>
    </row>
  </sheetData>
  <mergeCells count="2358">
    <mergeCell ref="H624:I624"/>
    <mergeCell ref="K624:M624"/>
    <mergeCell ref="Q624:S624"/>
    <mergeCell ref="H601:L601"/>
    <mergeCell ref="B602:G603"/>
    <mergeCell ref="N602:O603"/>
    <mergeCell ref="K604:L604"/>
    <mergeCell ref="O604:Q604"/>
    <mergeCell ref="R604:S604"/>
    <mergeCell ref="U604:W604"/>
    <mergeCell ref="X604:Y604"/>
    <mergeCell ref="B605:F606"/>
    <mergeCell ref="G610:I610"/>
    <mergeCell ref="M610:O610"/>
    <mergeCell ref="F611:H611"/>
    <mergeCell ref="L614:V614"/>
    <mergeCell ref="W614:W615"/>
    <mergeCell ref="X614:AC615"/>
    <mergeCell ref="L615:P615"/>
    <mergeCell ref="Q615:Q616"/>
    <mergeCell ref="R615:V615"/>
    <mergeCell ref="L616:P616"/>
    <mergeCell ref="R616:V616"/>
    <mergeCell ref="K591:L591"/>
    <mergeCell ref="O591:Q591"/>
    <mergeCell ref="R591:S591"/>
    <mergeCell ref="U591:W591"/>
    <mergeCell ref="X591:Y591"/>
    <mergeCell ref="B592:F593"/>
    <mergeCell ref="V597:W597"/>
    <mergeCell ref="G598:K598"/>
    <mergeCell ref="L598:Q598"/>
    <mergeCell ref="B599:H600"/>
    <mergeCell ref="I599:K600"/>
    <mergeCell ref="L599:L600"/>
    <mergeCell ref="M599:O599"/>
    <mergeCell ref="P599:P600"/>
    <mergeCell ref="Q599:R599"/>
    <mergeCell ref="U599:U600"/>
    <mergeCell ref="V599:X600"/>
    <mergeCell ref="Y599:AA600"/>
    <mergeCell ref="B575:F576"/>
    <mergeCell ref="T581:U581"/>
    <mergeCell ref="T583:U583"/>
    <mergeCell ref="AK584:AL584"/>
    <mergeCell ref="G585:K585"/>
    <mergeCell ref="L585:Q585"/>
    <mergeCell ref="B586:H587"/>
    <mergeCell ref="I586:K587"/>
    <mergeCell ref="L586:L587"/>
    <mergeCell ref="M586:O586"/>
    <mergeCell ref="P586:P587"/>
    <mergeCell ref="Q586:R586"/>
    <mergeCell ref="U586:U587"/>
    <mergeCell ref="V586:X587"/>
    <mergeCell ref="Y586:AA587"/>
    <mergeCell ref="H588:L588"/>
    <mergeCell ref="B589:G590"/>
    <mergeCell ref="N589:O590"/>
    <mergeCell ref="L562:P562"/>
    <mergeCell ref="I567:K567"/>
    <mergeCell ref="G568:K568"/>
    <mergeCell ref="L568:Q568"/>
    <mergeCell ref="B569:H570"/>
    <mergeCell ref="I569:M570"/>
    <mergeCell ref="N569:N570"/>
    <mergeCell ref="O569:Q569"/>
    <mergeCell ref="R569:R570"/>
    <mergeCell ref="S569:T569"/>
    <mergeCell ref="W569:W570"/>
    <mergeCell ref="X569:Z570"/>
    <mergeCell ref="AA569:AC570"/>
    <mergeCell ref="H571:L571"/>
    <mergeCell ref="B572:G573"/>
    <mergeCell ref="S572:T573"/>
    <mergeCell ref="K574:L574"/>
    <mergeCell ref="O574:Q574"/>
    <mergeCell ref="R574:S574"/>
    <mergeCell ref="U574:W574"/>
    <mergeCell ref="X574:Y574"/>
    <mergeCell ref="G554:K554"/>
    <mergeCell ref="L554:Q554"/>
    <mergeCell ref="O555:P555"/>
    <mergeCell ref="I556:K557"/>
    <mergeCell ref="L556:L557"/>
    <mergeCell ref="M556:O556"/>
    <mergeCell ref="P556:P557"/>
    <mergeCell ref="Q556:R556"/>
    <mergeCell ref="S556:T556"/>
    <mergeCell ref="U556:U557"/>
    <mergeCell ref="V556:X557"/>
    <mergeCell ref="Y556:Z557"/>
    <mergeCell ref="H558:L558"/>
    <mergeCell ref="B559:G560"/>
    <mergeCell ref="N559:O560"/>
    <mergeCell ref="K561:L561"/>
    <mergeCell ref="O561:Q561"/>
    <mergeCell ref="R561:S561"/>
    <mergeCell ref="U561:W561"/>
    <mergeCell ref="X561:Y561"/>
    <mergeCell ref="K547:L547"/>
    <mergeCell ref="O547:Q547"/>
    <mergeCell ref="T547:V547"/>
    <mergeCell ref="B548:G549"/>
    <mergeCell ref="R548:AJ548"/>
    <mergeCell ref="AK548:AK549"/>
    <mergeCell ref="AL548:AO549"/>
    <mergeCell ref="R549:U549"/>
    <mergeCell ref="V549:V550"/>
    <mergeCell ref="W549:Z549"/>
    <mergeCell ref="AA549:AA550"/>
    <mergeCell ref="AB549:AE549"/>
    <mergeCell ref="AF549:AF550"/>
    <mergeCell ref="AG549:AJ549"/>
    <mergeCell ref="R550:U550"/>
    <mergeCell ref="W550:Z550"/>
    <mergeCell ref="AB550:AE550"/>
    <mergeCell ref="AG550:AJ550"/>
    <mergeCell ref="B532:F533"/>
    <mergeCell ref="G538:K538"/>
    <mergeCell ref="L538:Q538"/>
    <mergeCell ref="N539:P539"/>
    <mergeCell ref="T539:V539"/>
    <mergeCell ref="Y539:Y540"/>
    <mergeCell ref="Z539:AB540"/>
    <mergeCell ref="AC539:AD540"/>
    <mergeCell ref="M540:X540"/>
    <mergeCell ref="B541:H542"/>
    <mergeCell ref="N543:P543"/>
    <mergeCell ref="S543:U543"/>
    <mergeCell ref="X543:Z543"/>
    <mergeCell ref="AC543:AE543"/>
    <mergeCell ref="AH543:AJ543"/>
    <mergeCell ref="H544:L544"/>
    <mergeCell ref="B545:G546"/>
    <mergeCell ref="M545:N546"/>
    <mergeCell ref="H528:L528"/>
    <mergeCell ref="B529:G530"/>
    <mergeCell ref="Q529:X529"/>
    <mergeCell ref="Y529:AF529"/>
    <mergeCell ref="AG529:AG530"/>
    <mergeCell ref="AH529:AK530"/>
    <mergeCell ref="AL529:AN530"/>
    <mergeCell ref="Q530:S530"/>
    <mergeCell ref="T530:V530"/>
    <mergeCell ref="Y530:AB530"/>
    <mergeCell ref="AC530:AF530"/>
    <mergeCell ref="K531:N531"/>
    <mergeCell ref="O531:P531"/>
    <mergeCell ref="S531:U531"/>
    <mergeCell ref="V531:X531"/>
    <mergeCell ref="Z531:AB531"/>
    <mergeCell ref="AC531:AD531"/>
    <mergeCell ref="H522:K522"/>
    <mergeCell ref="L522:N522"/>
    <mergeCell ref="K523:N523"/>
    <mergeCell ref="K524:M524"/>
    <mergeCell ref="N524:P524"/>
    <mergeCell ref="G525:K525"/>
    <mergeCell ref="L525:N525"/>
    <mergeCell ref="B526:H527"/>
    <mergeCell ref="I526:K527"/>
    <mergeCell ref="L526:L527"/>
    <mergeCell ref="M526:N526"/>
    <mergeCell ref="O526:O527"/>
    <mergeCell ref="P526:R526"/>
    <mergeCell ref="S526:U526"/>
    <mergeCell ref="V526:V527"/>
    <mergeCell ref="W526:Y527"/>
    <mergeCell ref="Z526:AB527"/>
    <mergeCell ref="M527:N527"/>
    <mergeCell ref="B513:G514"/>
    <mergeCell ref="Q513:X513"/>
    <mergeCell ref="Y513:AF513"/>
    <mergeCell ref="AG513:AG514"/>
    <mergeCell ref="AH513:AK514"/>
    <mergeCell ref="AL513:AO514"/>
    <mergeCell ref="R514:T514"/>
    <mergeCell ref="U514:X514"/>
    <mergeCell ref="Z514:AC514"/>
    <mergeCell ref="AD514:AF514"/>
    <mergeCell ref="K515:N515"/>
    <mergeCell ref="O515:Q515"/>
    <mergeCell ref="T515:V515"/>
    <mergeCell ref="W515:Y515"/>
    <mergeCell ref="AA515:AC515"/>
    <mergeCell ref="AD515:AE515"/>
    <mergeCell ref="B516:F517"/>
    <mergeCell ref="J507:M507"/>
    <mergeCell ref="I508:K508"/>
    <mergeCell ref="L508:N508"/>
    <mergeCell ref="G509:K509"/>
    <mergeCell ref="L509:N509"/>
    <mergeCell ref="B510:H511"/>
    <mergeCell ref="I510:K511"/>
    <mergeCell ref="L510:L511"/>
    <mergeCell ref="M510:N510"/>
    <mergeCell ref="O510:O511"/>
    <mergeCell ref="P510:R510"/>
    <mergeCell ref="S510:U510"/>
    <mergeCell ref="V510:V511"/>
    <mergeCell ref="W510:Y511"/>
    <mergeCell ref="Z510:AB511"/>
    <mergeCell ref="M511:N511"/>
    <mergeCell ref="H512:L512"/>
    <mergeCell ref="B499:G500"/>
    <mergeCell ref="Q499:AD499"/>
    <mergeCell ref="AE499:AE500"/>
    <mergeCell ref="AF499:AI500"/>
    <mergeCell ref="AJ499:AM500"/>
    <mergeCell ref="Q500:S500"/>
    <mergeCell ref="T500:V500"/>
    <mergeCell ref="X500:AA500"/>
    <mergeCell ref="AB500:AD500"/>
    <mergeCell ref="K501:N501"/>
    <mergeCell ref="O501:R501"/>
    <mergeCell ref="U501:W501"/>
    <mergeCell ref="X501:Y501"/>
    <mergeCell ref="AA501:AC501"/>
    <mergeCell ref="AD501:AE501"/>
    <mergeCell ref="L502:P502"/>
    <mergeCell ref="H506:J506"/>
    <mergeCell ref="K506:M506"/>
    <mergeCell ref="G494:K494"/>
    <mergeCell ref="L494:Q494"/>
    <mergeCell ref="I496:K497"/>
    <mergeCell ref="L496:L497"/>
    <mergeCell ref="M496:N496"/>
    <mergeCell ref="O496:O497"/>
    <mergeCell ref="P496:Q496"/>
    <mergeCell ref="R496:S496"/>
    <mergeCell ref="T496:T497"/>
    <mergeCell ref="U496:V497"/>
    <mergeCell ref="W496:X497"/>
    <mergeCell ref="Y496:Y497"/>
    <mergeCell ref="Z496:AB497"/>
    <mergeCell ref="AC496:AD497"/>
    <mergeCell ref="M497:N497"/>
    <mergeCell ref="P497:S497"/>
    <mergeCell ref="H498:L498"/>
    <mergeCell ref="B481:H482"/>
    <mergeCell ref="N483:P483"/>
    <mergeCell ref="S483:U483"/>
    <mergeCell ref="X483:Z483"/>
    <mergeCell ref="AC483:AE483"/>
    <mergeCell ref="H484:L484"/>
    <mergeCell ref="B485:G486"/>
    <mergeCell ref="M485:N486"/>
    <mergeCell ref="K487:L487"/>
    <mergeCell ref="O487:Q487"/>
    <mergeCell ref="T487:V487"/>
    <mergeCell ref="B488:G489"/>
    <mergeCell ref="R488:AE488"/>
    <mergeCell ref="AF488:AF489"/>
    <mergeCell ref="AG488:AJ489"/>
    <mergeCell ref="R489:U489"/>
    <mergeCell ref="V489:V490"/>
    <mergeCell ref="W489:Z489"/>
    <mergeCell ref="AA489:AA490"/>
    <mergeCell ref="AB489:AE489"/>
    <mergeCell ref="R490:U490"/>
    <mergeCell ref="W490:Z490"/>
    <mergeCell ref="AB490:AE490"/>
    <mergeCell ref="B471:C471"/>
    <mergeCell ref="D471:H471"/>
    <mergeCell ref="I471:K471"/>
    <mergeCell ref="L471:P471"/>
    <mergeCell ref="Q471:X471"/>
    <mergeCell ref="Y471:AC471"/>
    <mergeCell ref="AD471:AK471"/>
    <mergeCell ref="AL471:AO471"/>
    <mergeCell ref="AP471:AS471"/>
    <mergeCell ref="AT471:AW471"/>
    <mergeCell ref="G477:K477"/>
    <mergeCell ref="L477:Q477"/>
    <mergeCell ref="O478:R478"/>
    <mergeCell ref="S478:U478"/>
    <mergeCell ref="G479:L480"/>
    <mergeCell ref="R479:X479"/>
    <mergeCell ref="Y479:AE479"/>
    <mergeCell ref="AF479:AF480"/>
    <mergeCell ref="AG479:AI480"/>
    <mergeCell ref="AJ479:AK480"/>
    <mergeCell ref="R480:T480"/>
    <mergeCell ref="U480:W480"/>
    <mergeCell ref="Y480:AB480"/>
    <mergeCell ref="AC480:AE480"/>
    <mergeCell ref="B469:C469"/>
    <mergeCell ref="D469:H469"/>
    <mergeCell ref="I469:P469"/>
    <mergeCell ref="Q469:U469"/>
    <mergeCell ref="V469:X469"/>
    <mergeCell ref="Y469:AC469"/>
    <mergeCell ref="AD469:AK469"/>
    <mergeCell ref="AL469:AP469"/>
    <mergeCell ref="AQ469:AS469"/>
    <mergeCell ref="AT469:AW469"/>
    <mergeCell ref="B470:C470"/>
    <mergeCell ref="D470:H470"/>
    <mergeCell ref="I470:P470"/>
    <mergeCell ref="Q470:U470"/>
    <mergeCell ref="V470:X470"/>
    <mergeCell ref="Y470:AC470"/>
    <mergeCell ref="AD470:AK470"/>
    <mergeCell ref="AL470:AP470"/>
    <mergeCell ref="AQ470:AS470"/>
    <mergeCell ref="AT470:AW470"/>
    <mergeCell ref="B467:C467"/>
    <mergeCell ref="D467:H467"/>
    <mergeCell ref="I467:P467"/>
    <mergeCell ref="Q467:U467"/>
    <mergeCell ref="V467:X467"/>
    <mergeCell ref="Y467:AC467"/>
    <mergeCell ref="AD467:AK467"/>
    <mergeCell ref="AL467:AP467"/>
    <mergeCell ref="AQ467:AS467"/>
    <mergeCell ref="AT467:AW467"/>
    <mergeCell ref="B468:C468"/>
    <mergeCell ref="D468:H468"/>
    <mergeCell ref="I468:P468"/>
    <mergeCell ref="Q468:U468"/>
    <mergeCell ref="V468:X468"/>
    <mergeCell ref="Y468:AC468"/>
    <mergeCell ref="AD468:AK468"/>
    <mergeCell ref="AL468:AP468"/>
    <mergeCell ref="AQ468:AS468"/>
    <mergeCell ref="AT468:AW468"/>
    <mergeCell ref="B465:C465"/>
    <mergeCell ref="D465:H465"/>
    <mergeCell ref="I465:M465"/>
    <mergeCell ref="N465:P465"/>
    <mergeCell ref="Q465:U465"/>
    <mergeCell ref="V465:X465"/>
    <mergeCell ref="Y465:AC465"/>
    <mergeCell ref="AD465:AG465"/>
    <mergeCell ref="AH465:AK465"/>
    <mergeCell ref="AL465:AP465"/>
    <mergeCell ref="AQ465:AS465"/>
    <mergeCell ref="AT465:AW465"/>
    <mergeCell ref="B466:C466"/>
    <mergeCell ref="D466:H466"/>
    <mergeCell ref="I466:K466"/>
    <mergeCell ref="L466:P466"/>
    <mergeCell ref="Q466:T466"/>
    <mergeCell ref="U466:X466"/>
    <mergeCell ref="Y466:AC466"/>
    <mergeCell ref="AD466:AK466"/>
    <mergeCell ref="AL466:AO466"/>
    <mergeCell ref="AP466:AS466"/>
    <mergeCell ref="AT466:AW466"/>
    <mergeCell ref="V463:X463"/>
    <mergeCell ref="Y463:AC463"/>
    <mergeCell ref="AD463:AG463"/>
    <mergeCell ref="AH463:AK463"/>
    <mergeCell ref="AL463:AP463"/>
    <mergeCell ref="AQ463:AS463"/>
    <mergeCell ref="AT463:AW463"/>
    <mergeCell ref="B464:C464"/>
    <mergeCell ref="D464:H464"/>
    <mergeCell ref="I464:M464"/>
    <mergeCell ref="N464:P464"/>
    <mergeCell ref="Q464:U464"/>
    <mergeCell ref="V464:X464"/>
    <mergeCell ref="Y464:AC464"/>
    <mergeCell ref="AD464:AG464"/>
    <mergeCell ref="AH464:AK464"/>
    <mergeCell ref="AL464:AP464"/>
    <mergeCell ref="AQ464:AS464"/>
    <mergeCell ref="AT464:AW464"/>
    <mergeCell ref="AL459:AS459"/>
    <mergeCell ref="AT459:AW459"/>
    <mergeCell ref="D460:H460"/>
    <mergeCell ref="I460:P460"/>
    <mergeCell ref="Q460:X460"/>
    <mergeCell ref="Y460:AC460"/>
    <mergeCell ref="AD460:AK460"/>
    <mergeCell ref="AL460:AS460"/>
    <mergeCell ref="AT460:AW460"/>
    <mergeCell ref="D461:H461"/>
    <mergeCell ref="I461:P461"/>
    <mergeCell ref="Q461:X461"/>
    <mergeCell ref="Y461:AC461"/>
    <mergeCell ref="AD461:AK461"/>
    <mergeCell ref="AL461:AS461"/>
    <mergeCell ref="AT461:AW461"/>
    <mergeCell ref="B462:C462"/>
    <mergeCell ref="D462:H462"/>
    <mergeCell ref="I462:K462"/>
    <mergeCell ref="L462:P462"/>
    <mergeCell ref="Q462:T462"/>
    <mergeCell ref="U462:X462"/>
    <mergeCell ref="Y462:AC462"/>
    <mergeCell ref="AD462:AK462"/>
    <mergeCell ref="AL462:AO462"/>
    <mergeCell ref="AP462:AS462"/>
    <mergeCell ref="AT462:AW462"/>
    <mergeCell ref="B459:C461"/>
    <mergeCell ref="D459:H459"/>
    <mergeCell ref="I459:P459"/>
    <mergeCell ref="Q459:X459"/>
    <mergeCell ref="Y459:AC459"/>
    <mergeCell ref="B430:D430"/>
    <mergeCell ref="E430:J430"/>
    <mergeCell ref="K430:P430"/>
    <mergeCell ref="Q430:V430"/>
    <mergeCell ref="W430:AB430"/>
    <mergeCell ref="AC430:AH430"/>
    <mergeCell ref="AI430:AN430"/>
    <mergeCell ref="AO430:AT430"/>
    <mergeCell ref="B431:D431"/>
    <mergeCell ref="E431:J431"/>
    <mergeCell ref="K431:P431"/>
    <mergeCell ref="Q431:V431"/>
    <mergeCell ref="W431:AB431"/>
    <mergeCell ref="AC431:AH431"/>
    <mergeCell ref="AI431:AN431"/>
    <mergeCell ref="AO431:AT431"/>
    <mergeCell ref="B432:D432"/>
    <mergeCell ref="E432:J432"/>
    <mergeCell ref="K432:P432"/>
    <mergeCell ref="Q432:V432"/>
    <mergeCell ref="W432:AB432"/>
    <mergeCell ref="AC432:AH432"/>
    <mergeCell ref="AI432:AN432"/>
    <mergeCell ref="AO432:AT432"/>
    <mergeCell ref="Q427:V427"/>
    <mergeCell ref="W427:AB427"/>
    <mergeCell ref="AC427:AH427"/>
    <mergeCell ref="AI427:AN427"/>
    <mergeCell ref="AO427:AT427"/>
    <mergeCell ref="B428:D428"/>
    <mergeCell ref="E428:J428"/>
    <mergeCell ref="K428:P428"/>
    <mergeCell ref="Q428:V428"/>
    <mergeCell ref="W428:AB428"/>
    <mergeCell ref="AC428:AH428"/>
    <mergeCell ref="AI428:AN428"/>
    <mergeCell ref="AO428:AT428"/>
    <mergeCell ref="B429:D429"/>
    <mergeCell ref="E429:J429"/>
    <mergeCell ref="K429:P429"/>
    <mergeCell ref="Q429:V429"/>
    <mergeCell ref="W429:AB429"/>
    <mergeCell ref="AC429:AH429"/>
    <mergeCell ref="AI429:AN429"/>
    <mergeCell ref="AO429:AT429"/>
    <mergeCell ref="B427:D427"/>
    <mergeCell ref="E427:J427"/>
    <mergeCell ref="K427:P427"/>
    <mergeCell ref="AC424:AH424"/>
    <mergeCell ref="AI424:AN424"/>
    <mergeCell ref="AO424:AT424"/>
    <mergeCell ref="B425:D425"/>
    <mergeCell ref="E425:J425"/>
    <mergeCell ref="K425:P425"/>
    <mergeCell ref="Q425:V425"/>
    <mergeCell ref="W425:AB425"/>
    <mergeCell ref="AC425:AH425"/>
    <mergeCell ref="AI425:AN425"/>
    <mergeCell ref="AO425:AT425"/>
    <mergeCell ref="B426:D426"/>
    <mergeCell ref="E426:J426"/>
    <mergeCell ref="K426:P426"/>
    <mergeCell ref="Q426:V426"/>
    <mergeCell ref="W426:AB426"/>
    <mergeCell ref="AC426:AH426"/>
    <mergeCell ref="AI426:AN426"/>
    <mergeCell ref="AO426:AT426"/>
    <mergeCell ref="B424:D424"/>
    <mergeCell ref="E424:J424"/>
    <mergeCell ref="K424:P424"/>
    <mergeCell ref="Q424:V424"/>
    <mergeCell ref="W424:AB424"/>
    <mergeCell ref="AC421:AH421"/>
    <mergeCell ref="AI421:AN421"/>
    <mergeCell ref="AO421:AT421"/>
    <mergeCell ref="B422:D422"/>
    <mergeCell ref="E422:J422"/>
    <mergeCell ref="K422:P422"/>
    <mergeCell ref="Q422:V422"/>
    <mergeCell ref="W422:AB422"/>
    <mergeCell ref="AC422:AH422"/>
    <mergeCell ref="AI422:AN422"/>
    <mergeCell ref="AO422:AT422"/>
    <mergeCell ref="B423:D423"/>
    <mergeCell ref="E423:J423"/>
    <mergeCell ref="K423:P423"/>
    <mergeCell ref="Q423:V423"/>
    <mergeCell ref="W423:AB423"/>
    <mergeCell ref="AC423:AH423"/>
    <mergeCell ref="AI423:AN423"/>
    <mergeCell ref="AO423:AT423"/>
    <mergeCell ref="B421:D421"/>
    <mergeCell ref="E421:J421"/>
    <mergeCell ref="K421:P421"/>
    <mergeCell ref="Q421:V421"/>
    <mergeCell ref="W421:AB421"/>
    <mergeCell ref="B418:D418"/>
    <mergeCell ref="E418:J418"/>
    <mergeCell ref="K418:P418"/>
    <mergeCell ref="Q418:V418"/>
    <mergeCell ref="W418:AB418"/>
    <mergeCell ref="AC418:AH418"/>
    <mergeCell ref="AI418:AN418"/>
    <mergeCell ref="AO418:AT418"/>
    <mergeCell ref="B419:D419"/>
    <mergeCell ref="E419:J419"/>
    <mergeCell ref="K419:P419"/>
    <mergeCell ref="Q419:V419"/>
    <mergeCell ref="W419:AB419"/>
    <mergeCell ref="AC419:AH419"/>
    <mergeCell ref="AI419:AN419"/>
    <mergeCell ref="AO419:AT419"/>
    <mergeCell ref="B420:D420"/>
    <mergeCell ref="E420:J420"/>
    <mergeCell ref="K420:P420"/>
    <mergeCell ref="Q420:V420"/>
    <mergeCell ref="W420:AB420"/>
    <mergeCell ref="AC420:AH420"/>
    <mergeCell ref="AI420:AN420"/>
    <mergeCell ref="AO420:AT420"/>
    <mergeCell ref="B411:D411"/>
    <mergeCell ref="E411:H411"/>
    <mergeCell ref="I411:L411"/>
    <mergeCell ref="M411:Q411"/>
    <mergeCell ref="R411:U411"/>
    <mergeCell ref="V411:Z411"/>
    <mergeCell ref="AA411:AE411"/>
    <mergeCell ref="AF411:AJ411"/>
    <mergeCell ref="AK411:AO411"/>
    <mergeCell ref="AP411:AT411"/>
    <mergeCell ref="B414:D417"/>
    <mergeCell ref="E414:V414"/>
    <mergeCell ref="W414:AT414"/>
    <mergeCell ref="E415:J416"/>
    <mergeCell ref="K415:P416"/>
    <mergeCell ref="Q415:V416"/>
    <mergeCell ref="W415:AT415"/>
    <mergeCell ref="W416:AB416"/>
    <mergeCell ref="AC416:AH416"/>
    <mergeCell ref="AI416:AN416"/>
    <mergeCell ref="AO416:AT416"/>
    <mergeCell ref="E417:J417"/>
    <mergeCell ref="K417:P417"/>
    <mergeCell ref="Q417:V417"/>
    <mergeCell ref="W417:AB417"/>
    <mergeCell ref="AC417:AH417"/>
    <mergeCell ref="AI417:AN417"/>
    <mergeCell ref="AO417:AT417"/>
    <mergeCell ref="B409:D409"/>
    <mergeCell ref="E409:H409"/>
    <mergeCell ref="I409:L409"/>
    <mergeCell ref="M409:Q409"/>
    <mergeCell ref="R409:U409"/>
    <mergeCell ref="V409:Z409"/>
    <mergeCell ref="AA409:AE409"/>
    <mergeCell ref="AF409:AJ409"/>
    <mergeCell ref="AK409:AO409"/>
    <mergeCell ref="AP409:AT409"/>
    <mergeCell ref="B410:D410"/>
    <mergeCell ref="E410:H410"/>
    <mergeCell ref="I410:L410"/>
    <mergeCell ref="M410:Q410"/>
    <mergeCell ref="R410:U410"/>
    <mergeCell ref="V410:Z410"/>
    <mergeCell ref="AA410:AE410"/>
    <mergeCell ref="AF410:AJ410"/>
    <mergeCell ref="AK410:AO410"/>
    <mergeCell ref="AP410:AT410"/>
    <mergeCell ref="B407:D407"/>
    <mergeCell ref="E407:H407"/>
    <mergeCell ref="I407:L407"/>
    <mergeCell ref="M407:Q407"/>
    <mergeCell ref="R407:U407"/>
    <mergeCell ref="V407:Z407"/>
    <mergeCell ref="AA407:AE407"/>
    <mergeCell ref="AF407:AJ407"/>
    <mergeCell ref="AK407:AO407"/>
    <mergeCell ref="AP407:AT407"/>
    <mergeCell ref="B408:D408"/>
    <mergeCell ref="E408:H408"/>
    <mergeCell ref="I408:L408"/>
    <mergeCell ref="M408:Q408"/>
    <mergeCell ref="R408:U408"/>
    <mergeCell ref="V408:Z408"/>
    <mergeCell ref="AA408:AE408"/>
    <mergeCell ref="AF408:AJ408"/>
    <mergeCell ref="AK408:AO408"/>
    <mergeCell ref="AP408:AT408"/>
    <mergeCell ref="B405:D405"/>
    <mergeCell ref="E405:H405"/>
    <mergeCell ref="I405:L405"/>
    <mergeCell ref="M405:Q405"/>
    <mergeCell ref="R405:U405"/>
    <mergeCell ref="V405:Z405"/>
    <mergeCell ref="AA405:AE405"/>
    <mergeCell ref="AF405:AJ405"/>
    <mergeCell ref="AK405:AO405"/>
    <mergeCell ref="AP405:AT405"/>
    <mergeCell ref="B406:D406"/>
    <mergeCell ref="E406:H406"/>
    <mergeCell ref="I406:L406"/>
    <mergeCell ref="M406:Q406"/>
    <mergeCell ref="R406:U406"/>
    <mergeCell ref="V406:Z406"/>
    <mergeCell ref="AA406:AE406"/>
    <mergeCell ref="AF406:AJ406"/>
    <mergeCell ref="AK406:AO406"/>
    <mergeCell ref="AP406:AT406"/>
    <mergeCell ref="B403:D403"/>
    <mergeCell ref="E403:H403"/>
    <mergeCell ref="I403:L403"/>
    <mergeCell ref="M403:Q403"/>
    <mergeCell ref="R403:U403"/>
    <mergeCell ref="V403:Z403"/>
    <mergeCell ref="AA403:AE403"/>
    <mergeCell ref="AF403:AJ403"/>
    <mergeCell ref="AK403:AO403"/>
    <mergeCell ref="AP403:AT403"/>
    <mergeCell ref="B404:D404"/>
    <mergeCell ref="E404:H404"/>
    <mergeCell ref="I404:L404"/>
    <mergeCell ref="M404:Q404"/>
    <mergeCell ref="R404:U404"/>
    <mergeCell ref="V404:Z404"/>
    <mergeCell ref="AA404:AE404"/>
    <mergeCell ref="AF404:AJ404"/>
    <mergeCell ref="AK404:AO404"/>
    <mergeCell ref="AP404:AT404"/>
    <mergeCell ref="B401:D401"/>
    <mergeCell ref="E401:H401"/>
    <mergeCell ref="I401:L401"/>
    <mergeCell ref="M401:Q401"/>
    <mergeCell ref="R401:U401"/>
    <mergeCell ref="V401:Z401"/>
    <mergeCell ref="AA401:AE401"/>
    <mergeCell ref="AF401:AJ401"/>
    <mergeCell ref="AK401:AO401"/>
    <mergeCell ref="AP401:AT401"/>
    <mergeCell ref="B402:D402"/>
    <mergeCell ref="E402:H402"/>
    <mergeCell ref="I402:L402"/>
    <mergeCell ref="M402:Q402"/>
    <mergeCell ref="R402:U402"/>
    <mergeCell ref="V402:Z402"/>
    <mergeCell ref="AA402:AE402"/>
    <mergeCell ref="AF402:AJ402"/>
    <mergeCell ref="AK402:AO402"/>
    <mergeCell ref="AP402:AT402"/>
    <mergeCell ref="M399:Q399"/>
    <mergeCell ref="R399:U399"/>
    <mergeCell ref="V399:Z399"/>
    <mergeCell ref="AA399:AE399"/>
    <mergeCell ref="AF399:AJ399"/>
    <mergeCell ref="AK399:AO399"/>
    <mergeCell ref="AP399:AT399"/>
    <mergeCell ref="B400:D400"/>
    <mergeCell ref="E400:H400"/>
    <mergeCell ref="I400:L400"/>
    <mergeCell ref="M400:Q400"/>
    <mergeCell ref="R400:U400"/>
    <mergeCell ref="V400:Z400"/>
    <mergeCell ref="AA400:AE400"/>
    <mergeCell ref="AF400:AJ400"/>
    <mergeCell ref="AK400:AO400"/>
    <mergeCell ref="AP400:AT400"/>
    <mergeCell ref="B399:D399"/>
    <mergeCell ref="E399:H399"/>
    <mergeCell ref="I399:L399"/>
    <mergeCell ref="B397:D397"/>
    <mergeCell ref="E397:H397"/>
    <mergeCell ref="I397:L397"/>
    <mergeCell ref="M397:Q397"/>
    <mergeCell ref="R397:U397"/>
    <mergeCell ref="V397:Z397"/>
    <mergeCell ref="AA397:AE397"/>
    <mergeCell ref="AF397:AJ397"/>
    <mergeCell ref="AK397:AO397"/>
    <mergeCell ref="AP397:AT397"/>
    <mergeCell ref="B398:D398"/>
    <mergeCell ref="E398:H398"/>
    <mergeCell ref="I398:L398"/>
    <mergeCell ref="M398:Q398"/>
    <mergeCell ref="R398:U398"/>
    <mergeCell ref="V398:Z398"/>
    <mergeCell ref="AA398:AE398"/>
    <mergeCell ref="AF398:AJ398"/>
    <mergeCell ref="AK398:AO398"/>
    <mergeCell ref="AP398:AT398"/>
    <mergeCell ref="B390:D390"/>
    <mergeCell ref="E390:K390"/>
    <mergeCell ref="L390:R390"/>
    <mergeCell ref="S390:Y390"/>
    <mergeCell ref="Z390:AF390"/>
    <mergeCell ref="AG390:AM390"/>
    <mergeCell ref="AN390:AT390"/>
    <mergeCell ref="B393:D396"/>
    <mergeCell ref="E393:Z393"/>
    <mergeCell ref="AA393:AT393"/>
    <mergeCell ref="E394:H395"/>
    <mergeCell ref="I394:L395"/>
    <mergeCell ref="M394:Q395"/>
    <mergeCell ref="R394:U395"/>
    <mergeCell ref="V394:Z395"/>
    <mergeCell ref="AA394:AE395"/>
    <mergeCell ref="AF394:AJ395"/>
    <mergeCell ref="AK394:AO395"/>
    <mergeCell ref="AP394:AT395"/>
    <mergeCell ref="E396:H396"/>
    <mergeCell ref="I396:L396"/>
    <mergeCell ref="M396:Q396"/>
    <mergeCell ref="R396:U396"/>
    <mergeCell ref="V396:Z396"/>
    <mergeCell ref="AA396:AE396"/>
    <mergeCell ref="AK396:AO396"/>
    <mergeCell ref="AP396:AT396"/>
    <mergeCell ref="AF396:AJ396"/>
    <mergeCell ref="B387:D387"/>
    <mergeCell ref="E387:K387"/>
    <mergeCell ref="L387:R387"/>
    <mergeCell ref="S387:Y387"/>
    <mergeCell ref="Z387:AF387"/>
    <mergeCell ref="AG387:AM387"/>
    <mergeCell ref="AN387:AT387"/>
    <mergeCell ref="B388:D388"/>
    <mergeCell ref="E388:K388"/>
    <mergeCell ref="L388:R388"/>
    <mergeCell ref="S388:Y388"/>
    <mergeCell ref="Z388:AF388"/>
    <mergeCell ref="AG388:AM388"/>
    <mergeCell ref="AN388:AT388"/>
    <mergeCell ref="B389:D389"/>
    <mergeCell ref="E389:K389"/>
    <mergeCell ref="L389:R389"/>
    <mergeCell ref="S389:Y389"/>
    <mergeCell ref="Z389:AF389"/>
    <mergeCell ref="AG389:AM389"/>
    <mergeCell ref="AN389:AT389"/>
    <mergeCell ref="B384:D384"/>
    <mergeCell ref="E384:K384"/>
    <mergeCell ref="L384:R384"/>
    <mergeCell ref="S384:Y384"/>
    <mergeCell ref="Z384:AF384"/>
    <mergeCell ref="AG384:AM384"/>
    <mergeCell ref="AN384:AT384"/>
    <mergeCell ref="B385:D385"/>
    <mergeCell ref="E385:K385"/>
    <mergeCell ref="L385:R385"/>
    <mergeCell ref="S385:Y385"/>
    <mergeCell ref="Z385:AF385"/>
    <mergeCell ref="AG385:AM385"/>
    <mergeCell ref="AN385:AT385"/>
    <mergeCell ref="B386:D386"/>
    <mergeCell ref="E386:K386"/>
    <mergeCell ref="L386:R386"/>
    <mergeCell ref="S386:Y386"/>
    <mergeCell ref="Z386:AF386"/>
    <mergeCell ref="AG386:AM386"/>
    <mergeCell ref="AN386:AT386"/>
    <mergeCell ref="L381:R381"/>
    <mergeCell ref="S381:Y381"/>
    <mergeCell ref="Z381:AF381"/>
    <mergeCell ref="AG381:AM381"/>
    <mergeCell ref="AN381:AT381"/>
    <mergeCell ref="B382:D382"/>
    <mergeCell ref="E382:K382"/>
    <mergeCell ref="L382:R382"/>
    <mergeCell ref="S382:Y382"/>
    <mergeCell ref="Z382:AF382"/>
    <mergeCell ref="AG382:AM382"/>
    <mergeCell ref="AN382:AT382"/>
    <mergeCell ref="B383:D383"/>
    <mergeCell ref="E383:K383"/>
    <mergeCell ref="L383:R383"/>
    <mergeCell ref="S383:Y383"/>
    <mergeCell ref="Z383:AF383"/>
    <mergeCell ref="AG383:AM383"/>
    <mergeCell ref="AN383:AT383"/>
    <mergeCell ref="B373:D373"/>
    <mergeCell ref="E373:K373"/>
    <mergeCell ref="L373:R373"/>
    <mergeCell ref="S373:Y373"/>
    <mergeCell ref="Z373:AF373"/>
    <mergeCell ref="AG373:AM373"/>
    <mergeCell ref="AN373:AT373"/>
    <mergeCell ref="B374:D374"/>
    <mergeCell ref="E374:K374"/>
    <mergeCell ref="L374:R374"/>
    <mergeCell ref="S374:Y374"/>
    <mergeCell ref="Z374:AF374"/>
    <mergeCell ref="AG374:AM374"/>
    <mergeCell ref="AN374:AT374"/>
    <mergeCell ref="B375:D375"/>
    <mergeCell ref="E375:K375"/>
    <mergeCell ref="L375:R375"/>
    <mergeCell ref="S375:Y375"/>
    <mergeCell ref="Z375:AF375"/>
    <mergeCell ref="AG375:AM375"/>
    <mergeCell ref="AN375:AT375"/>
    <mergeCell ref="Z370:AF370"/>
    <mergeCell ref="AG370:AM370"/>
    <mergeCell ref="AN370:AT370"/>
    <mergeCell ref="B371:D371"/>
    <mergeCell ref="E371:K371"/>
    <mergeCell ref="L371:R371"/>
    <mergeCell ref="S371:Y371"/>
    <mergeCell ref="Z371:AF371"/>
    <mergeCell ref="AG371:AM371"/>
    <mergeCell ref="AN371:AT371"/>
    <mergeCell ref="B372:D372"/>
    <mergeCell ref="E372:K372"/>
    <mergeCell ref="L372:R372"/>
    <mergeCell ref="S372:Y372"/>
    <mergeCell ref="Z372:AF372"/>
    <mergeCell ref="AG372:AM372"/>
    <mergeCell ref="AN372:AT372"/>
    <mergeCell ref="B370:D370"/>
    <mergeCell ref="E370:K370"/>
    <mergeCell ref="L370:R370"/>
    <mergeCell ref="S370:Y370"/>
    <mergeCell ref="Z367:AF367"/>
    <mergeCell ref="AG367:AM367"/>
    <mergeCell ref="AN367:AT367"/>
    <mergeCell ref="B368:D368"/>
    <mergeCell ref="E368:K368"/>
    <mergeCell ref="L368:R368"/>
    <mergeCell ref="S368:Y368"/>
    <mergeCell ref="Z368:AF368"/>
    <mergeCell ref="AG368:AM368"/>
    <mergeCell ref="AN368:AT368"/>
    <mergeCell ref="B369:D369"/>
    <mergeCell ref="E369:K369"/>
    <mergeCell ref="L369:R369"/>
    <mergeCell ref="S369:Y369"/>
    <mergeCell ref="Z369:AF369"/>
    <mergeCell ref="AG369:AM369"/>
    <mergeCell ref="AN369:AT369"/>
    <mergeCell ref="B367:D367"/>
    <mergeCell ref="E367:K367"/>
    <mergeCell ref="L367:R367"/>
    <mergeCell ref="S367:Y367"/>
    <mergeCell ref="Z364:AF364"/>
    <mergeCell ref="AG364:AM364"/>
    <mergeCell ref="AN364:AT364"/>
    <mergeCell ref="B365:D365"/>
    <mergeCell ref="E365:K365"/>
    <mergeCell ref="L365:R365"/>
    <mergeCell ref="S365:Y365"/>
    <mergeCell ref="Z365:AF365"/>
    <mergeCell ref="AG365:AM365"/>
    <mergeCell ref="AN365:AT365"/>
    <mergeCell ref="B366:D366"/>
    <mergeCell ref="E366:K366"/>
    <mergeCell ref="L366:R366"/>
    <mergeCell ref="S366:Y366"/>
    <mergeCell ref="Z366:AF366"/>
    <mergeCell ref="AG366:AM366"/>
    <mergeCell ref="AN366:AT366"/>
    <mergeCell ref="B364:D364"/>
    <mergeCell ref="E364:K364"/>
    <mergeCell ref="L364:R364"/>
    <mergeCell ref="S364:Y364"/>
    <mergeCell ref="B361:D361"/>
    <mergeCell ref="E361:K361"/>
    <mergeCell ref="L361:R361"/>
    <mergeCell ref="S361:Y361"/>
    <mergeCell ref="Z361:AF361"/>
    <mergeCell ref="AG361:AM361"/>
    <mergeCell ref="AN361:AT361"/>
    <mergeCell ref="B362:D362"/>
    <mergeCell ref="E362:K362"/>
    <mergeCell ref="L362:R362"/>
    <mergeCell ref="S362:Y362"/>
    <mergeCell ref="Z362:AF362"/>
    <mergeCell ref="AG362:AM362"/>
    <mergeCell ref="AN362:AT362"/>
    <mergeCell ref="B363:D363"/>
    <mergeCell ref="E363:K363"/>
    <mergeCell ref="L363:R363"/>
    <mergeCell ref="S363:Y363"/>
    <mergeCell ref="Z363:AF363"/>
    <mergeCell ref="AG363:AM363"/>
    <mergeCell ref="AN363:AT363"/>
    <mergeCell ref="B354:D354"/>
    <mergeCell ref="E354:K354"/>
    <mergeCell ref="L354:R354"/>
    <mergeCell ref="S354:Y354"/>
    <mergeCell ref="Z354:AF354"/>
    <mergeCell ref="AG354:AM354"/>
    <mergeCell ref="AN354:AT354"/>
    <mergeCell ref="B357:D360"/>
    <mergeCell ref="E357:R357"/>
    <mergeCell ref="S357:AT357"/>
    <mergeCell ref="E358:K359"/>
    <mergeCell ref="L358:R359"/>
    <mergeCell ref="S358:Y359"/>
    <mergeCell ref="Z358:AF359"/>
    <mergeCell ref="AG358:AM359"/>
    <mergeCell ref="AN358:AT359"/>
    <mergeCell ref="E360:K360"/>
    <mergeCell ref="L360:R360"/>
    <mergeCell ref="S360:Y360"/>
    <mergeCell ref="Z360:AF360"/>
    <mergeCell ref="AG360:AM360"/>
    <mergeCell ref="AN360:AT360"/>
    <mergeCell ref="E351:K351"/>
    <mergeCell ref="L351:R351"/>
    <mergeCell ref="S351:Y351"/>
    <mergeCell ref="Z351:AF351"/>
    <mergeCell ref="AG351:AM351"/>
    <mergeCell ref="AN351:AT351"/>
    <mergeCell ref="B352:D352"/>
    <mergeCell ref="E352:K352"/>
    <mergeCell ref="L352:R352"/>
    <mergeCell ref="S352:Y352"/>
    <mergeCell ref="Z352:AF352"/>
    <mergeCell ref="AG352:AM352"/>
    <mergeCell ref="AN352:AT352"/>
    <mergeCell ref="B353:D353"/>
    <mergeCell ref="E353:K353"/>
    <mergeCell ref="L353:R353"/>
    <mergeCell ref="S353:Y353"/>
    <mergeCell ref="Z353:AF353"/>
    <mergeCell ref="AG353:AM353"/>
    <mergeCell ref="AN353:AT353"/>
    <mergeCell ref="B351:D351"/>
    <mergeCell ref="B346:D346"/>
    <mergeCell ref="E346:K346"/>
    <mergeCell ref="L346:R346"/>
    <mergeCell ref="S346:Y346"/>
    <mergeCell ref="Z346:AF346"/>
    <mergeCell ref="AG346:AM346"/>
    <mergeCell ref="AN346:AT346"/>
    <mergeCell ref="B347:D347"/>
    <mergeCell ref="E347:K347"/>
    <mergeCell ref="L347:R347"/>
    <mergeCell ref="S347:Y347"/>
    <mergeCell ref="Z347:AF347"/>
    <mergeCell ref="AG347:AM347"/>
    <mergeCell ref="AN347:AT347"/>
    <mergeCell ref="B348:D348"/>
    <mergeCell ref="E348:K348"/>
    <mergeCell ref="L348:R348"/>
    <mergeCell ref="S348:Y348"/>
    <mergeCell ref="Z348:AF348"/>
    <mergeCell ref="AG348:AM348"/>
    <mergeCell ref="AN348:AT348"/>
    <mergeCell ref="B343:D343"/>
    <mergeCell ref="E343:K343"/>
    <mergeCell ref="L343:R343"/>
    <mergeCell ref="S343:Y343"/>
    <mergeCell ref="Z343:AF343"/>
    <mergeCell ref="AG343:AM343"/>
    <mergeCell ref="AN343:AT343"/>
    <mergeCell ref="B344:D344"/>
    <mergeCell ref="E344:K344"/>
    <mergeCell ref="L344:R344"/>
    <mergeCell ref="S344:Y344"/>
    <mergeCell ref="Z344:AF344"/>
    <mergeCell ref="AG344:AM344"/>
    <mergeCell ref="AN344:AT344"/>
    <mergeCell ref="B345:D345"/>
    <mergeCell ref="E345:K345"/>
    <mergeCell ref="L345:R345"/>
    <mergeCell ref="S345:Y345"/>
    <mergeCell ref="Z345:AF345"/>
    <mergeCell ref="AG345:AM345"/>
    <mergeCell ref="AN345:AT345"/>
    <mergeCell ref="B340:D340"/>
    <mergeCell ref="E340:K340"/>
    <mergeCell ref="L340:R340"/>
    <mergeCell ref="S340:Y340"/>
    <mergeCell ref="Z340:AF340"/>
    <mergeCell ref="AG340:AM340"/>
    <mergeCell ref="AN340:AT340"/>
    <mergeCell ref="B341:D341"/>
    <mergeCell ref="E341:K341"/>
    <mergeCell ref="L341:R341"/>
    <mergeCell ref="S341:Y341"/>
    <mergeCell ref="Z341:AF341"/>
    <mergeCell ref="AG341:AM341"/>
    <mergeCell ref="AN341:AT341"/>
    <mergeCell ref="B342:D342"/>
    <mergeCell ref="E342:K342"/>
    <mergeCell ref="L342:R342"/>
    <mergeCell ref="S342:Y342"/>
    <mergeCell ref="Z342:AF342"/>
    <mergeCell ref="AG342:AM342"/>
    <mergeCell ref="AN342:AT342"/>
    <mergeCell ref="B337:D337"/>
    <mergeCell ref="E337:K337"/>
    <mergeCell ref="L337:R337"/>
    <mergeCell ref="S337:Y337"/>
    <mergeCell ref="Z337:AF337"/>
    <mergeCell ref="AG337:AM337"/>
    <mergeCell ref="AN337:AT337"/>
    <mergeCell ref="B338:D338"/>
    <mergeCell ref="E338:K338"/>
    <mergeCell ref="L338:R338"/>
    <mergeCell ref="S338:Y338"/>
    <mergeCell ref="Z338:AF338"/>
    <mergeCell ref="AG338:AM338"/>
    <mergeCell ref="AN338:AT338"/>
    <mergeCell ref="B339:D339"/>
    <mergeCell ref="E339:K339"/>
    <mergeCell ref="L339:R339"/>
    <mergeCell ref="S339:Y339"/>
    <mergeCell ref="Z339:AF339"/>
    <mergeCell ref="AG339:AM339"/>
    <mergeCell ref="AN339:AT339"/>
    <mergeCell ref="B334:D334"/>
    <mergeCell ref="E334:K334"/>
    <mergeCell ref="L334:R334"/>
    <mergeCell ref="S334:Y334"/>
    <mergeCell ref="Z334:AF334"/>
    <mergeCell ref="AG334:AM334"/>
    <mergeCell ref="AN334:AT334"/>
    <mergeCell ref="B335:D335"/>
    <mergeCell ref="E335:K335"/>
    <mergeCell ref="L335:R335"/>
    <mergeCell ref="S335:Y335"/>
    <mergeCell ref="Z335:AF335"/>
    <mergeCell ref="AG335:AM335"/>
    <mergeCell ref="AN335:AT335"/>
    <mergeCell ref="B336:D336"/>
    <mergeCell ref="E336:K336"/>
    <mergeCell ref="L336:R336"/>
    <mergeCell ref="S336:Y336"/>
    <mergeCell ref="Z336:AF336"/>
    <mergeCell ref="AG336:AM336"/>
    <mergeCell ref="AN336:AT336"/>
    <mergeCell ref="B331:D331"/>
    <mergeCell ref="E331:K331"/>
    <mergeCell ref="L331:R331"/>
    <mergeCell ref="S331:Y331"/>
    <mergeCell ref="Z331:AF331"/>
    <mergeCell ref="AG331:AM331"/>
    <mergeCell ref="AN331:AT331"/>
    <mergeCell ref="B332:D332"/>
    <mergeCell ref="E332:K332"/>
    <mergeCell ref="L332:R332"/>
    <mergeCell ref="S332:Y332"/>
    <mergeCell ref="Z332:AF332"/>
    <mergeCell ref="AG332:AM332"/>
    <mergeCell ref="AN332:AT332"/>
    <mergeCell ref="B333:D333"/>
    <mergeCell ref="E333:K333"/>
    <mergeCell ref="L333:R333"/>
    <mergeCell ref="S333:Y333"/>
    <mergeCell ref="Z333:AF333"/>
    <mergeCell ref="AG333:AM333"/>
    <mergeCell ref="AN333:AT333"/>
    <mergeCell ref="B328:D328"/>
    <mergeCell ref="E328:K328"/>
    <mergeCell ref="L328:R328"/>
    <mergeCell ref="S328:Y328"/>
    <mergeCell ref="Z328:AF328"/>
    <mergeCell ref="AG328:AM328"/>
    <mergeCell ref="AN328:AT328"/>
    <mergeCell ref="B329:D329"/>
    <mergeCell ref="E329:K329"/>
    <mergeCell ref="L329:R329"/>
    <mergeCell ref="S329:Y329"/>
    <mergeCell ref="Z329:AF329"/>
    <mergeCell ref="AG329:AM329"/>
    <mergeCell ref="AN329:AT329"/>
    <mergeCell ref="B330:D330"/>
    <mergeCell ref="E330:K330"/>
    <mergeCell ref="L330:R330"/>
    <mergeCell ref="S330:Y330"/>
    <mergeCell ref="Z330:AF330"/>
    <mergeCell ref="AG330:AM330"/>
    <mergeCell ref="AN330:AT330"/>
    <mergeCell ref="AG324:AM324"/>
    <mergeCell ref="AN324:AT324"/>
    <mergeCell ref="B325:D325"/>
    <mergeCell ref="E325:K325"/>
    <mergeCell ref="L325:R325"/>
    <mergeCell ref="S325:Y325"/>
    <mergeCell ref="Z325:AF325"/>
    <mergeCell ref="AG325:AM325"/>
    <mergeCell ref="AN325:AT325"/>
    <mergeCell ref="B326:D326"/>
    <mergeCell ref="E326:K326"/>
    <mergeCell ref="L326:R326"/>
    <mergeCell ref="S326:Y326"/>
    <mergeCell ref="Z326:AF326"/>
    <mergeCell ref="AG326:AM326"/>
    <mergeCell ref="AN326:AT326"/>
    <mergeCell ref="B327:D327"/>
    <mergeCell ref="E327:K327"/>
    <mergeCell ref="L327:R327"/>
    <mergeCell ref="S327:Y327"/>
    <mergeCell ref="Z327:AF327"/>
    <mergeCell ref="AG327:AM327"/>
    <mergeCell ref="AN327:AT327"/>
    <mergeCell ref="H287:L287"/>
    <mergeCell ref="B288:G289"/>
    <mergeCell ref="N288:O289"/>
    <mergeCell ref="K290:L290"/>
    <mergeCell ref="O290:Q290"/>
    <mergeCell ref="R290:S290"/>
    <mergeCell ref="U290:W290"/>
    <mergeCell ref="X290:Y290"/>
    <mergeCell ref="N318:Y318"/>
    <mergeCell ref="Z318:AE318"/>
    <mergeCell ref="AF318:AK318"/>
    <mergeCell ref="AL318:AQ318"/>
    <mergeCell ref="B319:G319"/>
    <mergeCell ref="H319:M319"/>
    <mergeCell ref="N319:S319"/>
    <mergeCell ref="T319:Y319"/>
    <mergeCell ref="Z319:AE319"/>
    <mergeCell ref="AF319:AK319"/>
    <mergeCell ref="AL319:AQ319"/>
    <mergeCell ref="H310:I310"/>
    <mergeCell ref="K310:M310"/>
    <mergeCell ref="Q310:S310"/>
    <mergeCell ref="B318:G318"/>
    <mergeCell ref="H318:M318"/>
    <mergeCell ref="B275:G276"/>
    <mergeCell ref="N275:O276"/>
    <mergeCell ref="K277:L277"/>
    <mergeCell ref="O277:Q277"/>
    <mergeCell ref="R277:S277"/>
    <mergeCell ref="U277:W277"/>
    <mergeCell ref="X277:Y277"/>
    <mergeCell ref="B278:F279"/>
    <mergeCell ref="V283:W283"/>
    <mergeCell ref="G284:K284"/>
    <mergeCell ref="L284:Q284"/>
    <mergeCell ref="B285:H286"/>
    <mergeCell ref="I285:K286"/>
    <mergeCell ref="L285:L286"/>
    <mergeCell ref="M285:O285"/>
    <mergeCell ref="P285:P286"/>
    <mergeCell ref="Q285:R285"/>
    <mergeCell ref="U285:U286"/>
    <mergeCell ref="V285:X286"/>
    <mergeCell ref="Y285:AA286"/>
    <mergeCell ref="U260:W260"/>
    <mergeCell ref="X260:Y260"/>
    <mergeCell ref="B261:F262"/>
    <mergeCell ref="T267:U267"/>
    <mergeCell ref="T269:U269"/>
    <mergeCell ref="AK270:AL270"/>
    <mergeCell ref="G271:K271"/>
    <mergeCell ref="B272:H273"/>
    <mergeCell ref="I272:K273"/>
    <mergeCell ref="L272:L273"/>
    <mergeCell ref="M272:O272"/>
    <mergeCell ref="P272:P273"/>
    <mergeCell ref="Q272:R272"/>
    <mergeCell ref="U272:U273"/>
    <mergeCell ref="V272:X273"/>
    <mergeCell ref="Y272:AA273"/>
    <mergeCell ref="H274:L274"/>
    <mergeCell ref="G240:K240"/>
    <mergeCell ref="L240:Q240"/>
    <mergeCell ref="O241:P241"/>
    <mergeCell ref="I242:K243"/>
    <mergeCell ref="L242:L243"/>
    <mergeCell ref="M242:O242"/>
    <mergeCell ref="P242:P243"/>
    <mergeCell ref="Q242:R242"/>
    <mergeCell ref="S242:T242"/>
    <mergeCell ref="U242:U243"/>
    <mergeCell ref="V242:X243"/>
    <mergeCell ref="Y242:Z243"/>
    <mergeCell ref="H244:L244"/>
    <mergeCell ref="B245:G246"/>
    <mergeCell ref="N245:O246"/>
    <mergeCell ref="K247:L247"/>
    <mergeCell ref="O247:Q247"/>
    <mergeCell ref="R247:S247"/>
    <mergeCell ref="U247:W247"/>
    <mergeCell ref="X247:Y247"/>
    <mergeCell ref="B227:H228"/>
    <mergeCell ref="N229:P229"/>
    <mergeCell ref="S229:U229"/>
    <mergeCell ref="X229:Z229"/>
    <mergeCell ref="AC229:AE229"/>
    <mergeCell ref="AH229:AJ229"/>
    <mergeCell ref="H230:L230"/>
    <mergeCell ref="B231:G232"/>
    <mergeCell ref="M231:N232"/>
    <mergeCell ref="K233:L233"/>
    <mergeCell ref="O233:Q233"/>
    <mergeCell ref="T233:V233"/>
    <mergeCell ref="B234:G235"/>
    <mergeCell ref="R234:AJ234"/>
    <mergeCell ref="AK234:AK235"/>
    <mergeCell ref="AL234:AO235"/>
    <mergeCell ref="R235:U235"/>
    <mergeCell ref="V235:V236"/>
    <mergeCell ref="W235:Z235"/>
    <mergeCell ref="AA235:AA236"/>
    <mergeCell ref="AB235:AE235"/>
    <mergeCell ref="AF235:AF236"/>
    <mergeCell ref="AG235:AJ235"/>
    <mergeCell ref="R236:U236"/>
    <mergeCell ref="W236:Z236"/>
    <mergeCell ref="AB236:AE236"/>
    <mergeCell ref="AG236:AJ236"/>
    <mergeCell ref="AG215:AG216"/>
    <mergeCell ref="AH215:AK216"/>
    <mergeCell ref="AL215:AN216"/>
    <mergeCell ref="Q216:S216"/>
    <mergeCell ref="T216:V216"/>
    <mergeCell ref="Y216:AB216"/>
    <mergeCell ref="AC216:AF216"/>
    <mergeCell ref="K217:N217"/>
    <mergeCell ref="S217:U217"/>
    <mergeCell ref="V217:X217"/>
    <mergeCell ref="Z217:AB217"/>
    <mergeCell ref="AC217:AD217"/>
    <mergeCell ref="B218:F219"/>
    <mergeCell ref="G224:K224"/>
    <mergeCell ref="L224:Q224"/>
    <mergeCell ref="N225:P225"/>
    <mergeCell ref="T225:V225"/>
    <mergeCell ref="Y225:Y226"/>
    <mergeCell ref="Z225:AB226"/>
    <mergeCell ref="AC225:AD226"/>
    <mergeCell ref="M226:X226"/>
    <mergeCell ref="K210:M210"/>
    <mergeCell ref="N210:P210"/>
    <mergeCell ref="G211:K211"/>
    <mergeCell ref="L211:N211"/>
    <mergeCell ref="B212:H213"/>
    <mergeCell ref="I212:K213"/>
    <mergeCell ref="L212:L213"/>
    <mergeCell ref="M212:N212"/>
    <mergeCell ref="O212:O213"/>
    <mergeCell ref="P212:R212"/>
    <mergeCell ref="S212:U212"/>
    <mergeCell ref="V212:V213"/>
    <mergeCell ref="W212:Y213"/>
    <mergeCell ref="Z212:AB213"/>
    <mergeCell ref="M213:N213"/>
    <mergeCell ref="Q215:X215"/>
    <mergeCell ref="Y215:AF215"/>
    <mergeCell ref="AG199:AG200"/>
    <mergeCell ref="AH199:AK200"/>
    <mergeCell ref="AL199:AO200"/>
    <mergeCell ref="R200:T200"/>
    <mergeCell ref="U200:X200"/>
    <mergeCell ref="Z200:AC200"/>
    <mergeCell ref="AD200:AF200"/>
    <mergeCell ref="K201:N201"/>
    <mergeCell ref="O201:Q201"/>
    <mergeCell ref="T201:V201"/>
    <mergeCell ref="W201:Y201"/>
    <mergeCell ref="AA201:AC201"/>
    <mergeCell ref="AD201:AE201"/>
    <mergeCell ref="B202:F203"/>
    <mergeCell ref="H208:K208"/>
    <mergeCell ref="L208:N208"/>
    <mergeCell ref="K209:N209"/>
    <mergeCell ref="G195:K195"/>
    <mergeCell ref="L195:N195"/>
    <mergeCell ref="B196:H197"/>
    <mergeCell ref="I196:K197"/>
    <mergeCell ref="L196:L197"/>
    <mergeCell ref="M196:N196"/>
    <mergeCell ref="O196:O197"/>
    <mergeCell ref="P196:R196"/>
    <mergeCell ref="S196:U196"/>
    <mergeCell ref="V196:V197"/>
    <mergeCell ref="W196:Y197"/>
    <mergeCell ref="Z196:AB197"/>
    <mergeCell ref="M197:N197"/>
    <mergeCell ref="H198:L198"/>
    <mergeCell ref="B199:G200"/>
    <mergeCell ref="Q199:X199"/>
    <mergeCell ref="Y199:AF199"/>
    <mergeCell ref="AF185:AI186"/>
    <mergeCell ref="AJ185:AM186"/>
    <mergeCell ref="Q186:S186"/>
    <mergeCell ref="T186:V186"/>
    <mergeCell ref="X186:AA186"/>
    <mergeCell ref="AB186:AD186"/>
    <mergeCell ref="K187:N187"/>
    <mergeCell ref="O187:R187"/>
    <mergeCell ref="U187:W187"/>
    <mergeCell ref="X187:Y187"/>
    <mergeCell ref="AA187:AC187"/>
    <mergeCell ref="AD187:AE187"/>
    <mergeCell ref="L188:P188"/>
    <mergeCell ref="H192:J192"/>
    <mergeCell ref="K192:M192"/>
    <mergeCell ref="J193:M193"/>
    <mergeCell ref="I194:K194"/>
    <mergeCell ref="L194:N194"/>
    <mergeCell ref="AJ165:AK166"/>
    <mergeCell ref="R166:T166"/>
    <mergeCell ref="U166:W166"/>
    <mergeCell ref="Y166:AB166"/>
    <mergeCell ref="AC166:AE166"/>
    <mergeCell ref="B167:H168"/>
    <mergeCell ref="N169:P169"/>
    <mergeCell ref="S169:U169"/>
    <mergeCell ref="X169:Z169"/>
    <mergeCell ref="AC169:AE169"/>
    <mergeCell ref="H170:L170"/>
    <mergeCell ref="B171:G172"/>
    <mergeCell ref="M171:N172"/>
    <mergeCell ref="K173:L173"/>
    <mergeCell ref="O173:Q173"/>
    <mergeCell ref="T173:V173"/>
    <mergeCell ref="B174:G175"/>
    <mergeCell ref="R174:AE174"/>
    <mergeCell ref="AF174:AF175"/>
    <mergeCell ref="AG174:AJ175"/>
    <mergeCell ref="R175:U175"/>
    <mergeCell ref="V175:V176"/>
    <mergeCell ref="W175:Z175"/>
    <mergeCell ref="AA175:AA176"/>
    <mergeCell ref="AB175:AE175"/>
    <mergeCell ref="R176:U176"/>
    <mergeCell ref="W176:Z176"/>
    <mergeCell ref="AB176:AE176"/>
    <mergeCell ref="B156:C156"/>
    <mergeCell ref="D156:H156"/>
    <mergeCell ref="I156:P156"/>
    <mergeCell ref="Q156:U156"/>
    <mergeCell ref="V156:X156"/>
    <mergeCell ref="Y156:AC156"/>
    <mergeCell ref="AD156:AK156"/>
    <mergeCell ref="AL156:AP156"/>
    <mergeCell ref="AQ156:AS156"/>
    <mergeCell ref="AT156:AW156"/>
    <mergeCell ref="B157:C157"/>
    <mergeCell ref="D157:H157"/>
    <mergeCell ref="I157:K157"/>
    <mergeCell ref="L157:P157"/>
    <mergeCell ref="Q157:X157"/>
    <mergeCell ref="Y157:AC157"/>
    <mergeCell ref="AD157:AK157"/>
    <mergeCell ref="AL157:AO157"/>
    <mergeCell ref="AP157:AS157"/>
    <mergeCell ref="AT157:AW157"/>
    <mergeCell ref="B154:C154"/>
    <mergeCell ref="D154:H154"/>
    <mergeCell ref="I154:P154"/>
    <mergeCell ref="Q154:U154"/>
    <mergeCell ref="V154:X154"/>
    <mergeCell ref="Y154:AC154"/>
    <mergeCell ref="AD154:AK154"/>
    <mergeCell ref="AL154:AP154"/>
    <mergeCell ref="AQ154:AS154"/>
    <mergeCell ref="AT154:AW154"/>
    <mergeCell ref="B155:C155"/>
    <mergeCell ref="D155:H155"/>
    <mergeCell ref="I155:P155"/>
    <mergeCell ref="Q155:U155"/>
    <mergeCell ref="V155:X155"/>
    <mergeCell ref="Y155:AC155"/>
    <mergeCell ref="AD155:AK155"/>
    <mergeCell ref="AL155:AP155"/>
    <mergeCell ref="AQ155:AS155"/>
    <mergeCell ref="AT155:AW155"/>
    <mergeCell ref="B152:C152"/>
    <mergeCell ref="D152:H152"/>
    <mergeCell ref="I152:K152"/>
    <mergeCell ref="L152:P152"/>
    <mergeCell ref="Q152:T152"/>
    <mergeCell ref="U152:X152"/>
    <mergeCell ref="Y152:AC152"/>
    <mergeCell ref="AD152:AK152"/>
    <mergeCell ref="AL152:AO152"/>
    <mergeCell ref="AP152:AS152"/>
    <mergeCell ref="AT152:AW152"/>
    <mergeCell ref="B153:C153"/>
    <mergeCell ref="D153:H153"/>
    <mergeCell ref="I153:P153"/>
    <mergeCell ref="Q153:U153"/>
    <mergeCell ref="V153:X153"/>
    <mergeCell ref="Y153:AC153"/>
    <mergeCell ref="AD153:AK153"/>
    <mergeCell ref="AL153:AP153"/>
    <mergeCell ref="AQ153:AS153"/>
    <mergeCell ref="AT153:AW153"/>
    <mergeCell ref="B150:C150"/>
    <mergeCell ref="D150:H150"/>
    <mergeCell ref="I150:M150"/>
    <mergeCell ref="N150:P150"/>
    <mergeCell ref="Q150:U150"/>
    <mergeCell ref="V150:X150"/>
    <mergeCell ref="Y150:AC150"/>
    <mergeCell ref="AD150:AG150"/>
    <mergeCell ref="AH150:AK150"/>
    <mergeCell ref="AL150:AP150"/>
    <mergeCell ref="AQ150:AS150"/>
    <mergeCell ref="AT150:AW150"/>
    <mergeCell ref="B151:C151"/>
    <mergeCell ref="D151:H151"/>
    <mergeCell ref="I151:M151"/>
    <mergeCell ref="N151:P151"/>
    <mergeCell ref="Q151:U151"/>
    <mergeCell ref="V151:X151"/>
    <mergeCell ref="Y151:AC151"/>
    <mergeCell ref="AD151:AG151"/>
    <mergeCell ref="AH151:AK151"/>
    <mergeCell ref="AL151:AP151"/>
    <mergeCell ref="AQ151:AS151"/>
    <mergeCell ref="AT151:AW151"/>
    <mergeCell ref="B148:C148"/>
    <mergeCell ref="D148:H148"/>
    <mergeCell ref="I148:K148"/>
    <mergeCell ref="L148:P148"/>
    <mergeCell ref="Q148:T148"/>
    <mergeCell ref="U148:X148"/>
    <mergeCell ref="Y148:AC148"/>
    <mergeCell ref="AD148:AK148"/>
    <mergeCell ref="AL148:AO148"/>
    <mergeCell ref="AP148:AS148"/>
    <mergeCell ref="AT148:AW148"/>
    <mergeCell ref="B149:C149"/>
    <mergeCell ref="D149:H149"/>
    <mergeCell ref="I149:M149"/>
    <mergeCell ref="Q149:U149"/>
    <mergeCell ref="V149:X149"/>
    <mergeCell ref="Y149:AC149"/>
    <mergeCell ref="AD149:AG149"/>
    <mergeCell ref="AH149:AK149"/>
    <mergeCell ref="AL149:AP149"/>
    <mergeCell ref="AQ149:AS149"/>
    <mergeCell ref="AT149:AW149"/>
    <mergeCell ref="N149:P149"/>
    <mergeCell ref="B145:C147"/>
    <mergeCell ref="D145:H145"/>
    <mergeCell ref="I145:P145"/>
    <mergeCell ref="Q145:X145"/>
    <mergeCell ref="Y145:AC145"/>
    <mergeCell ref="AD145:AK145"/>
    <mergeCell ref="AL145:AS145"/>
    <mergeCell ref="AT145:AW145"/>
    <mergeCell ref="D146:H146"/>
    <mergeCell ref="I146:P146"/>
    <mergeCell ref="Q146:X146"/>
    <mergeCell ref="Y146:AC146"/>
    <mergeCell ref="AD146:AK146"/>
    <mergeCell ref="AL146:AS146"/>
    <mergeCell ref="AT146:AW146"/>
    <mergeCell ref="D147:H147"/>
    <mergeCell ref="AT147:AW147"/>
    <mergeCell ref="Q116:V116"/>
    <mergeCell ref="W116:AB116"/>
    <mergeCell ref="AC116:AH116"/>
    <mergeCell ref="AI116:AN116"/>
    <mergeCell ref="AO116:AT116"/>
    <mergeCell ref="B117:D117"/>
    <mergeCell ref="E117:J117"/>
    <mergeCell ref="K117:P117"/>
    <mergeCell ref="Q117:V117"/>
    <mergeCell ref="W117:AB117"/>
    <mergeCell ref="AC117:AH117"/>
    <mergeCell ref="AI117:AN117"/>
    <mergeCell ref="AO117:AT117"/>
    <mergeCell ref="B118:D118"/>
    <mergeCell ref="E118:J118"/>
    <mergeCell ref="K118:P118"/>
    <mergeCell ref="Q118:V118"/>
    <mergeCell ref="W118:AB118"/>
    <mergeCell ref="AC118:AH118"/>
    <mergeCell ref="AI118:AN118"/>
    <mergeCell ref="AO118:AT118"/>
    <mergeCell ref="B110:D110"/>
    <mergeCell ref="E110:J110"/>
    <mergeCell ref="K110:P110"/>
    <mergeCell ref="Q110:V110"/>
    <mergeCell ref="W110:AB110"/>
    <mergeCell ref="AC110:AH110"/>
    <mergeCell ref="AI110:AN110"/>
    <mergeCell ref="AO110:AT110"/>
    <mergeCell ref="B111:D111"/>
    <mergeCell ref="E111:J111"/>
    <mergeCell ref="K111:P111"/>
    <mergeCell ref="Q111:V111"/>
    <mergeCell ref="W111:AB111"/>
    <mergeCell ref="AC111:AH111"/>
    <mergeCell ref="AI111:AN111"/>
    <mergeCell ref="AO111:AT111"/>
    <mergeCell ref="B112:D112"/>
    <mergeCell ref="E112:J112"/>
    <mergeCell ref="K112:P112"/>
    <mergeCell ref="Q112:V112"/>
    <mergeCell ref="W112:AB112"/>
    <mergeCell ref="AC112:AH112"/>
    <mergeCell ref="AI112:AN112"/>
    <mergeCell ref="AO112:AT112"/>
    <mergeCell ref="B107:D107"/>
    <mergeCell ref="E107:J107"/>
    <mergeCell ref="K107:P107"/>
    <mergeCell ref="Q107:V107"/>
    <mergeCell ref="W107:AB107"/>
    <mergeCell ref="AC107:AH107"/>
    <mergeCell ref="AI107:AN107"/>
    <mergeCell ref="AO107:AT107"/>
    <mergeCell ref="B108:D108"/>
    <mergeCell ref="E108:J108"/>
    <mergeCell ref="K108:P108"/>
    <mergeCell ref="Q108:V108"/>
    <mergeCell ref="W108:AB108"/>
    <mergeCell ref="AC108:AH108"/>
    <mergeCell ref="AI108:AN108"/>
    <mergeCell ref="AO108:AT108"/>
    <mergeCell ref="B109:D109"/>
    <mergeCell ref="E109:J109"/>
    <mergeCell ref="K109:P109"/>
    <mergeCell ref="Q109:V109"/>
    <mergeCell ref="W109:AB109"/>
    <mergeCell ref="AC109:AH109"/>
    <mergeCell ref="AI109:AN109"/>
    <mergeCell ref="AO109:AT109"/>
    <mergeCell ref="B104:D104"/>
    <mergeCell ref="E104:J104"/>
    <mergeCell ref="K104:P104"/>
    <mergeCell ref="Q104:V104"/>
    <mergeCell ref="W104:AB104"/>
    <mergeCell ref="AC104:AH104"/>
    <mergeCell ref="AI104:AN104"/>
    <mergeCell ref="AO104:AT104"/>
    <mergeCell ref="B105:D105"/>
    <mergeCell ref="E105:J105"/>
    <mergeCell ref="K105:P105"/>
    <mergeCell ref="Q105:V105"/>
    <mergeCell ref="W105:AB105"/>
    <mergeCell ref="AC105:AH105"/>
    <mergeCell ref="AI105:AN105"/>
    <mergeCell ref="AO105:AT105"/>
    <mergeCell ref="B106:D106"/>
    <mergeCell ref="E106:J106"/>
    <mergeCell ref="K106:P106"/>
    <mergeCell ref="Q106:V106"/>
    <mergeCell ref="W106:AB106"/>
    <mergeCell ref="AC106:AH106"/>
    <mergeCell ref="AI106:AN106"/>
    <mergeCell ref="AO106:AT106"/>
    <mergeCell ref="B100:D103"/>
    <mergeCell ref="E100:V100"/>
    <mergeCell ref="W100:AT100"/>
    <mergeCell ref="E101:J102"/>
    <mergeCell ref="K101:P102"/>
    <mergeCell ref="Q101:V102"/>
    <mergeCell ref="W101:AT101"/>
    <mergeCell ref="W102:AB102"/>
    <mergeCell ref="AC102:AH102"/>
    <mergeCell ref="AI102:AN102"/>
    <mergeCell ref="AO102:AT102"/>
    <mergeCell ref="E103:J103"/>
    <mergeCell ref="K103:P103"/>
    <mergeCell ref="Q103:V103"/>
    <mergeCell ref="W103:AB103"/>
    <mergeCell ref="AC103:AH103"/>
    <mergeCell ref="AI103:AN103"/>
    <mergeCell ref="AO103:AT103"/>
    <mergeCell ref="B96:D96"/>
    <mergeCell ref="E96:H96"/>
    <mergeCell ref="I96:L96"/>
    <mergeCell ref="M96:Q96"/>
    <mergeCell ref="R96:U96"/>
    <mergeCell ref="V96:Z96"/>
    <mergeCell ref="AA96:AE96"/>
    <mergeCell ref="AF96:AJ96"/>
    <mergeCell ref="AK96:AO96"/>
    <mergeCell ref="AP96:AT96"/>
    <mergeCell ref="B97:D97"/>
    <mergeCell ref="E97:H97"/>
    <mergeCell ref="I97:L97"/>
    <mergeCell ref="M97:Q97"/>
    <mergeCell ref="R97:U97"/>
    <mergeCell ref="V97:Z97"/>
    <mergeCell ref="AA97:AE97"/>
    <mergeCell ref="AF97:AJ97"/>
    <mergeCell ref="AK97:AO97"/>
    <mergeCell ref="AP97:AT97"/>
    <mergeCell ref="B94:D94"/>
    <mergeCell ref="E94:H94"/>
    <mergeCell ref="I94:L94"/>
    <mergeCell ref="M94:Q94"/>
    <mergeCell ref="R94:U94"/>
    <mergeCell ref="V94:Z94"/>
    <mergeCell ref="AA94:AE94"/>
    <mergeCell ref="AF94:AJ94"/>
    <mergeCell ref="AK94:AO94"/>
    <mergeCell ref="AP94:AT94"/>
    <mergeCell ref="B95:D95"/>
    <mergeCell ref="E95:H95"/>
    <mergeCell ref="I95:L95"/>
    <mergeCell ref="M95:Q95"/>
    <mergeCell ref="R95:U95"/>
    <mergeCell ref="V95:Z95"/>
    <mergeCell ref="AA95:AE95"/>
    <mergeCell ref="AF95:AJ95"/>
    <mergeCell ref="AK95:AO95"/>
    <mergeCell ref="AP95:AT95"/>
    <mergeCell ref="B92:D92"/>
    <mergeCell ref="E92:H92"/>
    <mergeCell ref="I92:L92"/>
    <mergeCell ref="M92:Q92"/>
    <mergeCell ref="R92:U92"/>
    <mergeCell ref="V92:Z92"/>
    <mergeCell ref="AA92:AE92"/>
    <mergeCell ref="AF92:AJ92"/>
    <mergeCell ref="AK92:AO92"/>
    <mergeCell ref="AP92:AT92"/>
    <mergeCell ref="B93:D93"/>
    <mergeCell ref="E93:H93"/>
    <mergeCell ref="I93:L93"/>
    <mergeCell ref="M93:Q93"/>
    <mergeCell ref="R93:U93"/>
    <mergeCell ref="V93:Z93"/>
    <mergeCell ref="AA93:AE93"/>
    <mergeCell ref="AF93:AJ93"/>
    <mergeCell ref="AK93:AO93"/>
    <mergeCell ref="AP93:AT93"/>
    <mergeCell ref="B90:D90"/>
    <mergeCell ref="E90:H90"/>
    <mergeCell ref="I90:L90"/>
    <mergeCell ref="M90:Q90"/>
    <mergeCell ref="R90:U90"/>
    <mergeCell ref="V90:Z90"/>
    <mergeCell ref="AA90:AE90"/>
    <mergeCell ref="AF90:AJ90"/>
    <mergeCell ref="AK90:AO90"/>
    <mergeCell ref="AP90:AT90"/>
    <mergeCell ref="B91:D91"/>
    <mergeCell ref="E91:H91"/>
    <mergeCell ref="I91:L91"/>
    <mergeCell ref="M91:Q91"/>
    <mergeCell ref="R91:U91"/>
    <mergeCell ref="V91:Z91"/>
    <mergeCell ref="AA91:AE91"/>
    <mergeCell ref="AF91:AJ91"/>
    <mergeCell ref="AK91:AO91"/>
    <mergeCell ref="AP91:AT91"/>
    <mergeCell ref="B88:D88"/>
    <mergeCell ref="E88:H88"/>
    <mergeCell ref="I88:L88"/>
    <mergeCell ref="M88:Q88"/>
    <mergeCell ref="R88:U88"/>
    <mergeCell ref="V88:Z88"/>
    <mergeCell ref="AA88:AE88"/>
    <mergeCell ref="AF88:AJ88"/>
    <mergeCell ref="AK88:AO88"/>
    <mergeCell ref="AP88:AT88"/>
    <mergeCell ref="B89:D89"/>
    <mergeCell ref="E89:H89"/>
    <mergeCell ref="I89:L89"/>
    <mergeCell ref="M89:Q89"/>
    <mergeCell ref="R89:U89"/>
    <mergeCell ref="V89:Z89"/>
    <mergeCell ref="AA89:AE89"/>
    <mergeCell ref="AF89:AJ89"/>
    <mergeCell ref="AK89:AO89"/>
    <mergeCell ref="AP89:AT89"/>
    <mergeCell ref="B86:D86"/>
    <mergeCell ref="E86:H86"/>
    <mergeCell ref="I86:L86"/>
    <mergeCell ref="M86:Q86"/>
    <mergeCell ref="R86:U86"/>
    <mergeCell ref="V86:Z86"/>
    <mergeCell ref="AA86:AE86"/>
    <mergeCell ref="AF86:AJ86"/>
    <mergeCell ref="AK86:AO86"/>
    <mergeCell ref="AP86:AT86"/>
    <mergeCell ref="B87:D87"/>
    <mergeCell ref="E87:H87"/>
    <mergeCell ref="I87:L87"/>
    <mergeCell ref="M87:Q87"/>
    <mergeCell ref="R87:U87"/>
    <mergeCell ref="V87:Z87"/>
    <mergeCell ref="AA87:AE87"/>
    <mergeCell ref="AF87:AJ87"/>
    <mergeCell ref="AK87:AO87"/>
    <mergeCell ref="AP87:AT87"/>
    <mergeCell ref="B84:D84"/>
    <mergeCell ref="E84:H84"/>
    <mergeCell ref="I84:L84"/>
    <mergeCell ref="M84:Q84"/>
    <mergeCell ref="R84:U84"/>
    <mergeCell ref="V84:Z84"/>
    <mergeCell ref="AA84:AE84"/>
    <mergeCell ref="AF84:AJ84"/>
    <mergeCell ref="AK84:AO84"/>
    <mergeCell ref="AP84:AT84"/>
    <mergeCell ref="B85:D85"/>
    <mergeCell ref="E85:H85"/>
    <mergeCell ref="I85:L85"/>
    <mergeCell ref="M85:Q85"/>
    <mergeCell ref="R85:U85"/>
    <mergeCell ref="V85:Z85"/>
    <mergeCell ref="AA85:AE85"/>
    <mergeCell ref="AF85:AJ85"/>
    <mergeCell ref="AK85:AO85"/>
    <mergeCell ref="AP85:AT85"/>
    <mergeCell ref="AN76:AT76"/>
    <mergeCell ref="B79:D82"/>
    <mergeCell ref="E79:Z79"/>
    <mergeCell ref="AA79:AT79"/>
    <mergeCell ref="E80:H81"/>
    <mergeCell ref="I80:L81"/>
    <mergeCell ref="M80:Q81"/>
    <mergeCell ref="R80:U81"/>
    <mergeCell ref="V80:Z81"/>
    <mergeCell ref="AA80:AE81"/>
    <mergeCell ref="AF80:AJ81"/>
    <mergeCell ref="AK80:AO81"/>
    <mergeCell ref="AP80:AT81"/>
    <mergeCell ref="E82:H82"/>
    <mergeCell ref="I82:L82"/>
    <mergeCell ref="M82:Q82"/>
    <mergeCell ref="R82:U82"/>
    <mergeCell ref="V82:Z82"/>
    <mergeCell ref="AA82:AE82"/>
    <mergeCell ref="AF82:AJ82"/>
    <mergeCell ref="AK82:AO82"/>
    <mergeCell ref="AP82:AT82"/>
    <mergeCell ref="AN67:AT67"/>
    <mergeCell ref="L68:R68"/>
    <mergeCell ref="S68:Y68"/>
    <mergeCell ref="Z68:AF68"/>
    <mergeCell ref="AG68:AM68"/>
    <mergeCell ref="AN68:AT68"/>
    <mergeCell ref="L69:R69"/>
    <mergeCell ref="S69:Y69"/>
    <mergeCell ref="Z69:AF69"/>
    <mergeCell ref="AG69:AM69"/>
    <mergeCell ref="AN69:AT69"/>
    <mergeCell ref="L70:R70"/>
    <mergeCell ref="S70:Y70"/>
    <mergeCell ref="Z70:AF70"/>
    <mergeCell ref="AG70:AM70"/>
    <mergeCell ref="AN70:AT70"/>
    <mergeCell ref="L71:R71"/>
    <mergeCell ref="S71:Y71"/>
    <mergeCell ref="Z71:AF71"/>
    <mergeCell ref="AG71:AM71"/>
    <mergeCell ref="AN71:AT71"/>
    <mergeCell ref="L67:R67"/>
    <mergeCell ref="S67:Y67"/>
    <mergeCell ref="Z67:AF67"/>
    <mergeCell ref="AG67:AM67"/>
    <mergeCell ref="L63:R63"/>
    <mergeCell ref="S63:Y63"/>
    <mergeCell ref="Z63:AF63"/>
    <mergeCell ref="AG63:AM63"/>
    <mergeCell ref="AN63:AT63"/>
    <mergeCell ref="L64:R64"/>
    <mergeCell ref="S64:Y64"/>
    <mergeCell ref="Z64:AF64"/>
    <mergeCell ref="AG64:AM64"/>
    <mergeCell ref="AN64:AT64"/>
    <mergeCell ref="L65:R65"/>
    <mergeCell ref="S65:Y65"/>
    <mergeCell ref="Z65:AF65"/>
    <mergeCell ref="AG65:AM65"/>
    <mergeCell ref="AN65:AT65"/>
    <mergeCell ref="L66:R66"/>
    <mergeCell ref="S66:Y66"/>
    <mergeCell ref="Z66:AF66"/>
    <mergeCell ref="AG66:AM66"/>
    <mergeCell ref="AN66:AT66"/>
    <mergeCell ref="L57:R57"/>
    <mergeCell ref="S57:Y57"/>
    <mergeCell ref="Z57:AF57"/>
    <mergeCell ref="AG57:AM57"/>
    <mergeCell ref="AN57:AT57"/>
    <mergeCell ref="AN59:AT59"/>
    <mergeCell ref="L60:R60"/>
    <mergeCell ref="S60:Y60"/>
    <mergeCell ref="Z60:AF60"/>
    <mergeCell ref="AG60:AM60"/>
    <mergeCell ref="AN60:AT60"/>
    <mergeCell ref="L61:R61"/>
    <mergeCell ref="S61:Y61"/>
    <mergeCell ref="Z61:AF61"/>
    <mergeCell ref="AG61:AM61"/>
    <mergeCell ref="AN61:AT61"/>
    <mergeCell ref="L62:R62"/>
    <mergeCell ref="S62:Y62"/>
    <mergeCell ref="Z62:AF62"/>
    <mergeCell ref="AG62:AM62"/>
    <mergeCell ref="AN62:AT62"/>
    <mergeCell ref="L53:R53"/>
    <mergeCell ref="S53:Y53"/>
    <mergeCell ref="Z53:AF53"/>
    <mergeCell ref="AG53:AM53"/>
    <mergeCell ref="AN53:AT53"/>
    <mergeCell ref="E52:K52"/>
    <mergeCell ref="L54:R54"/>
    <mergeCell ref="S54:Y54"/>
    <mergeCell ref="Z54:AF54"/>
    <mergeCell ref="AG54:AM54"/>
    <mergeCell ref="AN54:AT54"/>
    <mergeCell ref="L55:R55"/>
    <mergeCell ref="S55:Y55"/>
    <mergeCell ref="Z55:AF55"/>
    <mergeCell ref="AG55:AM55"/>
    <mergeCell ref="AN55:AT55"/>
    <mergeCell ref="L56:R56"/>
    <mergeCell ref="S56:Y56"/>
    <mergeCell ref="Z56:AF56"/>
    <mergeCell ref="AG56:AM56"/>
    <mergeCell ref="AN56:AT56"/>
    <mergeCell ref="L50:R50"/>
    <mergeCell ref="S50:Y50"/>
    <mergeCell ref="Z50:AF50"/>
    <mergeCell ref="AG50:AM50"/>
    <mergeCell ref="AN50:AT50"/>
    <mergeCell ref="B51:D51"/>
    <mergeCell ref="E51:K51"/>
    <mergeCell ref="L51:R51"/>
    <mergeCell ref="S51:Y51"/>
    <mergeCell ref="Z51:AF51"/>
    <mergeCell ref="AG51:AM51"/>
    <mergeCell ref="AN51:AT51"/>
    <mergeCell ref="B52:D52"/>
    <mergeCell ref="L52:R52"/>
    <mergeCell ref="S52:Y52"/>
    <mergeCell ref="Z52:AF52"/>
    <mergeCell ref="AG52:AM52"/>
    <mergeCell ref="AN52:AT52"/>
    <mergeCell ref="L47:R47"/>
    <mergeCell ref="S47:Y47"/>
    <mergeCell ref="Z47:AF47"/>
    <mergeCell ref="AG47:AM47"/>
    <mergeCell ref="AN47:AT47"/>
    <mergeCell ref="B48:D48"/>
    <mergeCell ref="E48:K48"/>
    <mergeCell ref="L48:R48"/>
    <mergeCell ref="S48:Y48"/>
    <mergeCell ref="Z48:AF48"/>
    <mergeCell ref="AG48:AM48"/>
    <mergeCell ref="AN48:AT48"/>
    <mergeCell ref="B49:D49"/>
    <mergeCell ref="E49:K49"/>
    <mergeCell ref="L49:R49"/>
    <mergeCell ref="S49:Y49"/>
    <mergeCell ref="Z49:AF49"/>
    <mergeCell ref="AG49:AM49"/>
    <mergeCell ref="AN49:AT49"/>
    <mergeCell ref="L39:R39"/>
    <mergeCell ref="S39:Y39"/>
    <mergeCell ref="Z39:AF39"/>
    <mergeCell ref="AG39:AM39"/>
    <mergeCell ref="AN39:AT39"/>
    <mergeCell ref="L40:R40"/>
    <mergeCell ref="S40:Y40"/>
    <mergeCell ref="Z40:AF40"/>
    <mergeCell ref="AG40:AM40"/>
    <mergeCell ref="AN40:AT40"/>
    <mergeCell ref="B43:D46"/>
    <mergeCell ref="E43:R43"/>
    <mergeCell ref="S43:AT43"/>
    <mergeCell ref="E44:K45"/>
    <mergeCell ref="L44:R45"/>
    <mergeCell ref="S44:Y45"/>
    <mergeCell ref="Z44:AF45"/>
    <mergeCell ref="AG44:AM45"/>
    <mergeCell ref="AN44:AT45"/>
    <mergeCell ref="E46:K46"/>
    <mergeCell ref="L46:R46"/>
    <mergeCell ref="S46:Y46"/>
    <mergeCell ref="Z46:AF46"/>
    <mergeCell ref="AG46:AM46"/>
    <mergeCell ref="AN46:AT46"/>
    <mergeCell ref="L35:R35"/>
    <mergeCell ref="S35:Y35"/>
    <mergeCell ref="Z35:AF35"/>
    <mergeCell ref="AG35:AM35"/>
    <mergeCell ref="AN35:AT35"/>
    <mergeCell ref="L36:R36"/>
    <mergeCell ref="S36:Y36"/>
    <mergeCell ref="Z36:AF36"/>
    <mergeCell ref="AG36:AM36"/>
    <mergeCell ref="AN36:AT36"/>
    <mergeCell ref="L37:R37"/>
    <mergeCell ref="S37:Y37"/>
    <mergeCell ref="Z37:AF37"/>
    <mergeCell ref="AG37:AM37"/>
    <mergeCell ref="AN37:AT37"/>
    <mergeCell ref="L38:R38"/>
    <mergeCell ref="S38:Y38"/>
    <mergeCell ref="Z38:AF38"/>
    <mergeCell ref="AG38:AM38"/>
    <mergeCell ref="AN38:AT38"/>
    <mergeCell ref="L31:R31"/>
    <mergeCell ref="S31:Y31"/>
    <mergeCell ref="Z31:AF31"/>
    <mergeCell ref="AG31:AM31"/>
    <mergeCell ref="AN31:AT31"/>
    <mergeCell ref="L32:R32"/>
    <mergeCell ref="S32:Y32"/>
    <mergeCell ref="Z32:AF32"/>
    <mergeCell ref="AG32:AM32"/>
    <mergeCell ref="AN32:AT32"/>
    <mergeCell ref="L33:R33"/>
    <mergeCell ref="S33:Y33"/>
    <mergeCell ref="Z33:AF33"/>
    <mergeCell ref="AG33:AM33"/>
    <mergeCell ref="AN33:AT33"/>
    <mergeCell ref="L34:R34"/>
    <mergeCell ref="S34:Y34"/>
    <mergeCell ref="Z34:AF34"/>
    <mergeCell ref="AG34:AM34"/>
    <mergeCell ref="AN34:AT34"/>
    <mergeCell ref="L27:R27"/>
    <mergeCell ref="S27:Y27"/>
    <mergeCell ref="Z27:AF27"/>
    <mergeCell ref="AG27:AM27"/>
    <mergeCell ref="AN27:AT27"/>
    <mergeCell ref="L28:R28"/>
    <mergeCell ref="S28:Y28"/>
    <mergeCell ref="Z28:AF28"/>
    <mergeCell ref="AG28:AM28"/>
    <mergeCell ref="AN28:AT28"/>
    <mergeCell ref="Z29:AF29"/>
    <mergeCell ref="AG29:AM29"/>
    <mergeCell ref="AN29:AT29"/>
    <mergeCell ref="L30:R30"/>
    <mergeCell ref="S30:Y30"/>
    <mergeCell ref="Z30:AF30"/>
    <mergeCell ref="AG30:AM30"/>
    <mergeCell ref="AN30:AT30"/>
    <mergeCell ref="L22:R22"/>
    <mergeCell ref="S22:Y22"/>
    <mergeCell ref="Z22:AF22"/>
    <mergeCell ref="AG22:AM22"/>
    <mergeCell ref="AN22:AT22"/>
    <mergeCell ref="L23:R23"/>
    <mergeCell ref="S23:Y23"/>
    <mergeCell ref="Z23:AF23"/>
    <mergeCell ref="AG23:AM23"/>
    <mergeCell ref="AN23:AT23"/>
    <mergeCell ref="AN24:AT24"/>
    <mergeCell ref="L25:R25"/>
    <mergeCell ref="S25:Y25"/>
    <mergeCell ref="Z25:AF25"/>
    <mergeCell ref="AG25:AM25"/>
    <mergeCell ref="AN25:AT25"/>
    <mergeCell ref="L26:R26"/>
    <mergeCell ref="S26:Y26"/>
    <mergeCell ref="Z26:AF26"/>
    <mergeCell ref="AG26:AM26"/>
    <mergeCell ref="AN26:AT26"/>
    <mergeCell ref="L19:R19"/>
    <mergeCell ref="S19:Y19"/>
    <mergeCell ref="Z19:AF19"/>
    <mergeCell ref="AG19:AM19"/>
    <mergeCell ref="AN19:AT19"/>
    <mergeCell ref="L15:R15"/>
    <mergeCell ref="S15:Y15"/>
    <mergeCell ref="Z15:AF15"/>
    <mergeCell ref="AG15:AM15"/>
    <mergeCell ref="L20:R20"/>
    <mergeCell ref="S20:Y20"/>
    <mergeCell ref="Z20:AF20"/>
    <mergeCell ref="AG20:AM20"/>
    <mergeCell ref="AN20:AT20"/>
    <mergeCell ref="L21:R21"/>
    <mergeCell ref="S21:Y21"/>
    <mergeCell ref="Z21:AF21"/>
    <mergeCell ref="AG21:AM21"/>
    <mergeCell ref="AN21:AT21"/>
    <mergeCell ref="AN14:AT14"/>
    <mergeCell ref="L10:R10"/>
    <mergeCell ref="S10:Y10"/>
    <mergeCell ref="Z10:AF10"/>
    <mergeCell ref="AG10:AM10"/>
    <mergeCell ref="AN15:AT15"/>
    <mergeCell ref="L16:R16"/>
    <mergeCell ref="S16:Y16"/>
    <mergeCell ref="Z16:AF16"/>
    <mergeCell ref="AG16:AM16"/>
    <mergeCell ref="AN16:AT16"/>
    <mergeCell ref="L17:R17"/>
    <mergeCell ref="S17:Y17"/>
    <mergeCell ref="Z17:AF17"/>
    <mergeCell ref="AG17:AM17"/>
    <mergeCell ref="AN17:AT17"/>
    <mergeCell ref="L18:R18"/>
    <mergeCell ref="S18:Y18"/>
    <mergeCell ref="Z18:AF18"/>
    <mergeCell ref="AG18:AM18"/>
    <mergeCell ref="AN18:AT18"/>
    <mergeCell ref="O255:Q255"/>
    <mergeCell ref="R255:R256"/>
    <mergeCell ref="S255:T255"/>
    <mergeCell ref="W255:W256"/>
    <mergeCell ref="X255:Z256"/>
    <mergeCell ref="AA255:AC256"/>
    <mergeCell ref="H257:L257"/>
    <mergeCell ref="B258:G259"/>
    <mergeCell ref="S258:T259"/>
    <mergeCell ref="K260:L260"/>
    <mergeCell ref="O260:Q260"/>
    <mergeCell ref="R260:S260"/>
    <mergeCell ref="AN10:AT10"/>
    <mergeCell ref="L11:R11"/>
    <mergeCell ref="S11:Y11"/>
    <mergeCell ref="Z11:AF11"/>
    <mergeCell ref="AG11:AM11"/>
    <mergeCell ref="AN11:AT11"/>
    <mergeCell ref="L12:R12"/>
    <mergeCell ref="S12:Y12"/>
    <mergeCell ref="Z12:AF12"/>
    <mergeCell ref="AG12:AM12"/>
    <mergeCell ref="AN12:AT12"/>
    <mergeCell ref="L13:R13"/>
    <mergeCell ref="S13:Y13"/>
    <mergeCell ref="Z13:AF13"/>
    <mergeCell ref="AG13:AM13"/>
    <mergeCell ref="AN13:AT13"/>
    <mergeCell ref="L14:R14"/>
    <mergeCell ref="S14:Y14"/>
    <mergeCell ref="Z14:AF14"/>
    <mergeCell ref="AG14:AM14"/>
    <mergeCell ref="E322:R322"/>
    <mergeCell ref="S322:AT322"/>
    <mergeCell ref="E323:K323"/>
    <mergeCell ref="L323:R323"/>
    <mergeCell ref="S323:Y323"/>
    <mergeCell ref="Z323:AF323"/>
    <mergeCell ref="AG323:AM323"/>
    <mergeCell ref="AN323:AT323"/>
    <mergeCell ref="E324:K324"/>
    <mergeCell ref="L324:R324"/>
    <mergeCell ref="S324:Y324"/>
    <mergeCell ref="Z324:AF324"/>
    <mergeCell ref="L248:P248"/>
    <mergeCell ref="I253:K253"/>
    <mergeCell ref="L254:Q254"/>
    <mergeCell ref="G254:K254"/>
    <mergeCell ref="B255:H256"/>
    <mergeCell ref="I255:M256"/>
    <mergeCell ref="N255:N256"/>
    <mergeCell ref="L271:Q271"/>
    <mergeCell ref="B291:F292"/>
    <mergeCell ref="G296:I296"/>
    <mergeCell ref="M296:O296"/>
    <mergeCell ref="F297:H297"/>
    <mergeCell ref="L300:V300"/>
    <mergeCell ref="W300:W301"/>
    <mergeCell ref="X300:AC301"/>
    <mergeCell ref="L301:P301"/>
    <mergeCell ref="Q301:Q302"/>
    <mergeCell ref="R301:V301"/>
    <mergeCell ref="L302:P302"/>
    <mergeCell ref="R302:V302"/>
    <mergeCell ref="S377:Y377"/>
    <mergeCell ref="Z377:AF377"/>
    <mergeCell ref="AG377:AM377"/>
    <mergeCell ref="AN377:AT377"/>
    <mergeCell ref="B378:D378"/>
    <mergeCell ref="E378:K378"/>
    <mergeCell ref="L378:R378"/>
    <mergeCell ref="S378:Y378"/>
    <mergeCell ref="Z378:AF378"/>
    <mergeCell ref="AG378:AM378"/>
    <mergeCell ref="AN378:AT378"/>
    <mergeCell ref="B379:D379"/>
    <mergeCell ref="E379:K379"/>
    <mergeCell ref="L379:R379"/>
    <mergeCell ref="S379:Y379"/>
    <mergeCell ref="Z379:AF379"/>
    <mergeCell ref="AG379:AM379"/>
    <mergeCell ref="AN379:AT379"/>
    <mergeCell ref="B380:D380"/>
    <mergeCell ref="E380:K380"/>
    <mergeCell ref="L380:R380"/>
    <mergeCell ref="S380:Y380"/>
    <mergeCell ref="Z380:AF380"/>
    <mergeCell ref="AG380:AM380"/>
    <mergeCell ref="AN380:AT380"/>
    <mergeCell ref="B381:D381"/>
    <mergeCell ref="E381:K381"/>
    <mergeCell ref="B59:D59"/>
    <mergeCell ref="E59:K59"/>
    <mergeCell ref="B60:D60"/>
    <mergeCell ref="B376:D376"/>
    <mergeCell ref="E376:K376"/>
    <mergeCell ref="L376:R376"/>
    <mergeCell ref="S376:Y376"/>
    <mergeCell ref="Z376:AF376"/>
    <mergeCell ref="AG376:AM376"/>
    <mergeCell ref="AN376:AT376"/>
    <mergeCell ref="B377:D377"/>
    <mergeCell ref="E377:K377"/>
    <mergeCell ref="L377:R377"/>
    <mergeCell ref="B349:D349"/>
    <mergeCell ref="E349:K349"/>
    <mergeCell ref="L349:R349"/>
    <mergeCell ref="S349:Y349"/>
    <mergeCell ref="Z349:AF349"/>
    <mergeCell ref="AG349:AM349"/>
    <mergeCell ref="AN349:AT349"/>
    <mergeCell ref="B350:D350"/>
    <mergeCell ref="E350:K350"/>
    <mergeCell ref="L350:R350"/>
    <mergeCell ref="S350:Y350"/>
    <mergeCell ref="Z350:AF350"/>
    <mergeCell ref="AG350:AM350"/>
    <mergeCell ref="AN350:AT350"/>
    <mergeCell ref="B322:D324"/>
    <mergeCell ref="E17:K17"/>
    <mergeCell ref="E19:K19"/>
    <mergeCell ref="E21:K21"/>
    <mergeCell ref="AD459:AK459"/>
    <mergeCell ref="B463:C463"/>
    <mergeCell ref="D463:H463"/>
    <mergeCell ref="I463:M463"/>
    <mergeCell ref="N463:P463"/>
    <mergeCell ref="Q463:U463"/>
    <mergeCell ref="B38:D38"/>
    <mergeCell ref="B39:D39"/>
    <mergeCell ref="B40:D40"/>
    <mergeCell ref="E33:K33"/>
    <mergeCell ref="E32:K32"/>
    <mergeCell ref="E28:K28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E36:K36"/>
    <mergeCell ref="E40:K40"/>
    <mergeCell ref="E39:K39"/>
    <mergeCell ref="E34:K34"/>
    <mergeCell ref="E62:K62"/>
    <mergeCell ref="B66:D66"/>
    <mergeCell ref="E66:K66"/>
    <mergeCell ref="B24:D24"/>
    <mergeCell ref="B25:D25"/>
    <mergeCell ref="B26:D26"/>
    <mergeCell ref="B27:D27"/>
    <mergeCell ref="B19:D19"/>
    <mergeCell ref="B20:D20"/>
    <mergeCell ref="E12:K12"/>
    <mergeCell ref="E11:K11"/>
    <mergeCell ref="E20:K20"/>
    <mergeCell ref="B21:D21"/>
    <mergeCell ref="B22:D22"/>
    <mergeCell ref="B23:D23"/>
    <mergeCell ref="E18:K18"/>
    <mergeCell ref="E14:K14"/>
    <mergeCell ref="B11:D11"/>
    <mergeCell ref="B12:D12"/>
    <mergeCell ref="B13:D13"/>
    <mergeCell ref="B14:D14"/>
    <mergeCell ref="B15:D15"/>
    <mergeCell ref="B16:D16"/>
    <mergeCell ref="B17:D17"/>
    <mergeCell ref="B18:D18"/>
    <mergeCell ref="E23:K23"/>
    <mergeCell ref="E13:K13"/>
    <mergeCell ref="B47:D47"/>
    <mergeCell ref="E47:K47"/>
    <mergeCell ref="B50:D50"/>
    <mergeCell ref="E50:K50"/>
    <mergeCell ref="E15:K15"/>
    <mergeCell ref="E71:K71"/>
    <mergeCell ref="B67:D67"/>
    <mergeCell ref="E67:K67"/>
    <mergeCell ref="E27:K27"/>
    <mergeCell ref="E31:K31"/>
    <mergeCell ref="E35:K35"/>
    <mergeCell ref="E26:K26"/>
    <mergeCell ref="L24:R24"/>
    <mergeCell ref="S24:Y24"/>
    <mergeCell ref="Z24:AF24"/>
    <mergeCell ref="AG24:AM24"/>
    <mergeCell ref="L29:R29"/>
    <mergeCell ref="S29:Y29"/>
    <mergeCell ref="B65:D65"/>
    <mergeCell ref="E65:K65"/>
    <mergeCell ref="B68:D68"/>
    <mergeCell ref="E38:K38"/>
    <mergeCell ref="B55:D55"/>
    <mergeCell ref="E55:K55"/>
    <mergeCell ref="B56:D56"/>
    <mergeCell ref="E56:K56"/>
    <mergeCell ref="B53:D53"/>
    <mergeCell ref="E53:K53"/>
    <mergeCell ref="B54:D54"/>
    <mergeCell ref="E54:K54"/>
    <mergeCell ref="B63:D63"/>
    <mergeCell ref="E63:K63"/>
    <mergeCell ref="B37:D37"/>
    <mergeCell ref="E29:K29"/>
    <mergeCell ref="E30:K30"/>
    <mergeCell ref="E37:K37"/>
    <mergeCell ref="B62:D62"/>
    <mergeCell ref="B4:G4"/>
    <mergeCell ref="H4:M4"/>
    <mergeCell ref="N4:Y4"/>
    <mergeCell ref="Z4:AE4"/>
    <mergeCell ref="AF4:AK4"/>
    <mergeCell ref="AL4:AQ4"/>
    <mergeCell ref="AF5:AK5"/>
    <mergeCell ref="AL5:AQ5"/>
    <mergeCell ref="B8:D10"/>
    <mergeCell ref="E10:K10"/>
    <mergeCell ref="B5:G5"/>
    <mergeCell ref="N5:S5"/>
    <mergeCell ref="H5:M5"/>
    <mergeCell ref="T5:Y5"/>
    <mergeCell ref="Z5:AE5"/>
    <mergeCell ref="E8:R8"/>
    <mergeCell ref="S8:AT8"/>
    <mergeCell ref="E9:K9"/>
    <mergeCell ref="L9:R9"/>
    <mergeCell ref="S9:Y9"/>
    <mergeCell ref="Z9:AF9"/>
    <mergeCell ref="AG9:AM9"/>
    <mergeCell ref="AN9:AT9"/>
    <mergeCell ref="L58:R58"/>
    <mergeCell ref="S58:Y58"/>
    <mergeCell ref="Z58:AF58"/>
    <mergeCell ref="AG58:AM58"/>
    <mergeCell ref="E24:K24"/>
    <mergeCell ref="E22:K22"/>
    <mergeCell ref="E25:K25"/>
    <mergeCell ref="E16:K16"/>
    <mergeCell ref="E60:K60"/>
    <mergeCell ref="B57:D57"/>
    <mergeCell ref="E57:K57"/>
    <mergeCell ref="B58:D58"/>
    <mergeCell ref="AN58:AT58"/>
    <mergeCell ref="L59:R59"/>
    <mergeCell ref="Z72:AF72"/>
    <mergeCell ref="AG72:AM72"/>
    <mergeCell ref="AN72:AT72"/>
    <mergeCell ref="L73:R73"/>
    <mergeCell ref="S73:Y73"/>
    <mergeCell ref="Z73:AF73"/>
    <mergeCell ref="AG73:AM73"/>
    <mergeCell ref="AN73:AT73"/>
    <mergeCell ref="E58:K58"/>
    <mergeCell ref="S59:Y59"/>
    <mergeCell ref="Z59:AF59"/>
    <mergeCell ref="AG59:AM59"/>
    <mergeCell ref="E68:K68"/>
    <mergeCell ref="B69:D69"/>
    <mergeCell ref="E69:K69"/>
    <mergeCell ref="B73:D73"/>
    <mergeCell ref="E73:K73"/>
    <mergeCell ref="E72:K72"/>
    <mergeCell ref="B72:D72"/>
    <mergeCell ref="B70:D70"/>
    <mergeCell ref="E70:K70"/>
    <mergeCell ref="B71:D71"/>
    <mergeCell ref="B64:D64"/>
    <mergeCell ref="E64:K64"/>
    <mergeCell ref="B61:D61"/>
    <mergeCell ref="E61:K61"/>
    <mergeCell ref="B83:D83"/>
    <mergeCell ref="E83:H83"/>
    <mergeCell ref="I83:L83"/>
    <mergeCell ref="M83:Q83"/>
    <mergeCell ref="R83:U83"/>
    <mergeCell ref="V83:Z83"/>
    <mergeCell ref="AA83:AE83"/>
    <mergeCell ref="AF83:AJ83"/>
    <mergeCell ref="AK83:AO83"/>
    <mergeCell ref="AP83:AT83"/>
    <mergeCell ref="L72:R72"/>
    <mergeCell ref="S72:Y72"/>
    <mergeCell ref="B74:D74"/>
    <mergeCell ref="E74:K74"/>
    <mergeCell ref="B76:D76"/>
    <mergeCell ref="E76:K76"/>
    <mergeCell ref="B75:D75"/>
    <mergeCell ref="E75:K75"/>
    <mergeCell ref="L74:R74"/>
    <mergeCell ref="S74:Y74"/>
    <mergeCell ref="Z74:AF74"/>
    <mergeCell ref="AG74:AM74"/>
    <mergeCell ref="AN74:AT74"/>
    <mergeCell ref="L75:R75"/>
    <mergeCell ref="S75:Y75"/>
    <mergeCell ref="Z75:AF75"/>
    <mergeCell ref="AG75:AM75"/>
    <mergeCell ref="AN75:AT75"/>
    <mergeCell ref="L76:R76"/>
    <mergeCell ref="S76:Y76"/>
    <mergeCell ref="Z76:AF76"/>
    <mergeCell ref="AG76:AM76"/>
    <mergeCell ref="B113:D113"/>
    <mergeCell ref="E113:J113"/>
    <mergeCell ref="K113:P113"/>
    <mergeCell ref="Q113:V113"/>
    <mergeCell ref="W113:AB113"/>
    <mergeCell ref="AC113:AH113"/>
    <mergeCell ref="AI113:AN113"/>
    <mergeCell ref="AO113:AT113"/>
    <mergeCell ref="B114:D114"/>
    <mergeCell ref="E114:J114"/>
    <mergeCell ref="K114:P114"/>
    <mergeCell ref="Q114:V114"/>
    <mergeCell ref="W114:AB114"/>
    <mergeCell ref="AC114:AH114"/>
    <mergeCell ref="AI114:AN114"/>
    <mergeCell ref="I147:P147"/>
    <mergeCell ref="Q147:X147"/>
    <mergeCell ref="Y147:AC147"/>
    <mergeCell ref="AD147:AK147"/>
    <mergeCell ref="AL147:AS147"/>
    <mergeCell ref="AO114:AT114"/>
    <mergeCell ref="B115:D115"/>
    <mergeCell ref="E115:J115"/>
    <mergeCell ref="K115:P115"/>
    <mergeCell ref="Q115:V115"/>
    <mergeCell ref="W115:AB115"/>
    <mergeCell ref="AC115:AH115"/>
    <mergeCell ref="AI115:AN115"/>
    <mergeCell ref="AO115:AT115"/>
    <mergeCell ref="B116:D116"/>
    <mergeCell ref="E116:J116"/>
    <mergeCell ref="K116:P116"/>
    <mergeCell ref="G163:K163"/>
    <mergeCell ref="L163:Q163"/>
    <mergeCell ref="O164:R164"/>
    <mergeCell ref="S164:U164"/>
    <mergeCell ref="G165:L166"/>
    <mergeCell ref="R165:X165"/>
    <mergeCell ref="Y165:AE165"/>
    <mergeCell ref="AF165:AF166"/>
    <mergeCell ref="AG165:AI166"/>
    <mergeCell ref="H214:L214"/>
    <mergeCell ref="B215:G216"/>
    <mergeCell ref="O217:P217"/>
    <mergeCell ref="G180:K180"/>
    <mergeCell ref="L180:Q180"/>
    <mergeCell ref="I182:K183"/>
    <mergeCell ref="L182:L183"/>
    <mergeCell ref="M182:N182"/>
    <mergeCell ref="O182:O183"/>
    <mergeCell ref="P182:Q182"/>
    <mergeCell ref="R182:S182"/>
    <mergeCell ref="T182:T183"/>
    <mergeCell ref="U182:V183"/>
    <mergeCell ref="W182:X183"/>
    <mergeCell ref="Y182:Y183"/>
    <mergeCell ref="Z182:AB183"/>
    <mergeCell ref="AC182:AD183"/>
    <mergeCell ref="M183:N183"/>
    <mergeCell ref="P183:S183"/>
    <mergeCell ref="H184:L184"/>
    <mergeCell ref="B185:G186"/>
    <mergeCell ref="Q185:AD185"/>
    <mergeCell ref="AE185:AE186"/>
  </mergeCells>
  <phoneticPr fontId="5" type="noConversion"/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X47"/>
  <sheetViews>
    <sheetView showGridLines="0" zoomScaleNormal="100" workbookViewId="0"/>
  </sheetViews>
  <sheetFormatPr defaultColWidth="7.77734375" defaultRowHeight="16.5" customHeight="1"/>
  <cols>
    <col min="1" max="1" width="2.77734375" style="62" customWidth="1"/>
    <col min="2" max="38" width="7.77734375" style="62"/>
    <col min="39" max="50" width="7.77734375" style="134"/>
    <col min="51" max="16384" width="7.77734375" style="62"/>
  </cols>
  <sheetData>
    <row r="1" spans="2:50" ht="16.5" customHeight="1">
      <c r="B1" s="184" t="s">
        <v>1026</v>
      </c>
      <c r="AJ1" s="134"/>
      <c r="AK1" s="134"/>
    </row>
    <row r="2" spans="2:50" ht="16.5" customHeight="1">
      <c r="B2" s="187" t="s">
        <v>148</v>
      </c>
      <c r="C2" s="189" t="s">
        <v>149</v>
      </c>
      <c r="D2" s="247" t="s">
        <v>205</v>
      </c>
      <c r="E2" s="189" t="s">
        <v>150</v>
      </c>
      <c r="F2" s="189" t="s">
        <v>151</v>
      </c>
      <c r="G2" s="189" t="s">
        <v>152</v>
      </c>
      <c r="H2" s="247" t="s">
        <v>206</v>
      </c>
      <c r="I2" s="189" t="s">
        <v>140</v>
      </c>
      <c r="J2" s="189" t="s">
        <v>154</v>
      </c>
      <c r="AF2" s="271" t="s">
        <v>228</v>
      </c>
      <c r="AG2" s="272" t="s">
        <v>229</v>
      </c>
      <c r="AH2" s="134" t="s">
        <v>230</v>
      </c>
      <c r="AI2" s="134"/>
      <c r="AJ2" s="134"/>
      <c r="AK2" s="134"/>
    </row>
    <row r="3" spans="2:50" ht="16.5" customHeight="1">
      <c r="B3" s="189" t="s">
        <v>149</v>
      </c>
      <c r="C3" s="188">
        <f t="shared" ref="C3:C10" si="0">E3*1000</f>
        <v>1</v>
      </c>
      <c r="D3" s="248">
        <f>E3*10</f>
        <v>0.01</v>
      </c>
      <c r="E3" s="188">
        <f t="shared" ref="E3:E5" si="1">F3*1000</f>
        <v>1E-3</v>
      </c>
      <c r="F3" s="188">
        <v>9.9999999999999995E-7</v>
      </c>
      <c r="G3" s="188">
        <f t="shared" ref="G3:G10" si="2">I3*1000</f>
        <v>1</v>
      </c>
      <c r="H3" s="248">
        <f>I3*10</f>
        <v>0.01</v>
      </c>
      <c r="I3" s="188">
        <f t="shared" ref="I3:I5" si="3">J3*1000</f>
        <v>1E-3</v>
      </c>
      <c r="J3" s="188">
        <v>9.9999999999999995E-7</v>
      </c>
      <c r="AF3" s="274" t="s">
        <v>231</v>
      </c>
      <c r="AG3" s="272" t="s">
        <v>229</v>
      </c>
      <c r="AH3" s="134" t="s">
        <v>232</v>
      </c>
      <c r="AI3" s="134"/>
      <c r="AJ3" s="134"/>
      <c r="AK3" s="134"/>
    </row>
    <row r="4" spans="2:50" ht="16.5" customHeight="1">
      <c r="B4" s="189" t="s">
        <v>155</v>
      </c>
      <c r="C4" s="188">
        <f t="shared" si="0"/>
        <v>100</v>
      </c>
      <c r="D4" s="248">
        <f t="shared" ref="D4:D10" si="4">E4*10</f>
        <v>1</v>
      </c>
      <c r="E4" s="188">
        <f t="shared" si="1"/>
        <v>0.1</v>
      </c>
      <c r="F4" s="188">
        <v>1E-4</v>
      </c>
      <c r="G4" s="188">
        <f t="shared" si="2"/>
        <v>100</v>
      </c>
      <c r="H4" s="248">
        <f t="shared" ref="H4:H10" si="5">I4*10</f>
        <v>1</v>
      </c>
      <c r="I4" s="188">
        <f t="shared" si="3"/>
        <v>0.1</v>
      </c>
      <c r="J4" s="188">
        <v>1E-4</v>
      </c>
      <c r="AF4" s="134"/>
      <c r="AG4" s="134"/>
      <c r="AH4" s="134" t="s">
        <v>233</v>
      </c>
      <c r="AI4" s="134"/>
      <c r="AJ4" s="134"/>
      <c r="AK4" s="134"/>
    </row>
    <row r="5" spans="2:50" ht="16.5" customHeight="1">
      <c r="B5" s="189" t="s">
        <v>156</v>
      </c>
      <c r="C5" s="188">
        <f t="shared" si="0"/>
        <v>1000</v>
      </c>
      <c r="D5" s="248">
        <f t="shared" si="4"/>
        <v>10</v>
      </c>
      <c r="E5" s="188">
        <f t="shared" si="1"/>
        <v>1</v>
      </c>
      <c r="F5" s="188">
        <v>1E-3</v>
      </c>
      <c r="G5" s="188">
        <f t="shared" si="2"/>
        <v>1000</v>
      </c>
      <c r="H5" s="248">
        <f t="shared" si="5"/>
        <v>10</v>
      </c>
      <c r="I5" s="188">
        <f t="shared" si="3"/>
        <v>1</v>
      </c>
      <c r="J5" s="188">
        <v>1E-3</v>
      </c>
      <c r="AF5" s="134"/>
      <c r="AG5" s="134"/>
      <c r="AH5" s="134" t="s">
        <v>234</v>
      </c>
      <c r="AI5" s="134"/>
      <c r="AJ5" s="134"/>
      <c r="AK5" s="134"/>
    </row>
    <row r="6" spans="2:50" ht="16.5" customHeight="1">
      <c r="B6" s="189" t="s">
        <v>157</v>
      </c>
      <c r="C6" s="188">
        <f t="shared" si="0"/>
        <v>1000000</v>
      </c>
      <c r="D6" s="248">
        <f t="shared" si="4"/>
        <v>10000</v>
      </c>
      <c r="E6" s="188">
        <f>F6*1000</f>
        <v>1000</v>
      </c>
      <c r="F6" s="188">
        <v>1</v>
      </c>
      <c r="G6" s="188">
        <f t="shared" si="2"/>
        <v>1000000</v>
      </c>
      <c r="H6" s="248">
        <f t="shared" si="5"/>
        <v>10000</v>
      </c>
      <c r="I6" s="188">
        <f>J6*1000</f>
        <v>1000</v>
      </c>
      <c r="J6" s="188">
        <v>1</v>
      </c>
      <c r="AF6" s="134"/>
      <c r="AG6" s="134"/>
      <c r="AH6" s="134" t="s">
        <v>235</v>
      </c>
      <c r="AI6" s="134"/>
      <c r="AJ6" s="134"/>
      <c r="AK6" s="134"/>
    </row>
    <row r="7" spans="2:50" ht="16.5" customHeight="1">
      <c r="B7" s="189" t="s">
        <v>152</v>
      </c>
      <c r="C7" s="188">
        <f t="shared" si="0"/>
        <v>1</v>
      </c>
      <c r="D7" s="248">
        <f t="shared" si="4"/>
        <v>0.01</v>
      </c>
      <c r="E7" s="188">
        <f t="shared" ref="E7:E9" si="6">F7*1000</f>
        <v>1E-3</v>
      </c>
      <c r="F7" s="188">
        <v>9.9999999999999995E-7</v>
      </c>
      <c r="G7" s="188">
        <f t="shared" si="2"/>
        <v>1</v>
      </c>
      <c r="H7" s="248">
        <f t="shared" si="5"/>
        <v>0.01</v>
      </c>
      <c r="I7" s="188">
        <f t="shared" ref="I7:I9" si="7">J7*1000</f>
        <v>1E-3</v>
      </c>
      <c r="J7" s="188">
        <v>9.9999999999999995E-7</v>
      </c>
      <c r="AF7" s="274" t="s">
        <v>236</v>
      </c>
      <c r="AG7" s="272" t="s">
        <v>229</v>
      </c>
      <c r="AH7" s="134" t="s">
        <v>237</v>
      </c>
      <c r="AI7" s="134"/>
      <c r="AJ7" s="134"/>
      <c r="AK7" s="134"/>
    </row>
    <row r="8" spans="2:50" ht="16.5" customHeight="1">
      <c r="B8" s="189" t="s">
        <v>139</v>
      </c>
      <c r="C8" s="188">
        <f t="shared" si="0"/>
        <v>100</v>
      </c>
      <c r="D8" s="248">
        <f t="shared" si="4"/>
        <v>1</v>
      </c>
      <c r="E8" s="188">
        <f t="shared" si="6"/>
        <v>0.1</v>
      </c>
      <c r="F8" s="188">
        <v>1E-4</v>
      </c>
      <c r="G8" s="188">
        <f t="shared" si="2"/>
        <v>100</v>
      </c>
      <c r="H8" s="248">
        <f t="shared" si="5"/>
        <v>1</v>
      </c>
      <c r="I8" s="188">
        <f t="shared" si="7"/>
        <v>0.1</v>
      </c>
      <c r="J8" s="188">
        <v>1E-4</v>
      </c>
      <c r="AF8" s="271" t="s">
        <v>238</v>
      </c>
      <c r="AG8" s="272" t="s">
        <v>239</v>
      </c>
      <c r="AH8" s="134" t="s">
        <v>240</v>
      </c>
      <c r="AI8" s="134"/>
      <c r="AJ8" s="134"/>
      <c r="AK8" s="134"/>
    </row>
    <row r="9" spans="2:50" ht="16.5" customHeight="1">
      <c r="B9" s="189" t="s">
        <v>140</v>
      </c>
      <c r="C9" s="188">
        <f t="shared" si="0"/>
        <v>1000</v>
      </c>
      <c r="D9" s="248">
        <f t="shared" si="4"/>
        <v>10</v>
      </c>
      <c r="E9" s="188">
        <f t="shared" si="6"/>
        <v>1</v>
      </c>
      <c r="F9" s="188">
        <v>1E-3</v>
      </c>
      <c r="G9" s="188">
        <f t="shared" si="2"/>
        <v>1000</v>
      </c>
      <c r="H9" s="248">
        <f t="shared" si="5"/>
        <v>10</v>
      </c>
      <c r="I9" s="188">
        <f t="shared" si="7"/>
        <v>1</v>
      </c>
      <c r="J9" s="188">
        <v>1E-3</v>
      </c>
      <c r="AF9" s="271" t="s">
        <v>241</v>
      </c>
      <c r="AG9" s="272" t="s">
        <v>239</v>
      </c>
      <c r="AH9" s="134" t="s">
        <v>242</v>
      </c>
      <c r="AI9" s="134"/>
      <c r="AJ9" s="134"/>
      <c r="AK9" s="134"/>
    </row>
    <row r="10" spans="2:50" ht="16.5" customHeight="1">
      <c r="B10" s="189" t="s">
        <v>153</v>
      </c>
      <c r="C10" s="188">
        <f t="shared" si="0"/>
        <v>1000000</v>
      </c>
      <c r="D10" s="248">
        <f t="shared" si="4"/>
        <v>10000</v>
      </c>
      <c r="E10" s="188">
        <f>F10*1000</f>
        <v>1000</v>
      </c>
      <c r="F10" s="188">
        <v>1</v>
      </c>
      <c r="G10" s="188">
        <f t="shared" si="2"/>
        <v>1000000</v>
      </c>
      <c r="H10" s="248">
        <f t="shared" si="5"/>
        <v>10000</v>
      </c>
      <c r="I10" s="188">
        <f>J10*1000</f>
        <v>1000</v>
      </c>
      <c r="J10" s="188">
        <v>1</v>
      </c>
      <c r="AF10" s="271" t="s">
        <v>243</v>
      </c>
      <c r="AG10" s="272" t="s">
        <v>239</v>
      </c>
      <c r="AH10" s="134" t="s">
        <v>244</v>
      </c>
      <c r="AI10" s="134"/>
      <c r="AJ10" s="134"/>
      <c r="AK10" s="134"/>
    </row>
    <row r="11" spans="2:50" ht="15" customHeight="1">
      <c r="AF11" s="271" t="s">
        <v>245</v>
      </c>
      <c r="AG11" s="272" t="s">
        <v>239</v>
      </c>
      <c r="AH11" s="134" t="s">
        <v>246</v>
      </c>
      <c r="AI11" s="134"/>
    </row>
    <row r="12" spans="2:50" ht="15" customHeight="1">
      <c r="B12" s="184" t="s">
        <v>141</v>
      </c>
    </row>
    <row r="13" spans="2:50" ht="15" customHeight="1">
      <c r="B13" s="767" t="s">
        <v>131</v>
      </c>
      <c r="C13" s="768"/>
      <c r="D13" s="221" t="s">
        <v>2</v>
      </c>
      <c r="E13" s="221" t="s">
        <v>142</v>
      </c>
      <c r="F13" s="221" t="s">
        <v>143</v>
      </c>
      <c r="G13" s="221" t="s">
        <v>66</v>
      </c>
      <c r="H13" s="764" t="s">
        <v>359</v>
      </c>
      <c r="I13" s="764"/>
      <c r="J13" s="762" t="s">
        <v>1023</v>
      </c>
      <c r="K13" s="762"/>
      <c r="L13" s="762" t="s">
        <v>1024</v>
      </c>
      <c r="M13" s="762"/>
      <c r="AB13" s="184" t="s">
        <v>1028</v>
      </c>
    </row>
    <row r="14" spans="2:50" ht="15" customHeight="1">
      <c r="B14" s="765" t="e">
        <f>Calcu!M$82</f>
        <v>#N/A</v>
      </c>
      <c r="C14" s="766"/>
      <c r="D14" s="186" t="e">
        <f ca="1">OFFSET(Pressure_3_R1!B$36,MATCH($B14,Pressure_3_R1!$C$37:$C$66,0),0)</f>
        <v>#N/A</v>
      </c>
      <c r="E14" s="186" t="e">
        <f ca="1">OFFSET(Pressure_3_R1!AA$36,MATCH($B14,Pressure_3_R1!$C$37:$C$66,0),0)</f>
        <v>#N/A</v>
      </c>
      <c r="F14" s="186" t="e">
        <f ca="1">OFFSET(Pressure_3_R1!AB$36,MATCH($B14,Pressure_3_R1!$C$37:$C$66,0),0)</f>
        <v>#N/A</v>
      </c>
      <c r="G14" s="186" t="e">
        <f ca="1">OFFSET(Pressure_3_R1!Z$36,MATCH($B14,Pressure_3_R1!$C$37:$C$66,0),0)</f>
        <v>#N/A</v>
      </c>
      <c r="H14" s="186">
        <f ca="1">IF(TYPE(D14)=16,0,OFFSET(Pressure_3_R1!T$36,MATCH($B14,Pressure_3_R1!$C$37:$C$66,0),0))</f>
        <v>0</v>
      </c>
      <c r="I14" s="186" t="e">
        <f ca="1">OFFSET(Pressure_3_R1!V$36,MATCH($B14,Pressure_3_R1!$C$37:$C$66,0),0)</f>
        <v>#N/A</v>
      </c>
      <c r="J14" s="306">
        <f ca="1">IF(TYPE(D14)=16,0,OFFSET(Pressure_3_R1!AC$36,MATCH($B14,Pressure_3_R1!$C$37:$C$66,0),0))</f>
        <v>0</v>
      </c>
      <c r="K14" s="306" t="e">
        <f ca="1">OFFSET(Pressure_3_R1!AD$36,MATCH($B14,Pressure_3_R1!$C$37:$C$66,0),0)</f>
        <v>#N/A</v>
      </c>
      <c r="L14" s="306">
        <f ca="1">IF(TYPE(D14)=16,0,OFFSET(Pressure_3_R1!AE$36,MATCH($B14,Pressure_3_R1!$C$37:$C$66,0),0))</f>
        <v>0</v>
      </c>
      <c r="M14" s="306" t="e">
        <f ca="1">OFFSET(Pressure_3_R1!AF$36,MATCH($B14,Pressure_3_R1!$C$37:$C$66,0),0)</f>
        <v>#N/A</v>
      </c>
      <c r="AB14" s="270" t="s">
        <v>264</v>
      </c>
      <c r="AC14" s="134"/>
      <c r="AD14" s="134"/>
      <c r="AF14" s="270" t="s">
        <v>262</v>
      </c>
      <c r="AG14" s="134"/>
      <c r="AH14" s="134"/>
      <c r="AI14" s="134"/>
      <c r="AJ14" s="134"/>
      <c r="AK14" s="134"/>
      <c r="AL14" s="134"/>
      <c r="AR14" s="62"/>
      <c r="AS14" s="62"/>
      <c r="AT14" s="62"/>
      <c r="AU14" s="62"/>
      <c r="AV14" s="62"/>
      <c r="AW14" s="62"/>
      <c r="AX14" s="62"/>
    </row>
    <row r="15" spans="2:50" ht="15" customHeight="1">
      <c r="E15" s="159"/>
      <c r="F15" s="159"/>
      <c r="AB15" s="273" t="s">
        <v>252</v>
      </c>
      <c r="AC15" s="760" t="s">
        <v>261</v>
      </c>
      <c r="AD15" s="761"/>
      <c r="AF15" s="273" t="s">
        <v>249</v>
      </c>
      <c r="AG15" s="273" t="s">
        <v>250</v>
      </c>
      <c r="AH15" s="273" t="s">
        <v>251</v>
      </c>
      <c r="AI15" s="273" t="s">
        <v>252</v>
      </c>
      <c r="AJ15" s="760" t="s">
        <v>261</v>
      </c>
      <c r="AK15" s="761"/>
      <c r="AR15" s="62"/>
      <c r="AS15" s="62"/>
      <c r="AT15" s="62"/>
      <c r="AU15" s="62"/>
      <c r="AV15" s="62"/>
      <c r="AW15" s="62"/>
      <c r="AX15" s="62"/>
    </row>
    <row r="16" spans="2:50" ht="15" customHeight="1">
      <c r="B16" s="184" t="s">
        <v>144</v>
      </c>
      <c r="E16" s="78"/>
      <c r="F16" s="64"/>
      <c r="I16" s="184" t="s">
        <v>1027</v>
      </c>
      <c r="J16" s="63"/>
      <c r="K16" s="63"/>
      <c r="O16" s="184" t="s">
        <v>1017</v>
      </c>
      <c r="AB16" s="273" t="s">
        <v>265</v>
      </c>
      <c r="AC16" s="760" t="s">
        <v>257</v>
      </c>
      <c r="AD16" s="761"/>
      <c r="AF16" s="273" t="s">
        <v>254</v>
      </c>
      <c r="AG16" s="273" t="s">
        <v>255</v>
      </c>
      <c r="AH16" s="273" t="s">
        <v>256</v>
      </c>
      <c r="AI16" s="273" t="s">
        <v>253</v>
      </c>
      <c r="AJ16" s="760" t="s">
        <v>257</v>
      </c>
      <c r="AK16" s="761"/>
      <c r="AR16" s="62"/>
      <c r="AS16" s="62"/>
      <c r="AT16" s="62"/>
      <c r="AU16" s="62"/>
      <c r="AV16" s="62"/>
      <c r="AW16" s="62"/>
      <c r="AX16" s="62"/>
    </row>
    <row r="17" spans="2:50" ht="15" customHeight="1">
      <c r="B17" s="763" t="s">
        <v>1025</v>
      </c>
      <c r="C17" s="757" t="s">
        <v>66</v>
      </c>
      <c r="D17" s="388" t="s">
        <v>91</v>
      </c>
      <c r="E17" s="388" t="s">
        <v>145</v>
      </c>
      <c r="F17" s="388" t="s">
        <v>146</v>
      </c>
      <c r="G17" s="388" t="s">
        <v>62</v>
      </c>
      <c r="I17" s="757" t="s">
        <v>359</v>
      </c>
      <c r="J17" s="759"/>
      <c r="K17" s="388" t="s">
        <v>147</v>
      </c>
      <c r="L17" s="378" t="s">
        <v>177</v>
      </c>
      <c r="M17" s="379" t="s">
        <v>66</v>
      </c>
      <c r="O17" s="757" t="s">
        <v>1018</v>
      </c>
      <c r="P17" s="758"/>
      <c r="Q17" s="759" t="s">
        <v>1019</v>
      </c>
      <c r="R17" s="759"/>
      <c r="S17" s="379" t="s">
        <v>1020</v>
      </c>
      <c r="T17" s="757" t="s">
        <v>1021</v>
      </c>
      <c r="U17" s="758"/>
      <c r="V17" s="757" t="s">
        <v>1019</v>
      </c>
      <c r="W17" s="759"/>
      <c r="X17" s="379" t="s">
        <v>1020</v>
      </c>
      <c r="Y17" s="757" t="s">
        <v>1022</v>
      </c>
      <c r="Z17" s="758"/>
      <c r="AB17" s="273" t="s">
        <v>266</v>
      </c>
      <c r="AC17" s="273" t="s">
        <v>260</v>
      </c>
      <c r="AD17" s="273" t="str">
        <f>AB17</f>
        <v>kg/m³</v>
      </c>
      <c r="AF17" s="273" t="s">
        <v>258</v>
      </c>
      <c r="AG17" s="273" t="s">
        <v>259</v>
      </c>
      <c r="AH17" s="273" t="s">
        <v>149</v>
      </c>
      <c r="AI17" s="273" t="s">
        <v>266</v>
      </c>
      <c r="AJ17" s="273" t="s">
        <v>260</v>
      </c>
      <c r="AK17" s="273" t="str">
        <f>AI17</f>
        <v>kg/m³</v>
      </c>
      <c r="AR17" s="62"/>
      <c r="AS17" s="62"/>
      <c r="AT17" s="62"/>
      <c r="AU17" s="62"/>
      <c r="AV17" s="62"/>
      <c r="AW17" s="62"/>
      <c r="AX17" s="62"/>
    </row>
    <row r="18" spans="2:50" ht="15" customHeight="1">
      <c r="B18" s="390">
        <f>Pressure_3_R1!B4</f>
        <v>0</v>
      </c>
      <c r="C18" s="391">
        <f>Pressure_3_R1!D4</f>
        <v>0</v>
      </c>
      <c r="D18" s="401">
        <f>MAX(B18:B47)</f>
        <v>0</v>
      </c>
      <c r="E18" s="392">
        <f t="shared" ref="E18:E47" si="8">IF(B18=0,0,E$14)</f>
        <v>0</v>
      </c>
      <c r="F18" s="393">
        <f t="shared" ref="F18:F47" si="9">IF(B18=0,0,F$14)</f>
        <v>0</v>
      </c>
      <c r="G18" s="389">
        <f>E18*B18+F18</f>
        <v>0</v>
      </c>
      <c r="I18" s="396">
        <f ca="1">H14</f>
        <v>0</v>
      </c>
      <c r="J18" s="398" t="e">
        <f ca="1">I14</f>
        <v>#N/A</v>
      </c>
      <c r="K18" s="394" t="e">
        <f ca="1">OFFSET(B2,MATCH(J18,B3:B10,0),MATCH(M18,C2:J2,0))</f>
        <v>#N/A</v>
      </c>
      <c r="L18" s="399" t="e">
        <f ca="1">IF(J18="% of Reading",G18*I18%,IF(J18="% of F.S",D18*I18%,I18*K18))</f>
        <v>#N/A</v>
      </c>
      <c r="M18" s="397">
        <f>C18</f>
        <v>0</v>
      </c>
      <c r="O18" s="380">
        <f ca="1">J14</f>
        <v>0</v>
      </c>
      <c r="P18" s="381" t="e">
        <f ca="1">K14</f>
        <v>#N/A</v>
      </c>
      <c r="Q18" s="382" t="e">
        <f t="shared" ref="Q18:Q47" ca="1" si="10">IF(P18="% of Reading",O18%*$B18,IF(P18="% of F.S",O18%*$D18,O18))</f>
        <v>#N/A</v>
      </c>
      <c r="R18" s="382" t="e">
        <f t="shared" ref="R18:R47" ca="1" si="11">IF(OR(P18="% of Reading",P18="% of F.S"),$C18,P18)</f>
        <v>#N/A</v>
      </c>
      <c r="S18" s="383" t="e">
        <f t="shared" ref="S18:S47" ca="1" si="12">INDEX($C$3:$J$10,MATCH(R18,$C$2:$J$2,0),MATCH($C18,$B$3:$B$10,0))</f>
        <v>#N/A</v>
      </c>
      <c r="T18" s="380">
        <f ca="1">L14</f>
        <v>0</v>
      </c>
      <c r="U18" s="381" t="e">
        <f ca="1">M14</f>
        <v>#N/A</v>
      </c>
      <c r="V18" s="382" t="e">
        <f t="shared" ref="V18:V47" ca="1" si="13">IF(U18="% of Reading",T18%*$B18,IF(U18="% of F.S",T18%*$D18,T18))</f>
        <v>#N/A</v>
      </c>
      <c r="W18" s="382" t="e">
        <f t="shared" ref="W18:W47" ca="1" si="14">IF(OR(U18="% of Reading",U18="% of F.S"),$C18,U18)</f>
        <v>#N/A</v>
      </c>
      <c r="X18" s="383" t="e">
        <f t="shared" ref="X18:X47" ca="1" si="15">INDEX($C$3:$J$10,MATCH(W18,$C$2:$J$2,0),MATCH($C18,$B$3:$B$10,0))</f>
        <v>#N/A</v>
      </c>
      <c r="Y18" s="384" t="e">
        <f ca="1">Q18*S18+IF(W18=0,0,V18*X18)</f>
        <v>#N/A</v>
      </c>
      <c r="Z18" s="385">
        <f>C18</f>
        <v>0</v>
      </c>
      <c r="AB18" s="287">
        <v>1026</v>
      </c>
      <c r="AC18" s="276">
        <f>(1028-1024)/2/AB18</f>
        <v>1.9493177387914229E-3</v>
      </c>
      <c r="AD18" s="288">
        <f>ABS(AB18*AC18)</f>
        <v>2</v>
      </c>
      <c r="AF18" s="277">
        <f>Pressure_3_R1!Z4</f>
        <v>0</v>
      </c>
      <c r="AG18" s="279" t="e">
        <f>INDEX(C3:J10,MATCH(C18,B3:B10,0),MATCH(AH17,C2:J2,0))</f>
        <v>#N/A</v>
      </c>
      <c r="AH18" s="275" t="e">
        <f>G18*AG18</f>
        <v>#N/A</v>
      </c>
      <c r="AI18" s="282" t="e">
        <f>999.8/(1+0.000088*(AF18-0))/(1-(AH18-100000)/(2.15*10^9))</f>
        <v>#N/A</v>
      </c>
      <c r="AJ18" s="276" t="e">
        <f>(AI18-1000)/AI18</f>
        <v>#N/A</v>
      </c>
      <c r="AK18" s="283" t="e">
        <f>ABS(AI18*AJ18)</f>
        <v>#N/A</v>
      </c>
      <c r="AR18" s="62"/>
      <c r="AS18" s="62"/>
      <c r="AT18" s="62"/>
      <c r="AU18" s="62"/>
      <c r="AV18" s="62"/>
      <c r="AW18" s="62"/>
      <c r="AX18" s="62"/>
    </row>
    <row r="19" spans="2:50" ht="15" customHeight="1">
      <c r="B19" s="390">
        <f>Pressure_3_R1!B5</f>
        <v>0</v>
      </c>
      <c r="C19" s="391">
        <f>Pressure_3_R1!D5</f>
        <v>0</v>
      </c>
      <c r="D19" s="395">
        <f>D18</f>
        <v>0</v>
      </c>
      <c r="E19" s="392">
        <f t="shared" si="8"/>
        <v>0</v>
      </c>
      <c r="F19" s="393">
        <f t="shared" si="9"/>
        <v>0</v>
      </c>
      <c r="G19" s="389">
        <f>E19*B19+F19</f>
        <v>0</v>
      </c>
      <c r="I19" s="386">
        <f t="shared" ref="I19:K34" ca="1" si="16">I18</f>
        <v>0</v>
      </c>
      <c r="J19" s="387" t="e">
        <f t="shared" ca="1" si="16"/>
        <v>#N/A</v>
      </c>
      <c r="K19" s="400" t="e">
        <f ca="1">K18</f>
        <v>#N/A</v>
      </c>
      <c r="L19" s="399" t="e">
        <f ca="1">IF(J19="% of Reading",G19*I19%,IF(J19="% of F.S",D19*I19%,I19*K19))</f>
        <v>#N/A</v>
      </c>
      <c r="M19" s="387">
        <f>C19</f>
        <v>0</v>
      </c>
      <c r="O19" s="386">
        <f t="shared" ref="O19:U34" ca="1" si="17">O18</f>
        <v>0</v>
      </c>
      <c r="P19" s="387" t="e">
        <f t="shared" ca="1" si="17"/>
        <v>#N/A</v>
      </c>
      <c r="Q19" s="382" t="e">
        <f t="shared" ca="1" si="10"/>
        <v>#N/A</v>
      </c>
      <c r="R19" s="382" t="e">
        <f t="shared" ca="1" si="11"/>
        <v>#N/A</v>
      </c>
      <c r="S19" s="383" t="e">
        <f t="shared" ca="1" si="12"/>
        <v>#N/A</v>
      </c>
      <c r="T19" s="386">
        <f t="shared" ca="1" si="17"/>
        <v>0</v>
      </c>
      <c r="U19" s="387" t="e">
        <f t="shared" ca="1" si="17"/>
        <v>#N/A</v>
      </c>
      <c r="V19" s="382" t="e">
        <f t="shared" ca="1" si="13"/>
        <v>#N/A</v>
      </c>
      <c r="W19" s="382" t="e">
        <f t="shared" ca="1" si="14"/>
        <v>#N/A</v>
      </c>
      <c r="X19" s="383" t="e">
        <f t="shared" ca="1" si="15"/>
        <v>#N/A</v>
      </c>
      <c r="Y19" s="384" t="e">
        <f t="shared" ref="Y19:Y47" ca="1" si="18">Q19*S19+IF(W19=0,0,V19*X19)</f>
        <v>#N/A</v>
      </c>
      <c r="Z19" s="385">
        <f>C19</f>
        <v>0</v>
      </c>
      <c r="AB19" s="287">
        <v>1026</v>
      </c>
      <c r="AC19" s="276">
        <f t="shared" ref="AC19:AC47" si="19">(1028-1024)/2/AB19</f>
        <v>1.9493177387914229E-3</v>
      </c>
      <c r="AD19" s="288">
        <f>ABS(AB19*AC19)</f>
        <v>2</v>
      </c>
      <c r="AF19" s="278">
        <f>AF18</f>
        <v>0</v>
      </c>
      <c r="AG19" s="278" t="e">
        <f>AG18</f>
        <v>#N/A</v>
      </c>
      <c r="AH19" s="275" t="e">
        <f>G19*AG19</f>
        <v>#N/A</v>
      </c>
      <c r="AI19" s="282" t="e">
        <f t="shared" ref="AI19:AI47" si="20">999.8/(1+0.000088*(AF19-0))/(1-(AH19-100000)/(2.15*10^9))</f>
        <v>#N/A</v>
      </c>
      <c r="AJ19" s="276" t="e">
        <f t="shared" ref="AJ19:AJ47" si="21">(AI19-1000)/AI19</f>
        <v>#N/A</v>
      </c>
      <c r="AK19" s="283" t="e">
        <f t="shared" ref="AK19:AK47" si="22">ABS(AI19*AJ19)</f>
        <v>#N/A</v>
      </c>
      <c r="AR19" s="62"/>
      <c r="AS19" s="62"/>
      <c r="AT19" s="62"/>
      <c r="AU19" s="62"/>
      <c r="AV19" s="62"/>
      <c r="AW19" s="62"/>
      <c r="AX19" s="62"/>
    </row>
    <row r="20" spans="2:50" ht="15" customHeight="1">
      <c r="B20" s="390">
        <f>Pressure_3_R1!B6</f>
        <v>0</v>
      </c>
      <c r="C20" s="391">
        <f>Pressure_3_R1!D6</f>
        <v>0</v>
      </c>
      <c r="D20" s="395">
        <f t="shared" ref="D20:D47" si="23">D19</f>
        <v>0</v>
      </c>
      <c r="E20" s="392">
        <f t="shared" si="8"/>
        <v>0</v>
      </c>
      <c r="F20" s="393">
        <f t="shared" si="9"/>
        <v>0</v>
      </c>
      <c r="G20" s="389">
        <f>E20*B20+F20</f>
        <v>0</v>
      </c>
      <c r="I20" s="386">
        <f t="shared" ca="1" si="16"/>
        <v>0</v>
      </c>
      <c r="J20" s="387" t="e">
        <f t="shared" ca="1" si="16"/>
        <v>#N/A</v>
      </c>
      <c r="K20" s="400" t="e">
        <f t="shared" ca="1" si="16"/>
        <v>#N/A</v>
      </c>
      <c r="L20" s="399" t="e">
        <f ca="1">IF(J20="% of Reading",G20*I20%,IF(J20="% of F.S",D20*I20%,I20*K20))</f>
        <v>#N/A</v>
      </c>
      <c r="M20" s="387">
        <f>C20</f>
        <v>0</v>
      </c>
      <c r="O20" s="386">
        <f t="shared" ca="1" si="17"/>
        <v>0</v>
      </c>
      <c r="P20" s="387" t="e">
        <f t="shared" ca="1" si="17"/>
        <v>#N/A</v>
      </c>
      <c r="Q20" s="382" t="e">
        <f t="shared" ca="1" si="10"/>
        <v>#N/A</v>
      </c>
      <c r="R20" s="382" t="e">
        <f t="shared" ca="1" si="11"/>
        <v>#N/A</v>
      </c>
      <c r="S20" s="383" t="e">
        <f t="shared" ca="1" si="12"/>
        <v>#N/A</v>
      </c>
      <c r="T20" s="386">
        <f t="shared" ca="1" si="17"/>
        <v>0</v>
      </c>
      <c r="U20" s="387" t="e">
        <f t="shared" ca="1" si="17"/>
        <v>#N/A</v>
      </c>
      <c r="V20" s="382" t="e">
        <f t="shared" ca="1" si="13"/>
        <v>#N/A</v>
      </c>
      <c r="W20" s="382" t="e">
        <f t="shared" ca="1" si="14"/>
        <v>#N/A</v>
      </c>
      <c r="X20" s="383" t="e">
        <f t="shared" ca="1" si="15"/>
        <v>#N/A</v>
      </c>
      <c r="Y20" s="384" t="e">
        <f t="shared" ca="1" si="18"/>
        <v>#N/A</v>
      </c>
      <c r="Z20" s="385">
        <f>C20</f>
        <v>0</v>
      </c>
      <c r="AB20" s="287">
        <v>1026</v>
      </c>
      <c r="AC20" s="276">
        <f t="shared" si="19"/>
        <v>1.9493177387914229E-3</v>
      </c>
      <c r="AD20" s="288">
        <f t="shared" ref="AD20:AD47" si="24">ABS(AB20*AC20)</f>
        <v>2</v>
      </c>
      <c r="AF20" s="278">
        <f t="shared" ref="AF20:AG35" si="25">AF19</f>
        <v>0</v>
      </c>
      <c r="AG20" s="278" t="e">
        <f t="shared" si="25"/>
        <v>#N/A</v>
      </c>
      <c r="AH20" s="275" t="e">
        <f>G20*AG20</f>
        <v>#N/A</v>
      </c>
      <c r="AI20" s="282" t="e">
        <f t="shared" si="20"/>
        <v>#N/A</v>
      </c>
      <c r="AJ20" s="276" t="e">
        <f t="shared" si="21"/>
        <v>#N/A</v>
      </c>
      <c r="AK20" s="283" t="e">
        <f t="shared" si="22"/>
        <v>#N/A</v>
      </c>
      <c r="AR20" s="62"/>
      <c r="AS20" s="62"/>
      <c r="AT20" s="62"/>
      <c r="AU20" s="62"/>
      <c r="AV20" s="62"/>
      <c r="AW20" s="62"/>
      <c r="AX20" s="62"/>
    </row>
    <row r="21" spans="2:50" ht="15" customHeight="1">
      <c r="B21" s="390">
        <f>Pressure_3_R1!B7</f>
        <v>0</v>
      </c>
      <c r="C21" s="391">
        <f>Pressure_3_R1!D7</f>
        <v>0</v>
      </c>
      <c r="D21" s="395">
        <f t="shared" si="23"/>
        <v>0</v>
      </c>
      <c r="E21" s="392">
        <f t="shared" si="8"/>
        <v>0</v>
      </c>
      <c r="F21" s="393">
        <f t="shared" si="9"/>
        <v>0</v>
      </c>
      <c r="G21" s="389">
        <f>E21*B21+F21</f>
        <v>0</v>
      </c>
      <c r="I21" s="386">
        <f t="shared" ca="1" si="16"/>
        <v>0</v>
      </c>
      <c r="J21" s="387" t="e">
        <f t="shared" ca="1" si="16"/>
        <v>#N/A</v>
      </c>
      <c r="K21" s="400" t="e">
        <f t="shared" ca="1" si="16"/>
        <v>#N/A</v>
      </c>
      <c r="L21" s="399" t="e">
        <f ca="1">IF(J21="% of Reading",G21*I21%,IF(J21="% of F.S",D21*I21%,I21*K21))</f>
        <v>#N/A</v>
      </c>
      <c r="M21" s="387">
        <f>C21</f>
        <v>0</v>
      </c>
      <c r="O21" s="386">
        <f t="shared" ca="1" si="17"/>
        <v>0</v>
      </c>
      <c r="P21" s="387" t="e">
        <f t="shared" ca="1" si="17"/>
        <v>#N/A</v>
      </c>
      <c r="Q21" s="382" t="e">
        <f t="shared" ca="1" si="10"/>
        <v>#N/A</v>
      </c>
      <c r="R21" s="382" t="e">
        <f t="shared" ca="1" si="11"/>
        <v>#N/A</v>
      </c>
      <c r="S21" s="383" t="e">
        <f t="shared" ca="1" si="12"/>
        <v>#N/A</v>
      </c>
      <c r="T21" s="386">
        <f t="shared" ca="1" si="17"/>
        <v>0</v>
      </c>
      <c r="U21" s="387" t="e">
        <f t="shared" ca="1" si="17"/>
        <v>#N/A</v>
      </c>
      <c r="V21" s="382" t="e">
        <f t="shared" ca="1" si="13"/>
        <v>#N/A</v>
      </c>
      <c r="W21" s="382" t="e">
        <f t="shared" ca="1" si="14"/>
        <v>#N/A</v>
      </c>
      <c r="X21" s="383" t="e">
        <f t="shared" ca="1" si="15"/>
        <v>#N/A</v>
      </c>
      <c r="Y21" s="384" t="e">
        <f t="shared" ca="1" si="18"/>
        <v>#N/A</v>
      </c>
      <c r="Z21" s="385">
        <f>C21</f>
        <v>0</v>
      </c>
      <c r="AB21" s="287">
        <v>1026</v>
      </c>
      <c r="AC21" s="276">
        <f t="shared" si="19"/>
        <v>1.9493177387914229E-3</v>
      </c>
      <c r="AD21" s="288">
        <f t="shared" si="24"/>
        <v>2</v>
      </c>
      <c r="AF21" s="278">
        <f t="shared" si="25"/>
        <v>0</v>
      </c>
      <c r="AG21" s="278" t="e">
        <f t="shared" si="25"/>
        <v>#N/A</v>
      </c>
      <c r="AH21" s="275" t="e">
        <f>G21*AG21</f>
        <v>#N/A</v>
      </c>
      <c r="AI21" s="282" t="e">
        <f t="shared" si="20"/>
        <v>#N/A</v>
      </c>
      <c r="AJ21" s="276" t="e">
        <f t="shared" si="21"/>
        <v>#N/A</v>
      </c>
      <c r="AK21" s="283" t="e">
        <f t="shared" si="22"/>
        <v>#N/A</v>
      </c>
      <c r="AR21" s="62"/>
      <c r="AS21" s="62"/>
      <c r="AT21" s="62"/>
      <c r="AU21" s="62"/>
      <c r="AV21" s="62"/>
      <c r="AW21" s="62"/>
      <c r="AX21" s="62"/>
    </row>
    <row r="22" spans="2:50" ht="15" customHeight="1">
      <c r="B22" s="390">
        <f>Pressure_3_R1!B8</f>
        <v>0</v>
      </c>
      <c r="C22" s="391">
        <f>Pressure_3_R1!D8</f>
        <v>0</v>
      </c>
      <c r="D22" s="395">
        <f t="shared" si="23"/>
        <v>0</v>
      </c>
      <c r="E22" s="392">
        <f t="shared" si="8"/>
        <v>0</v>
      </c>
      <c r="F22" s="393">
        <f t="shared" si="9"/>
        <v>0</v>
      </c>
      <c r="G22" s="389">
        <f>E22*B22+F22</f>
        <v>0</v>
      </c>
      <c r="I22" s="386">
        <f t="shared" ca="1" si="16"/>
        <v>0</v>
      </c>
      <c r="J22" s="387" t="e">
        <f t="shared" ca="1" si="16"/>
        <v>#N/A</v>
      </c>
      <c r="K22" s="400" t="e">
        <f t="shared" ca="1" si="16"/>
        <v>#N/A</v>
      </c>
      <c r="L22" s="399" t="e">
        <f ca="1">IF(J22="% of Reading",G22*I22%,IF(J22="% of F.S",D22*I22%,I22*K22))</f>
        <v>#N/A</v>
      </c>
      <c r="M22" s="387">
        <f>C22</f>
        <v>0</v>
      </c>
      <c r="O22" s="386">
        <f t="shared" ca="1" si="17"/>
        <v>0</v>
      </c>
      <c r="P22" s="387" t="e">
        <f t="shared" ca="1" si="17"/>
        <v>#N/A</v>
      </c>
      <c r="Q22" s="382" t="e">
        <f t="shared" ca="1" si="10"/>
        <v>#N/A</v>
      </c>
      <c r="R22" s="382" t="e">
        <f t="shared" ca="1" si="11"/>
        <v>#N/A</v>
      </c>
      <c r="S22" s="383" t="e">
        <f t="shared" ca="1" si="12"/>
        <v>#N/A</v>
      </c>
      <c r="T22" s="386">
        <f t="shared" ca="1" si="17"/>
        <v>0</v>
      </c>
      <c r="U22" s="387" t="e">
        <f t="shared" ca="1" si="17"/>
        <v>#N/A</v>
      </c>
      <c r="V22" s="382" t="e">
        <f t="shared" ca="1" si="13"/>
        <v>#N/A</v>
      </c>
      <c r="W22" s="382" t="e">
        <f t="shared" ca="1" si="14"/>
        <v>#N/A</v>
      </c>
      <c r="X22" s="383" t="e">
        <f t="shared" ca="1" si="15"/>
        <v>#N/A</v>
      </c>
      <c r="Y22" s="384" t="e">
        <f t="shared" ca="1" si="18"/>
        <v>#N/A</v>
      </c>
      <c r="Z22" s="385">
        <f>C22</f>
        <v>0</v>
      </c>
      <c r="AB22" s="287">
        <v>1026</v>
      </c>
      <c r="AC22" s="276">
        <f t="shared" si="19"/>
        <v>1.9493177387914229E-3</v>
      </c>
      <c r="AD22" s="288">
        <f t="shared" si="24"/>
        <v>2</v>
      </c>
      <c r="AF22" s="278">
        <f t="shared" si="25"/>
        <v>0</v>
      </c>
      <c r="AG22" s="278" t="e">
        <f t="shared" si="25"/>
        <v>#N/A</v>
      </c>
      <c r="AH22" s="275" t="e">
        <f>G22*AG22</f>
        <v>#N/A</v>
      </c>
      <c r="AI22" s="282" t="e">
        <f t="shared" si="20"/>
        <v>#N/A</v>
      </c>
      <c r="AJ22" s="276" t="e">
        <f t="shared" si="21"/>
        <v>#N/A</v>
      </c>
      <c r="AK22" s="283" t="e">
        <f t="shared" si="22"/>
        <v>#N/A</v>
      </c>
      <c r="AR22" s="62"/>
      <c r="AS22" s="62"/>
      <c r="AT22" s="62"/>
      <c r="AU22" s="62"/>
      <c r="AV22" s="62"/>
      <c r="AW22" s="62"/>
      <c r="AX22" s="62"/>
    </row>
    <row r="23" spans="2:50" ht="15" customHeight="1">
      <c r="B23" s="390">
        <f>Pressure_3_R1!B9</f>
        <v>0</v>
      </c>
      <c r="C23" s="391">
        <f>Pressure_3_R1!D9</f>
        <v>0</v>
      </c>
      <c r="D23" s="395">
        <f t="shared" si="23"/>
        <v>0</v>
      </c>
      <c r="E23" s="392">
        <f t="shared" si="8"/>
        <v>0</v>
      </c>
      <c r="F23" s="393">
        <f t="shared" si="9"/>
        <v>0</v>
      </c>
      <c r="G23" s="389">
        <f>E23*B23+F23</f>
        <v>0</v>
      </c>
      <c r="I23" s="386">
        <f t="shared" ca="1" si="16"/>
        <v>0</v>
      </c>
      <c r="J23" s="387" t="e">
        <f t="shared" ca="1" si="16"/>
        <v>#N/A</v>
      </c>
      <c r="K23" s="400" t="e">
        <f t="shared" ca="1" si="16"/>
        <v>#N/A</v>
      </c>
      <c r="L23" s="399" t="e">
        <f ca="1">IF(J23="% of Reading",G23*I23%,IF(J23="% of F.S",D23*I23%,I23*K23))</f>
        <v>#N/A</v>
      </c>
      <c r="M23" s="387">
        <f>C23</f>
        <v>0</v>
      </c>
      <c r="O23" s="386">
        <f t="shared" ca="1" si="17"/>
        <v>0</v>
      </c>
      <c r="P23" s="387" t="e">
        <f t="shared" ca="1" si="17"/>
        <v>#N/A</v>
      </c>
      <c r="Q23" s="382" t="e">
        <f t="shared" ca="1" si="10"/>
        <v>#N/A</v>
      </c>
      <c r="R23" s="382" t="e">
        <f t="shared" ca="1" si="11"/>
        <v>#N/A</v>
      </c>
      <c r="S23" s="383" t="e">
        <f t="shared" ca="1" si="12"/>
        <v>#N/A</v>
      </c>
      <c r="T23" s="386">
        <f t="shared" ca="1" si="17"/>
        <v>0</v>
      </c>
      <c r="U23" s="387" t="e">
        <f t="shared" ca="1" si="17"/>
        <v>#N/A</v>
      </c>
      <c r="V23" s="382" t="e">
        <f t="shared" ca="1" si="13"/>
        <v>#N/A</v>
      </c>
      <c r="W23" s="382" t="e">
        <f t="shared" ca="1" si="14"/>
        <v>#N/A</v>
      </c>
      <c r="X23" s="383" t="e">
        <f t="shared" ca="1" si="15"/>
        <v>#N/A</v>
      </c>
      <c r="Y23" s="384" t="e">
        <f t="shared" ca="1" si="18"/>
        <v>#N/A</v>
      </c>
      <c r="Z23" s="385">
        <f>C23</f>
        <v>0</v>
      </c>
      <c r="AB23" s="287">
        <v>1026</v>
      </c>
      <c r="AC23" s="276">
        <f t="shared" si="19"/>
        <v>1.9493177387914229E-3</v>
      </c>
      <c r="AD23" s="288">
        <f t="shared" si="24"/>
        <v>2</v>
      </c>
      <c r="AF23" s="278">
        <f t="shared" si="25"/>
        <v>0</v>
      </c>
      <c r="AG23" s="278" t="e">
        <f t="shared" si="25"/>
        <v>#N/A</v>
      </c>
      <c r="AH23" s="275" t="e">
        <f>G23*AG23</f>
        <v>#N/A</v>
      </c>
      <c r="AI23" s="282" t="e">
        <f t="shared" si="20"/>
        <v>#N/A</v>
      </c>
      <c r="AJ23" s="276" t="e">
        <f t="shared" si="21"/>
        <v>#N/A</v>
      </c>
      <c r="AK23" s="283" t="e">
        <f t="shared" si="22"/>
        <v>#N/A</v>
      </c>
      <c r="AR23" s="62"/>
      <c r="AS23" s="62"/>
      <c r="AT23" s="62"/>
      <c r="AU23" s="62"/>
      <c r="AV23" s="62"/>
      <c r="AW23" s="62"/>
      <c r="AX23" s="62"/>
    </row>
    <row r="24" spans="2:50" ht="15" customHeight="1">
      <c r="B24" s="390">
        <f>Pressure_3_R1!B10</f>
        <v>0</v>
      </c>
      <c r="C24" s="391">
        <f>Pressure_3_R1!D10</f>
        <v>0</v>
      </c>
      <c r="D24" s="395">
        <f t="shared" si="23"/>
        <v>0</v>
      </c>
      <c r="E24" s="392">
        <f t="shared" si="8"/>
        <v>0</v>
      </c>
      <c r="F24" s="393">
        <f t="shared" si="9"/>
        <v>0</v>
      </c>
      <c r="G24" s="389">
        <f>E24*B24+F24</f>
        <v>0</v>
      </c>
      <c r="I24" s="386">
        <f t="shared" ca="1" si="16"/>
        <v>0</v>
      </c>
      <c r="J24" s="387" t="e">
        <f t="shared" ca="1" si="16"/>
        <v>#N/A</v>
      </c>
      <c r="K24" s="400" t="e">
        <f t="shared" ca="1" si="16"/>
        <v>#N/A</v>
      </c>
      <c r="L24" s="399" t="e">
        <f ca="1">IF(J24="% of Reading",G24*I24%,IF(J24="% of F.S",D24*I24%,I24*K24))</f>
        <v>#N/A</v>
      </c>
      <c r="M24" s="387">
        <f>C24</f>
        <v>0</v>
      </c>
      <c r="O24" s="386">
        <f t="shared" ca="1" si="17"/>
        <v>0</v>
      </c>
      <c r="P24" s="387" t="e">
        <f t="shared" ca="1" si="17"/>
        <v>#N/A</v>
      </c>
      <c r="Q24" s="382" t="e">
        <f t="shared" ca="1" si="10"/>
        <v>#N/A</v>
      </c>
      <c r="R24" s="382" t="e">
        <f t="shared" ca="1" si="11"/>
        <v>#N/A</v>
      </c>
      <c r="S24" s="383" t="e">
        <f t="shared" ca="1" si="12"/>
        <v>#N/A</v>
      </c>
      <c r="T24" s="386">
        <f t="shared" ca="1" si="17"/>
        <v>0</v>
      </c>
      <c r="U24" s="387" t="e">
        <f t="shared" ca="1" si="17"/>
        <v>#N/A</v>
      </c>
      <c r="V24" s="382" t="e">
        <f t="shared" ca="1" si="13"/>
        <v>#N/A</v>
      </c>
      <c r="W24" s="382" t="e">
        <f t="shared" ca="1" si="14"/>
        <v>#N/A</v>
      </c>
      <c r="X24" s="383" t="e">
        <f t="shared" ca="1" si="15"/>
        <v>#N/A</v>
      </c>
      <c r="Y24" s="384" t="e">
        <f t="shared" ca="1" si="18"/>
        <v>#N/A</v>
      </c>
      <c r="Z24" s="385">
        <f>C24</f>
        <v>0</v>
      </c>
      <c r="AB24" s="287">
        <v>1026</v>
      </c>
      <c r="AC24" s="276">
        <f t="shared" si="19"/>
        <v>1.9493177387914229E-3</v>
      </c>
      <c r="AD24" s="288">
        <f t="shared" si="24"/>
        <v>2</v>
      </c>
      <c r="AF24" s="278">
        <f t="shared" si="25"/>
        <v>0</v>
      </c>
      <c r="AG24" s="278" t="e">
        <f t="shared" si="25"/>
        <v>#N/A</v>
      </c>
      <c r="AH24" s="275" t="e">
        <f>G24*AG24</f>
        <v>#N/A</v>
      </c>
      <c r="AI24" s="282" t="e">
        <f t="shared" si="20"/>
        <v>#N/A</v>
      </c>
      <c r="AJ24" s="276" t="e">
        <f t="shared" si="21"/>
        <v>#N/A</v>
      </c>
      <c r="AK24" s="283" t="e">
        <f t="shared" si="22"/>
        <v>#N/A</v>
      </c>
      <c r="AR24" s="62"/>
      <c r="AS24" s="62"/>
      <c r="AT24" s="62"/>
      <c r="AU24" s="62"/>
      <c r="AV24" s="62"/>
      <c r="AW24" s="62"/>
      <c r="AX24" s="62"/>
    </row>
    <row r="25" spans="2:50" ht="15" customHeight="1">
      <c r="B25" s="390">
        <f>Pressure_3_R1!B11</f>
        <v>0</v>
      </c>
      <c r="C25" s="391">
        <f>Pressure_3_R1!D11</f>
        <v>0</v>
      </c>
      <c r="D25" s="395">
        <f t="shared" si="23"/>
        <v>0</v>
      </c>
      <c r="E25" s="392">
        <f t="shared" si="8"/>
        <v>0</v>
      </c>
      <c r="F25" s="393">
        <f t="shared" si="9"/>
        <v>0</v>
      </c>
      <c r="G25" s="389">
        <f>E25*B25+F25</f>
        <v>0</v>
      </c>
      <c r="I25" s="386">
        <f t="shared" ca="1" si="16"/>
        <v>0</v>
      </c>
      <c r="J25" s="387" t="e">
        <f t="shared" ca="1" si="16"/>
        <v>#N/A</v>
      </c>
      <c r="K25" s="400" t="e">
        <f t="shared" ca="1" si="16"/>
        <v>#N/A</v>
      </c>
      <c r="L25" s="399" t="e">
        <f ca="1">IF(J25="% of Reading",G25*I25%,IF(J25="% of F.S",D25*I25%,I25*K25))</f>
        <v>#N/A</v>
      </c>
      <c r="M25" s="387">
        <f>C25</f>
        <v>0</v>
      </c>
      <c r="O25" s="386">
        <f t="shared" ca="1" si="17"/>
        <v>0</v>
      </c>
      <c r="P25" s="387" t="e">
        <f t="shared" ca="1" si="17"/>
        <v>#N/A</v>
      </c>
      <c r="Q25" s="382" t="e">
        <f t="shared" ca="1" si="10"/>
        <v>#N/A</v>
      </c>
      <c r="R25" s="382" t="e">
        <f t="shared" ca="1" si="11"/>
        <v>#N/A</v>
      </c>
      <c r="S25" s="383" t="e">
        <f t="shared" ca="1" si="12"/>
        <v>#N/A</v>
      </c>
      <c r="T25" s="386">
        <f t="shared" ca="1" si="17"/>
        <v>0</v>
      </c>
      <c r="U25" s="387" t="e">
        <f t="shared" ca="1" si="17"/>
        <v>#N/A</v>
      </c>
      <c r="V25" s="382" t="e">
        <f t="shared" ca="1" si="13"/>
        <v>#N/A</v>
      </c>
      <c r="W25" s="382" t="e">
        <f t="shared" ca="1" si="14"/>
        <v>#N/A</v>
      </c>
      <c r="X25" s="383" t="e">
        <f t="shared" ca="1" si="15"/>
        <v>#N/A</v>
      </c>
      <c r="Y25" s="384" t="e">
        <f t="shared" ca="1" si="18"/>
        <v>#N/A</v>
      </c>
      <c r="Z25" s="385">
        <f>C25</f>
        <v>0</v>
      </c>
      <c r="AB25" s="287">
        <v>1026</v>
      </c>
      <c r="AC25" s="276">
        <f t="shared" si="19"/>
        <v>1.9493177387914229E-3</v>
      </c>
      <c r="AD25" s="288">
        <f t="shared" si="24"/>
        <v>2</v>
      </c>
      <c r="AF25" s="278">
        <f t="shared" si="25"/>
        <v>0</v>
      </c>
      <c r="AG25" s="278" t="e">
        <f t="shared" si="25"/>
        <v>#N/A</v>
      </c>
      <c r="AH25" s="275" t="e">
        <f>G25*AG25</f>
        <v>#N/A</v>
      </c>
      <c r="AI25" s="282" t="e">
        <f t="shared" si="20"/>
        <v>#N/A</v>
      </c>
      <c r="AJ25" s="276" t="e">
        <f t="shared" si="21"/>
        <v>#N/A</v>
      </c>
      <c r="AK25" s="283" t="e">
        <f t="shared" si="22"/>
        <v>#N/A</v>
      </c>
      <c r="AL25" s="134"/>
      <c r="AR25" s="62"/>
      <c r="AS25" s="62"/>
      <c r="AT25" s="62"/>
      <c r="AU25" s="62"/>
      <c r="AV25" s="62"/>
      <c r="AW25" s="62"/>
      <c r="AX25" s="62"/>
    </row>
    <row r="26" spans="2:50" ht="15" customHeight="1">
      <c r="B26" s="390">
        <f>Pressure_3_R1!B12</f>
        <v>0</v>
      </c>
      <c r="C26" s="391">
        <f>Pressure_3_R1!D12</f>
        <v>0</v>
      </c>
      <c r="D26" s="395">
        <f t="shared" si="23"/>
        <v>0</v>
      </c>
      <c r="E26" s="392">
        <f t="shared" si="8"/>
        <v>0</v>
      </c>
      <c r="F26" s="393">
        <f t="shared" si="9"/>
        <v>0</v>
      </c>
      <c r="G26" s="389">
        <f>E26*B26+F26</f>
        <v>0</v>
      </c>
      <c r="I26" s="386">
        <f t="shared" ca="1" si="16"/>
        <v>0</v>
      </c>
      <c r="J26" s="387" t="e">
        <f t="shared" ca="1" si="16"/>
        <v>#N/A</v>
      </c>
      <c r="K26" s="400" t="e">
        <f t="shared" ca="1" si="16"/>
        <v>#N/A</v>
      </c>
      <c r="L26" s="399" t="e">
        <f ca="1">IF(J26="% of Reading",G26*I26%,IF(J26="% of F.S",D26*I26%,I26*K26))</f>
        <v>#N/A</v>
      </c>
      <c r="M26" s="387">
        <f>C26</f>
        <v>0</v>
      </c>
      <c r="O26" s="386">
        <f t="shared" ca="1" si="17"/>
        <v>0</v>
      </c>
      <c r="P26" s="387" t="e">
        <f t="shared" ca="1" si="17"/>
        <v>#N/A</v>
      </c>
      <c r="Q26" s="382" t="e">
        <f t="shared" ca="1" si="10"/>
        <v>#N/A</v>
      </c>
      <c r="R26" s="382" t="e">
        <f t="shared" ca="1" si="11"/>
        <v>#N/A</v>
      </c>
      <c r="S26" s="383" t="e">
        <f t="shared" ca="1" si="12"/>
        <v>#N/A</v>
      </c>
      <c r="T26" s="386">
        <f t="shared" ca="1" si="17"/>
        <v>0</v>
      </c>
      <c r="U26" s="387" t="e">
        <f t="shared" ca="1" si="17"/>
        <v>#N/A</v>
      </c>
      <c r="V26" s="382" t="e">
        <f t="shared" ca="1" si="13"/>
        <v>#N/A</v>
      </c>
      <c r="W26" s="382" t="e">
        <f t="shared" ca="1" si="14"/>
        <v>#N/A</v>
      </c>
      <c r="X26" s="383" t="e">
        <f t="shared" ca="1" si="15"/>
        <v>#N/A</v>
      </c>
      <c r="Y26" s="384" t="e">
        <f t="shared" ca="1" si="18"/>
        <v>#N/A</v>
      </c>
      <c r="Z26" s="385">
        <f>C26</f>
        <v>0</v>
      </c>
      <c r="AB26" s="287">
        <v>1026</v>
      </c>
      <c r="AC26" s="276">
        <f t="shared" si="19"/>
        <v>1.9493177387914229E-3</v>
      </c>
      <c r="AD26" s="288">
        <f t="shared" si="24"/>
        <v>2</v>
      </c>
      <c r="AF26" s="278">
        <f t="shared" si="25"/>
        <v>0</v>
      </c>
      <c r="AG26" s="278" t="e">
        <f t="shared" si="25"/>
        <v>#N/A</v>
      </c>
      <c r="AH26" s="275" t="e">
        <f>G26*AG26</f>
        <v>#N/A</v>
      </c>
      <c r="AI26" s="282" t="e">
        <f t="shared" si="20"/>
        <v>#N/A</v>
      </c>
      <c r="AJ26" s="276" t="e">
        <f t="shared" si="21"/>
        <v>#N/A</v>
      </c>
      <c r="AK26" s="283" t="e">
        <f t="shared" si="22"/>
        <v>#N/A</v>
      </c>
      <c r="AL26" s="134"/>
      <c r="AR26" s="62"/>
      <c r="AS26" s="62"/>
      <c r="AT26" s="62"/>
      <c r="AU26" s="62"/>
      <c r="AV26" s="62"/>
      <c r="AW26" s="62"/>
      <c r="AX26" s="62"/>
    </row>
    <row r="27" spans="2:50" ht="15" customHeight="1">
      <c r="B27" s="390">
        <f>Pressure_3_R1!B13</f>
        <v>0</v>
      </c>
      <c r="C27" s="391">
        <f>Pressure_3_R1!D13</f>
        <v>0</v>
      </c>
      <c r="D27" s="395">
        <f t="shared" si="23"/>
        <v>0</v>
      </c>
      <c r="E27" s="392">
        <f t="shared" si="8"/>
        <v>0</v>
      </c>
      <c r="F27" s="393">
        <f t="shared" si="9"/>
        <v>0</v>
      </c>
      <c r="G27" s="389">
        <f>E27*B27+F27</f>
        <v>0</v>
      </c>
      <c r="I27" s="386">
        <f t="shared" ca="1" si="16"/>
        <v>0</v>
      </c>
      <c r="J27" s="387" t="e">
        <f t="shared" ca="1" si="16"/>
        <v>#N/A</v>
      </c>
      <c r="K27" s="400" t="e">
        <f t="shared" ca="1" si="16"/>
        <v>#N/A</v>
      </c>
      <c r="L27" s="399" t="e">
        <f ca="1">IF(J27="% of Reading",G27*I27%,IF(J27="% of F.S",D27*I27%,I27*K27))</f>
        <v>#N/A</v>
      </c>
      <c r="M27" s="387">
        <f>C27</f>
        <v>0</v>
      </c>
      <c r="O27" s="386">
        <f t="shared" ca="1" si="17"/>
        <v>0</v>
      </c>
      <c r="P27" s="387" t="e">
        <f t="shared" ca="1" si="17"/>
        <v>#N/A</v>
      </c>
      <c r="Q27" s="382" t="e">
        <f t="shared" ca="1" si="10"/>
        <v>#N/A</v>
      </c>
      <c r="R27" s="382" t="e">
        <f t="shared" ca="1" si="11"/>
        <v>#N/A</v>
      </c>
      <c r="S27" s="383" t="e">
        <f t="shared" ca="1" si="12"/>
        <v>#N/A</v>
      </c>
      <c r="T27" s="386">
        <f t="shared" ca="1" si="17"/>
        <v>0</v>
      </c>
      <c r="U27" s="387" t="e">
        <f t="shared" ca="1" si="17"/>
        <v>#N/A</v>
      </c>
      <c r="V27" s="382" t="e">
        <f t="shared" ca="1" si="13"/>
        <v>#N/A</v>
      </c>
      <c r="W27" s="382" t="e">
        <f t="shared" ca="1" si="14"/>
        <v>#N/A</v>
      </c>
      <c r="X27" s="383" t="e">
        <f t="shared" ca="1" si="15"/>
        <v>#N/A</v>
      </c>
      <c r="Y27" s="384" t="e">
        <f t="shared" ca="1" si="18"/>
        <v>#N/A</v>
      </c>
      <c r="Z27" s="385">
        <f>C27</f>
        <v>0</v>
      </c>
      <c r="AB27" s="287">
        <v>1026</v>
      </c>
      <c r="AC27" s="276">
        <f t="shared" si="19"/>
        <v>1.9493177387914229E-3</v>
      </c>
      <c r="AD27" s="288">
        <f t="shared" si="24"/>
        <v>2</v>
      </c>
      <c r="AF27" s="278">
        <f t="shared" si="25"/>
        <v>0</v>
      </c>
      <c r="AG27" s="278" t="e">
        <f t="shared" si="25"/>
        <v>#N/A</v>
      </c>
      <c r="AH27" s="275" t="e">
        <f>G27*AG27</f>
        <v>#N/A</v>
      </c>
      <c r="AI27" s="282" t="e">
        <f t="shared" si="20"/>
        <v>#N/A</v>
      </c>
      <c r="AJ27" s="276" t="e">
        <f t="shared" si="21"/>
        <v>#N/A</v>
      </c>
      <c r="AK27" s="283" t="e">
        <f t="shared" si="22"/>
        <v>#N/A</v>
      </c>
      <c r="AL27" s="134"/>
      <c r="AR27" s="62"/>
      <c r="AS27" s="62"/>
      <c r="AT27" s="62"/>
      <c r="AU27" s="62"/>
      <c r="AV27" s="62"/>
      <c r="AW27" s="62"/>
      <c r="AX27" s="62"/>
    </row>
    <row r="28" spans="2:50" ht="15" customHeight="1">
      <c r="B28" s="390">
        <f>Pressure_3_R1!B14</f>
        <v>0</v>
      </c>
      <c r="C28" s="391">
        <f>Pressure_3_R1!D14</f>
        <v>0</v>
      </c>
      <c r="D28" s="395">
        <f t="shared" si="23"/>
        <v>0</v>
      </c>
      <c r="E28" s="392">
        <f t="shared" si="8"/>
        <v>0</v>
      </c>
      <c r="F28" s="393">
        <f t="shared" si="9"/>
        <v>0</v>
      </c>
      <c r="G28" s="389">
        <f>E28*B28+F28</f>
        <v>0</v>
      </c>
      <c r="I28" s="386">
        <f t="shared" ca="1" si="16"/>
        <v>0</v>
      </c>
      <c r="J28" s="387" t="e">
        <f t="shared" ca="1" si="16"/>
        <v>#N/A</v>
      </c>
      <c r="K28" s="400" t="e">
        <f t="shared" ca="1" si="16"/>
        <v>#N/A</v>
      </c>
      <c r="L28" s="399" t="e">
        <f ca="1">IF(J28="% of Reading",G28*I28%,IF(J28="% of F.S",D28*I28%,I28*K28))</f>
        <v>#N/A</v>
      </c>
      <c r="M28" s="387">
        <f>C28</f>
        <v>0</v>
      </c>
      <c r="O28" s="386">
        <f t="shared" ca="1" si="17"/>
        <v>0</v>
      </c>
      <c r="P28" s="387" t="e">
        <f t="shared" ca="1" si="17"/>
        <v>#N/A</v>
      </c>
      <c r="Q28" s="382" t="e">
        <f t="shared" ca="1" si="10"/>
        <v>#N/A</v>
      </c>
      <c r="R28" s="382" t="e">
        <f t="shared" ca="1" si="11"/>
        <v>#N/A</v>
      </c>
      <c r="S28" s="383" t="e">
        <f t="shared" ca="1" si="12"/>
        <v>#N/A</v>
      </c>
      <c r="T28" s="386">
        <f t="shared" ca="1" si="17"/>
        <v>0</v>
      </c>
      <c r="U28" s="387" t="e">
        <f t="shared" ca="1" si="17"/>
        <v>#N/A</v>
      </c>
      <c r="V28" s="382" t="e">
        <f t="shared" ca="1" si="13"/>
        <v>#N/A</v>
      </c>
      <c r="W28" s="382" t="e">
        <f t="shared" ca="1" si="14"/>
        <v>#N/A</v>
      </c>
      <c r="X28" s="383" t="e">
        <f t="shared" ca="1" si="15"/>
        <v>#N/A</v>
      </c>
      <c r="Y28" s="384" t="e">
        <f t="shared" ca="1" si="18"/>
        <v>#N/A</v>
      </c>
      <c r="Z28" s="385">
        <f>C28</f>
        <v>0</v>
      </c>
      <c r="AB28" s="287">
        <v>1026</v>
      </c>
      <c r="AC28" s="276">
        <f t="shared" si="19"/>
        <v>1.9493177387914229E-3</v>
      </c>
      <c r="AD28" s="288">
        <f t="shared" si="24"/>
        <v>2</v>
      </c>
      <c r="AF28" s="278">
        <f t="shared" si="25"/>
        <v>0</v>
      </c>
      <c r="AG28" s="278" t="e">
        <f t="shared" si="25"/>
        <v>#N/A</v>
      </c>
      <c r="AH28" s="275" t="e">
        <f>G28*AG28</f>
        <v>#N/A</v>
      </c>
      <c r="AI28" s="282" t="e">
        <f t="shared" si="20"/>
        <v>#N/A</v>
      </c>
      <c r="AJ28" s="276" t="e">
        <f t="shared" si="21"/>
        <v>#N/A</v>
      </c>
      <c r="AK28" s="283" t="e">
        <f t="shared" si="22"/>
        <v>#N/A</v>
      </c>
      <c r="AL28" s="134"/>
      <c r="AR28" s="62"/>
      <c r="AS28" s="62"/>
      <c r="AT28" s="62"/>
      <c r="AU28" s="62"/>
      <c r="AV28" s="62"/>
      <c r="AW28" s="62"/>
      <c r="AX28" s="62"/>
    </row>
    <row r="29" spans="2:50" ht="15" customHeight="1">
      <c r="B29" s="390">
        <f>Pressure_3_R1!B15</f>
        <v>0</v>
      </c>
      <c r="C29" s="391">
        <f>Pressure_3_R1!D15</f>
        <v>0</v>
      </c>
      <c r="D29" s="395">
        <f t="shared" si="23"/>
        <v>0</v>
      </c>
      <c r="E29" s="392">
        <f t="shared" si="8"/>
        <v>0</v>
      </c>
      <c r="F29" s="393">
        <f t="shared" si="9"/>
        <v>0</v>
      </c>
      <c r="G29" s="389">
        <f>E29*B29+F29</f>
        <v>0</v>
      </c>
      <c r="I29" s="386">
        <f t="shared" ca="1" si="16"/>
        <v>0</v>
      </c>
      <c r="J29" s="387" t="e">
        <f t="shared" ca="1" si="16"/>
        <v>#N/A</v>
      </c>
      <c r="K29" s="400" t="e">
        <f t="shared" ca="1" si="16"/>
        <v>#N/A</v>
      </c>
      <c r="L29" s="399" t="e">
        <f ca="1">IF(J29="% of Reading",G29*I29%,IF(J29="% of F.S",D29*I29%,I29*K29))</f>
        <v>#N/A</v>
      </c>
      <c r="M29" s="387">
        <f>C29</f>
        <v>0</v>
      </c>
      <c r="O29" s="386">
        <f t="shared" ca="1" si="17"/>
        <v>0</v>
      </c>
      <c r="P29" s="387" t="e">
        <f t="shared" ca="1" si="17"/>
        <v>#N/A</v>
      </c>
      <c r="Q29" s="382" t="e">
        <f t="shared" ca="1" si="10"/>
        <v>#N/A</v>
      </c>
      <c r="R29" s="382" t="e">
        <f t="shared" ca="1" si="11"/>
        <v>#N/A</v>
      </c>
      <c r="S29" s="383" t="e">
        <f t="shared" ca="1" si="12"/>
        <v>#N/A</v>
      </c>
      <c r="T29" s="386">
        <f t="shared" ca="1" si="17"/>
        <v>0</v>
      </c>
      <c r="U29" s="387" t="e">
        <f t="shared" ca="1" si="17"/>
        <v>#N/A</v>
      </c>
      <c r="V29" s="382" t="e">
        <f t="shared" ca="1" si="13"/>
        <v>#N/A</v>
      </c>
      <c r="W29" s="382" t="e">
        <f t="shared" ca="1" si="14"/>
        <v>#N/A</v>
      </c>
      <c r="X29" s="383" t="e">
        <f t="shared" ca="1" si="15"/>
        <v>#N/A</v>
      </c>
      <c r="Y29" s="384" t="e">
        <f t="shared" ca="1" si="18"/>
        <v>#N/A</v>
      </c>
      <c r="Z29" s="385">
        <f>C29</f>
        <v>0</v>
      </c>
      <c r="AB29" s="287">
        <v>1026</v>
      </c>
      <c r="AC29" s="276">
        <f t="shared" si="19"/>
        <v>1.9493177387914229E-3</v>
      </c>
      <c r="AD29" s="288">
        <f t="shared" si="24"/>
        <v>2</v>
      </c>
      <c r="AF29" s="278">
        <f t="shared" si="25"/>
        <v>0</v>
      </c>
      <c r="AG29" s="278" t="e">
        <f t="shared" si="25"/>
        <v>#N/A</v>
      </c>
      <c r="AH29" s="275" t="e">
        <f>G29*AG29</f>
        <v>#N/A</v>
      </c>
      <c r="AI29" s="282" t="e">
        <f t="shared" si="20"/>
        <v>#N/A</v>
      </c>
      <c r="AJ29" s="276" t="e">
        <f t="shared" si="21"/>
        <v>#N/A</v>
      </c>
      <c r="AK29" s="283" t="e">
        <f t="shared" si="22"/>
        <v>#N/A</v>
      </c>
      <c r="AL29" s="134"/>
      <c r="AR29" s="62"/>
      <c r="AS29" s="62"/>
      <c r="AT29" s="62"/>
      <c r="AU29" s="62"/>
      <c r="AV29" s="62"/>
      <c r="AW29" s="62"/>
      <c r="AX29" s="62"/>
    </row>
    <row r="30" spans="2:50" ht="15" customHeight="1">
      <c r="B30" s="390">
        <f>Pressure_3_R1!B16</f>
        <v>0</v>
      </c>
      <c r="C30" s="391">
        <f>Pressure_3_R1!D16</f>
        <v>0</v>
      </c>
      <c r="D30" s="395">
        <f t="shared" si="23"/>
        <v>0</v>
      </c>
      <c r="E30" s="392">
        <f t="shared" si="8"/>
        <v>0</v>
      </c>
      <c r="F30" s="393">
        <f t="shared" si="9"/>
        <v>0</v>
      </c>
      <c r="G30" s="389">
        <f>E30*B30+F30</f>
        <v>0</v>
      </c>
      <c r="I30" s="386">
        <f t="shared" ca="1" si="16"/>
        <v>0</v>
      </c>
      <c r="J30" s="387" t="e">
        <f t="shared" ca="1" si="16"/>
        <v>#N/A</v>
      </c>
      <c r="K30" s="400" t="e">
        <f t="shared" ca="1" si="16"/>
        <v>#N/A</v>
      </c>
      <c r="L30" s="399" t="e">
        <f ca="1">IF(J30="% of Reading",G30*I30%,IF(J30="% of F.S",D30*I30%,I30*K30))</f>
        <v>#N/A</v>
      </c>
      <c r="M30" s="387">
        <f>C30</f>
        <v>0</v>
      </c>
      <c r="O30" s="386">
        <f t="shared" ca="1" si="17"/>
        <v>0</v>
      </c>
      <c r="P30" s="387" t="e">
        <f t="shared" ca="1" si="17"/>
        <v>#N/A</v>
      </c>
      <c r="Q30" s="382" t="e">
        <f t="shared" ca="1" si="10"/>
        <v>#N/A</v>
      </c>
      <c r="R30" s="382" t="e">
        <f t="shared" ca="1" si="11"/>
        <v>#N/A</v>
      </c>
      <c r="S30" s="383" t="e">
        <f t="shared" ca="1" si="12"/>
        <v>#N/A</v>
      </c>
      <c r="T30" s="386">
        <f t="shared" ca="1" si="17"/>
        <v>0</v>
      </c>
      <c r="U30" s="387" t="e">
        <f t="shared" ca="1" si="17"/>
        <v>#N/A</v>
      </c>
      <c r="V30" s="382" t="e">
        <f t="shared" ca="1" si="13"/>
        <v>#N/A</v>
      </c>
      <c r="W30" s="382" t="e">
        <f t="shared" ca="1" si="14"/>
        <v>#N/A</v>
      </c>
      <c r="X30" s="383" t="e">
        <f t="shared" ca="1" si="15"/>
        <v>#N/A</v>
      </c>
      <c r="Y30" s="384" t="e">
        <f t="shared" ca="1" si="18"/>
        <v>#N/A</v>
      </c>
      <c r="Z30" s="385">
        <f>C30</f>
        <v>0</v>
      </c>
      <c r="AB30" s="287">
        <v>1026</v>
      </c>
      <c r="AC30" s="276">
        <f t="shared" si="19"/>
        <v>1.9493177387914229E-3</v>
      </c>
      <c r="AD30" s="288">
        <f t="shared" si="24"/>
        <v>2</v>
      </c>
      <c r="AF30" s="278">
        <f t="shared" si="25"/>
        <v>0</v>
      </c>
      <c r="AG30" s="278" t="e">
        <f t="shared" si="25"/>
        <v>#N/A</v>
      </c>
      <c r="AH30" s="275" t="e">
        <f>G30*AG30</f>
        <v>#N/A</v>
      </c>
      <c r="AI30" s="282" t="e">
        <f t="shared" si="20"/>
        <v>#N/A</v>
      </c>
      <c r="AJ30" s="276" t="e">
        <f t="shared" si="21"/>
        <v>#N/A</v>
      </c>
      <c r="AK30" s="283" t="e">
        <f t="shared" si="22"/>
        <v>#N/A</v>
      </c>
      <c r="AL30" s="134"/>
      <c r="AR30" s="62"/>
      <c r="AS30" s="62"/>
      <c r="AT30" s="62"/>
      <c r="AU30" s="62"/>
      <c r="AV30" s="62"/>
      <c r="AW30" s="62"/>
      <c r="AX30" s="62"/>
    </row>
    <row r="31" spans="2:50" ht="15" customHeight="1">
      <c r="B31" s="390">
        <f>Pressure_3_R1!B17</f>
        <v>0</v>
      </c>
      <c r="C31" s="391">
        <f>Pressure_3_R1!D17</f>
        <v>0</v>
      </c>
      <c r="D31" s="395">
        <f t="shared" si="23"/>
        <v>0</v>
      </c>
      <c r="E31" s="392">
        <f t="shared" si="8"/>
        <v>0</v>
      </c>
      <c r="F31" s="393">
        <f t="shared" si="9"/>
        <v>0</v>
      </c>
      <c r="G31" s="389">
        <f>E31*B31+F31</f>
        <v>0</v>
      </c>
      <c r="I31" s="386">
        <f t="shared" ca="1" si="16"/>
        <v>0</v>
      </c>
      <c r="J31" s="387" t="e">
        <f t="shared" ca="1" si="16"/>
        <v>#N/A</v>
      </c>
      <c r="K31" s="400" t="e">
        <f t="shared" ca="1" si="16"/>
        <v>#N/A</v>
      </c>
      <c r="L31" s="399" t="e">
        <f ca="1">IF(J31="% of Reading",G31*I31%,IF(J31="% of F.S",D31*I31%,I31*K31))</f>
        <v>#N/A</v>
      </c>
      <c r="M31" s="387">
        <f>C31</f>
        <v>0</v>
      </c>
      <c r="O31" s="386">
        <f t="shared" ca="1" si="17"/>
        <v>0</v>
      </c>
      <c r="P31" s="387" t="e">
        <f t="shared" ca="1" si="17"/>
        <v>#N/A</v>
      </c>
      <c r="Q31" s="382" t="e">
        <f t="shared" ca="1" si="10"/>
        <v>#N/A</v>
      </c>
      <c r="R31" s="382" t="e">
        <f t="shared" ca="1" si="11"/>
        <v>#N/A</v>
      </c>
      <c r="S31" s="383" t="e">
        <f t="shared" ca="1" si="12"/>
        <v>#N/A</v>
      </c>
      <c r="T31" s="386">
        <f t="shared" ca="1" si="17"/>
        <v>0</v>
      </c>
      <c r="U31" s="387" t="e">
        <f t="shared" ca="1" si="17"/>
        <v>#N/A</v>
      </c>
      <c r="V31" s="382" t="e">
        <f t="shared" ca="1" si="13"/>
        <v>#N/A</v>
      </c>
      <c r="W31" s="382" t="e">
        <f t="shared" ca="1" si="14"/>
        <v>#N/A</v>
      </c>
      <c r="X31" s="383" t="e">
        <f t="shared" ca="1" si="15"/>
        <v>#N/A</v>
      </c>
      <c r="Y31" s="384" t="e">
        <f t="shared" ca="1" si="18"/>
        <v>#N/A</v>
      </c>
      <c r="Z31" s="385">
        <f>C31</f>
        <v>0</v>
      </c>
      <c r="AB31" s="287">
        <v>1026</v>
      </c>
      <c r="AC31" s="276">
        <f t="shared" si="19"/>
        <v>1.9493177387914229E-3</v>
      </c>
      <c r="AD31" s="288">
        <f t="shared" si="24"/>
        <v>2</v>
      </c>
      <c r="AF31" s="278">
        <f t="shared" si="25"/>
        <v>0</v>
      </c>
      <c r="AG31" s="278" t="e">
        <f t="shared" si="25"/>
        <v>#N/A</v>
      </c>
      <c r="AH31" s="275" t="e">
        <f>G31*AG31</f>
        <v>#N/A</v>
      </c>
      <c r="AI31" s="282" t="e">
        <f t="shared" si="20"/>
        <v>#N/A</v>
      </c>
      <c r="AJ31" s="276" t="e">
        <f t="shared" si="21"/>
        <v>#N/A</v>
      </c>
      <c r="AK31" s="283" t="e">
        <f t="shared" si="22"/>
        <v>#N/A</v>
      </c>
      <c r="AL31" s="134"/>
      <c r="AR31" s="62"/>
      <c r="AS31" s="62"/>
      <c r="AT31" s="62"/>
      <c r="AU31" s="62"/>
      <c r="AV31" s="62"/>
      <c r="AW31" s="62"/>
      <c r="AX31" s="62"/>
    </row>
    <row r="32" spans="2:50" ht="15" customHeight="1">
      <c r="B32" s="390">
        <f>Pressure_3_R1!B18</f>
        <v>0</v>
      </c>
      <c r="C32" s="391">
        <f>Pressure_3_R1!D18</f>
        <v>0</v>
      </c>
      <c r="D32" s="395">
        <f t="shared" si="23"/>
        <v>0</v>
      </c>
      <c r="E32" s="392">
        <f t="shared" si="8"/>
        <v>0</v>
      </c>
      <c r="F32" s="393">
        <f t="shared" si="9"/>
        <v>0</v>
      </c>
      <c r="G32" s="389">
        <f>E32*B32+F32</f>
        <v>0</v>
      </c>
      <c r="I32" s="386">
        <f t="shared" ca="1" si="16"/>
        <v>0</v>
      </c>
      <c r="J32" s="387" t="e">
        <f t="shared" ca="1" si="16"/>
        <v>#N/A</v>
      </c>
      <c r="K32" s="400" t="e">
        <f t="shared" ca="1" si="16"/>
        <v>#N/A</v>
      </c>
      <c r="L32" s="399" t="e">
        <f ca="1">IF(J32="% of Reading",G32*I32%,IF(J32="% of F.S",D32*I32%,I32*K32))</f>
        <v>#N/A</v>
      </c>
      <c r="M32" s="387">
        <f>C32</f>
        <v>0</v>
      </c>
      <c r="O32" s="386">
        <f t="shared" ca="1" si="17"/>
        <v>0</v>
      </c>
      <c r="P32" s="387" t="e">
        <f t="shared" ca="1" si="17"/>
        <v>#N/A</v>
      </c>
      <c r="Q32" s="382" t="e">
        <f t="shared" ca="1" si="10"/>
        <v>#N/A</v>
      </c>
      <c r="R32" s="382" t="e">
        <f t="shared" ca="1" si="11"/>
        <v>#N/A</v>
      </c>
      <c r="S32" s="383" t="e">
        <f t="shared" ca="1" si="12"/>
        <v>#N/A</v>
      </c>
      <c r="T32" s="386">
        <f t="shared" ca="1" si="17"/>
        <v>0</v>
      </c>
      <c r="U32" s="387" t="e">
        <f t="shared" ca="1" si="17"/>
        <v>#N/A</v>
      </c>
      <c r="V32" s="382" t="e">
        <f t="shared" ca="1" si="13"/>
        <v>#N/A</v>
      </c>
      <c r="W32" s="382" t="e">
        <f t="shared" ca="1" si="14"/>
        <v>#N/A</v>
      </c>
      <c r="X32" s="383" t="e">
        <f t="shared" ca="1" si="15"/>
        <v>#N/A</v>
      </c>
      <c r="Y32" s="384" t="e">
        <f t="shared" ca="1" si="18"/>
        <v>#N/A</v>
      </c>
      <c r="Z32" s="385">
        <f>C32</f>
        <v>0</v>
      </c>
      <c r="AB32" s="287">
        <v>1026</v>
      </c>
      <c r="AC32" s="276">
        <f t="shared" si="19"/>
        <v>1.9493177387914229E-3</v>
      </c>
      <c r="AD32" s="288">
        <f t="shared" si="24"/>
        <v>2</v>
      </c>
      <c r="AF32" s="278">
        <f t="shared" si="25"/>
        <v>0</v>
      </c>
      <c r="AG32" s="278" t="e">
        <f t="shared" si="25"/>
        <v>#N/A</v>
      </c>
      <c r="AH32" s="275" t="e">
        <f>G32*AG32</f>
        <v>#N/A</v>
      </c>
      <c r="AI32" s="282" t="e">
        <f t="shared" si="20"/>
        <v>#N/A</v>
      </c>
      <c r="AJ32" s="276" t="e">
        <f t="shared" si="21"/>
        <v>#N/A</v>
      </c>
      <c r="AK32" s="283" t="e">
        <f t="shared" si="22"/>
        <v>#N/A</v>
      </c>
      <c r="AL32" s="134"/>
      <c r="AR32" s="62"/>
      <c r="AS32" s="62"/>
      <c r="AT32" s="62"/>
      <c r="AU32" s="62"/>
      <c r="AV32" s="62"/>
      <c r="AW32" s="62"/>
      <c r="AX32" s="62"/>
    </row>
    <row r="33" spans="2:50" ht="15" customHeight="1">
      <c r="B33" s="390">
        <f>Pressure_3_R1!B19</f>
        <v>0</v>
      </c>
      <c r="C33" s="391">
        <f>Pressure_3_R1!D19</f>
        <v>0</v>
      </c>
      <c r="D33" s="395">
        <f t="shared" si="23"/>
        <v>0</v>
      </c>
      <c r="E33" s="392">
        <f t="shared" si="8"/>
        <v>0</v>
      </c>
      <c r="F33" s="393">
        <f t="shared" si="9"/>
        <v>0</v>
      </c>
      <c r="G33" s="389">
        <f>E33*B33+F33</f>
        <v>0</v>
      </c>
      <c r="I33" s="386">
        <f t="shared" ca="1" si="16"/>
        <v>0</v>
      </c>
      <c r="J33" s="387" t="e">
        <f t="shared" ca="1" si="16"/>
        <v>#N/A</v>
      </c>
      <c r="K33" s="400" t="e">
        <f t="shared" ca="1" si="16"/>
        <v>#N/A</v>
      </c>
      <c r="L33" s="399" t="e">
        <f ca="1">IF(J33="% of Reading",G33*I33%,IF(J33="% of F.S",D33*I33%,I33*K33))</f>
        <v>#N/A</v>
      </c>
      <c r="M33" s="387">
        <f>C33</f>
        <v>0</v>
      </c>
      <c r="O33" s="386">
        <f t="shared" ca="1" si="17"/>
        <v>0</v>
      </c>
      <c r="P33" s="387" t="e">
        <f t="shared" ca="1" si="17"/>
        <v>#N/A</v>
      </c>
      <c r="Q33" s="382" t="e">
        <f t="shared" ca="1" si="10"/>
        <v>#N/A</v>
      </c>
      <c r="R33" s="382" t="e">
        <f t="shared" ca="1" si="11"/>
        <v>#N/A</v>
      </c>
      <c r="S33" s="383" t="e">
        <f t="shared" ca="1" si="12"/>
        <v>#N/A</v>
      </c>
      <c r="T33" s="386">
        <f t="shared" ca="1" si="17"/>
        <v>0</v>
      </c>
      <c r="U33" s="387" t="e">
        <f t="shared" ca="1" si="17"/>
        <v>#N/A</v>
      </c>
      <c r="V33" s="382" t="e">
        <f t="shared" ca="1" si="13"/>
        <v>#N/A</v>
      </c>
      <c r="W33" s="382" t="e">
        <f t="shared" ca="1" si="14"/>
        <v>#N/A</v>
      </c>
      <c r="X33" s="383" t="e">
        <f t="shared" ca="1" si="15"/>
        <v>#N/A</v>
      </c>
      <c r="Y33" s="384" t="e">
        <f t="shared" ca="1" si="18"/>
        <v>#N/A</v>
      </c>
      <c r="Z33" s="385">
        <f>C33</f>
        <v>0</v>
      </c>
      <c r="AB33" s="287">
        <v>1026</v>
      </c>
      <c r="AC33" s="276">
        <f t="shared" si="19"/>
        <v>1.9493177387914229E-3</v>
      </c>
      <c r="AD33" s="288">
        <f t="shared" si="24"/>
        <v>2</v>
      </c>
      <c r="AF33" s="278">
        <f t="shared" si="25"/>
        <v>0</v>
      </c>
      <c r="AG33" s="278" t="e">
        <f t="shared" si="25"/>
        <v>#N/A</v>
      </c>
      <c r="AH33" s="275" t="e">
        <f>G33*AG33</f>
        <v>#N/A</v>
      </c>
      <c r="AI33" s="282" t="e">
        <f t="shared" si="20"/>
        <v>#N/A</v>
      </c>
      <c r="AJ33" s="276" t="e">
        <f t="shared" si="21"/>
        <v>#N/A</v>
      </c>
      <c r="AK33" s="283" t="e">
        <f t="shared" si="22"/>
        <v>#N/A</v>
      </c>
      <c r="AL33" s="134"/>
      <c r="AR33" s="62"/>
      <c r="AS33" s="62"/>
      <c r="AT33" s="62"/>
      <c r="AU33" s="62"/>
      <c r="AV33" s="62"/>
      <c r="AW33" s="62"/>
      <c r="AX33" s="62"/>
    </row>
    <row r="34" spans="2:50" ht="15" customHeight="1">
      <c r="B34" s="390">
        <f>Pressure_3_R1!B20</f>
        <v>0</v>
      </c>
      <c r="C34" s="391">
        <f>Pressure_3_R1!D20</f>
        <v>0</v>
      </c>
      <c r="D34" s="395">
        <f t="shared" si="23"/>
        <v>0</v>
      </c>
      <c r="E34" s="392">
        <f t="shared" si="8"/>
        <v>0</v>
      </c>
      <c r="F34" s="393">
        <f t="shared" si="9"/>
        <v>0</v>
      </c>
      <c r="G34" s="389">
        <f>E34*B34+F34</f>
        <v>0</v>
      </c>
      <c r="I34" s="386">
        <f t="shared" ca="1" si="16"/>
        <v>0</v>
      </c>
      <c r="J34" s="387" t="e">
        <f t="shared" ca="1" si="16"/>
        <v>#N/A</v>
      </c>
      <c r="K34" s="400" t="e">
        <f t="shared" ca="1" si="16"/>
        <v>#N/A</v>
      </c>
      <c r="L34" s="399" t="e">
        <f ca="1">IF(J34="% of Reading",G34*I34%,IF(J34="% of F.S",D34*I34%,I34*K34))</f>
        <v>#N/A</v>
      </c>
      <c r="M34" s="387">
        <f>C34</f>
        <v>0</v>
      </c>
      <c r="O34" s="386">
        <f t="shared" ca="1" si="17"/>
        <v>0</v>
      </c>
      <c r="P34" s="387" t="e">
        <f t="shared" ca="1" si="17"/>
        <v>#N/A</v>
      </c>
      <c r="Q34" s="382" t="e">
        <f t="shared" ca="1" si="10"/>
        <v>#N/A</v>
      </c>
      <c r="R34" s="382" t="e">
        <f t="shared" ca="1" si="11"/>
        <v>#N/A</v>
      </c>
      <c r="S34" s="383" t="e">
        <f t="shared" ca="1" si="12"/>
        <v>#N/A</v>
      </c>
      <c r="T34" s="386">
        <f t="shared" ca="1" si="17"/>
        <v>0</v>
      </c>
      <c r="U34" s="387" t="e">
        <f t="shared" ca="1" si="17"/>
        <v>#N/A</v>
      </c>
      <c r="V34" s="382" t="e">
        <f t="shared" ca="1" si="13"/>
        <v>#N/A</v>
      </c>
      <c r="W34" s="382" t="e">
        <f t="shared" ca="1" si="14"/>
        <v>#N/A</v>
      </c>
      <c r="X34" s="383" t="e">
        <f t="shared" ca="1" si="15"/>
        <v>#N/A</v>
      </c>
      <c r="Y34" s="384" t="e">
        <f t="shared" ca="1" si="18"/>
        <v>#N/A</v>
      </c>
      <c r="Z34" s="385">
        <f>C34</f>
        <v>0</v>
      </c>
      <c r="AB34" s="287">
        <v>1026</v>
      </c>
      <c r="AC34" s="276">
        <f t="shared" si="19"/>
        <v>1.9493177387914229E-3</v>
      </c>
      <c r="AD34" s="288">
        <f t="shared" si="24"/>
        <v>2</v>
      </c>
      <c r="AF34" s="278">
        <f t="shared" si="25"/>
        <v>0</v>
      </c>
      <c r="AG34" s="278" t="e">
        <f t="shared" si="25"/>
        <v>#N/A</v>
      </c>
      <c r="AH34" s="275" t="e">
        <f>G34*AG34</f>
        <v>#N/A</v>
      </c>
      <c r="AI34" s="282" t="e">
        <f t="shared" si="20"/>
        <v>#N/A</v>
      </c>
      <c r="AJ34" s="276" t="e">
        <f t="shared" si="21"/>
        <v>#N/A</v>
      </c>
      <c r="AK34" s="283" t="e">
        <f t="shared" si="22"/>
        <v>#N/A</v>
      </c>
      <c r="AL34" s="134"/>
      <c r="AR34" s="62"/>
      <c r="AS34" s="62"/>
      <c r="AT34" s="62"/>
      <c r="AU34" s="62"/>
      <c r="AV34" s="62"/>
      <c r="AW34" s="62"/>
      <c r="AX34" s="62"/>
    </row>
    <row r="35" spans="2:50" ht="15" customHeight="1">
      <c r="B35" s="390">
        <f>Pressure_3_R1!B21</f>
        <v>0</v>
      </c>
      <c r="C35" s="391">
        <f>Pressure_3_R1!D21</f>
        <v>0</v>
      </c>
      <c r="D35" s="395">
        <f t="shared" si="23"/>
        <v>0</v>
      </c>
      <c r="E35" s="392">
        <f t="shared" si="8"/>
        <v>0</v>
      </c>
      <c r="F35" s="393">
        <f t="shared" si="9"/>
        <v>0</v>
      </c>
      <c r="G35" s="389">
        <f>E35*B35+F35</f>
        <v>0</v>
      </c>
      <c r="I35" s="386">
        <f t="shared" ref="I35:K47" ca="1" si="26">I34</f>
        <v>0</v>
      </c>
      <c r="J35" s="387" t="e">
        <f t="shared" ca="1" si="26"/>
        <v>#N/A</v>
      </c>
      <c r="K35" s="400" t="e">
        <f t="shared" ca="1" si="26"/>
        <v>#N/A</v>
      </c>
      <c r="L35" s="399" t="e">
        <f ca="1">IF(J35="% of Reading",G35*I35%,IF(J35="% of F.S",D35*I35%,I35*K35))</f>
        <v>#N/A</v>
      </c>
      <c r="M35" s="387">
        <f>C35</f>
        <v>0</v>
      </c>
      <c r="O35" s="386">
        <f t="shared" ref="O35:U47" ca="1" si="27">O34</f>
        <v>0</v>
      </c>
      <c r="P35" s="387" t="e">
        <f t="shared" ca="1" si="27"/>
        <v>#N/A</v>
      </c>
      <c r="Q35" s="382" t="e">
        <f t="shared" ca="1" si="10"/>
        <v>#N/A</v>
      </c>
      <c r="R35" s="382" t="e">
        <f t="shared" ca="1" si="11"/>
        <v>#N/A</v>
      </c>
      <c r="S35" s="383" t="e">
        <f t="shared" ca="1" si="12"/>
        <v>#N/A</v>
      </c>
      <c r="T35" s="386">
        <f t="shared" ca="1" si="27"/>
        <v>0</v>
      </c>
      <c r="U35" s="387" t="e">
        <f t="shared" ca="1" si="27"/>
        <v>#N/A</v>
      </c>
      <c r="V35" s="382" t="e">
        <f t="shared" ca="1" si="13"/>
        <v>#N/A</v>
      </c>
      <c r="W35" s="382" t="e">
        <f t="shared" ca="1" si="14"/>
        <v>#N/A</v>
      </c>
      <c r="X35" s="383" t="e">
        <f t="shared" ca="1" si="15"/>
        <v>#N/A</v>
      </c>
      <c r="Y35" s="384" t="e">
        <f t="shared" ca="1" si="18"/>
        <v>#N/A</v>
      </c>
      <c r="Z35" s="385">
        <f>C35</f>
        <v>0</v>
      </c>
      <c r="AB35" s="287">
        <v>1026</v>
      </c>
      <c r="AC35" s="276">
        <f t="shared" si="19"/>
        <v>1.9493177387914229E-3</v>
      </c>
      <c r="AD35" s="288">
        <f t="shared" si="24"/>
        <v>2</v>
      </c>
      <c r="AF35" s="278">
        <f t="shared" si="25"/>
        <v>0</v>
      </c>
      <c r="AG35" s="278" t="e">
        <f t="shared" si="25"/>
        <v>#N/A</v>
      </c>
      <c r="AH35" s="275" t="e">
        <f>G35*AG35</f>
        <v>#N/A</v>
      </c>
      <c r="AI35" s="282" t="e">
        <f t="shared" si="20"/>
        <v>#N/A</v>
      </c>
      <c r="AJ35" s="276" t="e">
        <f t="shared" si="21"/>
        <v>#N/A</v>
      </c>
      <c r="AK35" s="283" t="e">
        <f t="shared" si="22"/>
        <v>#N/A</v>
      </c>
      <c r="AL35" s="134"/>
      <c r="AR35" s="62"/>
      <c r="AS35" s="62"/>
      <c r="AT35" s="62"/>
      <c r="AU35" s="62"/>
      <c r="AV35" s="62"/>
      <c r="AW35" s="62"/>
      <c r="AX35" s="62"/>
    </row>
    <row r="36" spans="2:50" ht="15" customHeight="1">
      <c r="B36" s="390">
        <f>Pressure_3_R1!B22</f>
        <v>0</v>
      </c>
      <c r="C36" s="391">
        <f>Pressure_3_R1!D22</f>
        <v>0</v>
      </c>
      <c r="D36" s="395">
        <f t="shared" si="23"/>
        <v>0</v>
      </c>
      <c r="E36" s="392">
        <f t="shared" si="8"/>
        <v>0</v>
      </c>
      <c r="F36" s="393">
        <f t="shared" si="9"/>
        <v>0</v>
      </c>
      <c r="G36" s="389">
        <f>E36*B36+F36</f>
        <v>0</v>
      </c>
      <c r="I36" s="386">
        <f t="shared" ca="1" si="26"/>
        <v>0</v>
      </c>
      <c r="J36" s="387" t="e">
        <f t="shared" ca="1" si="26"/>
        <v>#N/A</v>
      </c>
      <c r="K36" s="400" t="e">
        <f t="shared" ca="1" si="26"/>
        <v>#N/A</v>
      </c>
      <c r="L36" s="399" t="e">
        <f ca="1">IF(J36="% of Reading",G36*I36%,IF(J36="% of F.S",D36*I36%,I36*K36))</f>
        <v>#N/A</v>
      </c>
      <c r="M36" s="387">
        <f>C36</f>
        <v>0</v>
      </c>
      <c r="O36" s="386">
        <f t="shared" ca="1" si="27"/>
        <v>0</v>
      </c>
      <c r="P36" s="387" t="e">
        <f t="shared" ca="1" si="27"/>
        <v>#N/A</v>
      </c>
      <c r="Q36" s="382" t="e">
        <f t="shared" ca="1" si="10"/>
        <v>#N/A</v>
      </c>
      <c r="R36" s="382" t="e">
        <f t="shared" ca="1" si="11"/>
        <v>#N/A</v>
      </c>
      <c r="S36" s="383" t="e">
        <f t="shared" ca="1" si="12"/>
        <v>#N/A</v>
      </c>
      <c r="T36" s="386">
        <f t="shared" ca="1" si="27"/>
        <v>0</v>
      </c>
      <c r="U36" s="387" t="e">
        <f t="shared" ca="1" si="27"/>
        <v>#N/A</v>
      </c>
      <c r="V36" s="382" t="e">
        <f t="shared" ca="1" si="13"/>
        <v>#N/A</v>
      </c>
      <c r="W36" s="382" t="e">
        <f t="shared" ca="1" si="14"/>
        <v>#N/A</v>
      </c>
      <c r="X36" s="383" t="e">
        <f t="shared" ca="1" si="15"/>
        <v>#N/A</v>
      </c>
      <c r="Y36" s="384" t="e">
        <f t="shared" ca="1" si="18"/>
        <v>#N/A</v>
      </c>
      <c r="Z36" s="385">
        <f>C36</f>
        <v>0</v>
      </c>
      <c r="AB36" s="287">
        <v>1026</v>
      </c>
      <c r="AC36" s="276">
        <f t="shared" si="19"/>
        <v>1.9493177387914229E-3</v>
      </c>
      <c r="AD36" s="288">
        <f t="shared" si="24"/>
        <v>2</v>
      </c>
      <c r="AF36" s="278">
        <f t="shared" ref="AF36:AG47" si="28">AF35</f>
        <v>0</v>
      </c>
      <c r="AG36" s="278" t="e">
        <f t="shared" si="28"/>
        <v>#N/A</v>
      </c>
      <c r="AH36" s="275" t="e">
        <f>G36*AG36</f>
        <v>#N/A</v>
      </c>
      <c r="AI36" s="282" t="e">
        <f t="shared" si="20"/>
        <v>#N/A</v>
      </c>
      <c r="AJ36" s="276" t="e">
        <f t="shared" si="21"/>
        <v>#N/A</v>
      </c>
      <c r="AK36" s="283" t="e">
        <f t="shared" si="22"/>
        <v>#N/A</v>
      </c>
      <c r="AL36" s="134"/>
      <c r="AR36" s="62"/>
      <c r="AS36" s="62"/>
      <c r="AT36" s="62"/>
      <c r="AU36" s="62"/>
      <c r="AV36" s="62"/>
      <c r="AW36" s="62"/>
      <c r="AX36" s="62"/>
    </row>
    <row r="37" spans="2:50" ht="15" customHeight="1">
      <c r="B37" s="390">
        <f>Pressure_3_R1!B23</f>
        <v>0</v>
      </c>
      <c r="C37" s="391">
        <f>Pressure_3_R1!D23</f>
        <v>0</v>
      </c>
      <c r="D37" s="395">
        <f t="shared" si="23"/>
        <v>0</v>
      </c>
      <c r="E37" s="392">
        <f t="shared" si="8"/>
        <v>0</v>
      </c>
      <c r="F37" s="393">
        <f t="shared" si="9"/>
        <v>0</v>
      </c>
      <c r="G37" s="389">
        <f>E37*B37+F37</f>
        <v>0</v>
      </c>
      <c r="I37" s="386">
        <f t="shared" ca="1" si="26"/>
        <v>0</v>
      </c>
      <c r="J37" s="387" t="e">
        <f t="shared" ca="1" si="26"/>
        <v>#N/A</v>
      </c>
      <c r="K37" s="400" t="e">
        <f t="shared" ca="1" si="26"/>
        <v>#N/A</v>
      </c>
      <c r="L37" s="399" t="e">
        <f ca="1">IF(J37="% of Reading",G37*I37%,IF(J37="% of F.S",D37*I37%,I37*K37))</f>
        <v>#N/A</v>
      </c>
      <c r="M37" s="387">
        <f>C37</f>
        <v>0</v>
      </c>
      <c r="O37" s="386">
        <f t="shared" ca="1" si="27"/>
        <v>0</v>
      </c>
      <c r="P37" s="387" t="e">
        <f t="shared" ca="1" si="27"/>
        <v>#N/A</v>
      </c>
      <c r="Q37" s="382" t="e">
        <f t="shared" ca="1" si="10"/>
        <v>#N/A</v>
      </c>
      <c r="R37" s="382" t="e">
        <f t="shared" ca="1" si="11"/>
        <v>#N/A</v>
      </c>
      <c r="S37" s="383" t="e">
        <f t="shared" ca="1" si="12"/>
        <v>#N/A</v>
      </c>
      <c r="T37" s="386">
        <f t="shared" ca="1" si="27"/>
        <v>0</v>
      </c>
      <c r="U37" s="387" t="e">
        <f t="shared" ca="1" si="27"/>
        <v>#N/A</v>
      </c>
      <c r="V37" s="382" t="e">
        <f t="shared" ca="1" si="13"/>
        <v>#N/A</v>
      </c>
      <c r="W37" s="382" t="e">
        <f t="shared" ca="1" si="14"/>
        <v>#N/A</v>
      </c>
      <c r="X37" s="383" t="e">
        <f t="shared" ca="1" si="15"/>
        <v>#N/A</v>
      </c>
      <c r="Y37" s="384" t="e">
        <f t="shared" ca="1" si="18"/>
        <v>#N/A</v>
      </c>
      <c r="Z37" s="385">
        <f>C37</f>
        <v>0</v>
      </c>
      <c r="AB37" s="287">
        <v>1026</v>
      </c>
      <c r="AC37" s="276">
        <f t="shared" si="19"/>
        <v>1.9493177387914229E-3</v>
      </c>
      <c r="AD37" s="288">
        <f t="shared" si="24"/>
        <v>2</v>
      </c>
      <c r="AF37" s="278">
        <f t="shared" si="28"/>
        <v>0</v>
      </c>
      <c r="AG37" s="278" t="e">
        <f t="shared" si="28"/>
        <v>#N/A</v>
      </c>
      <c r="AH37" s="275" t="e">
        <f>G37*AG37</f>
        <v>#N/A</v>
      </c>
      <c r="AI37" s="282" t="e">
        <f t="shared" si="20"/>
        <v>#N/A</v>
      </c>
      <c r="AJ37" s="276" t="e">
        <f t="shared" si="21"/>
        <v>#N/A</v>
      </c>
      <c r="AK37" s="283" t="e">
        <f t="shared" si="22"/>
        <v>#N/A</v>
      </c>
      <c r="AL37" s="134"/>
      <c r="AR37" s="62"/>
      <c r="AS37" s="62"/>
      <c r="AT37" s="62"/>
      <c r="AU37" s="62"/>
      <c r="AV37" s="62"/>
      <c r="AW37" s="62"/>
      <c r="AX37" s="62"/>
    </row>
    <row r="38" spans="2:50" ht="15" customHeight="1">
      <c r="B38" s="390">
        <f>Pressure_3_R1!B24</f>
        <v>0</v>
      </c>
      <c r="C38" s="391">
        <f>Pressure_3_R1!D24</f>
        <v>0</v>
      </c>
      <c r="D38" s="395">
        <f t="shared" si="23"/>
        <v>0</v>
      </c>
      <c r="E38" s="392">
        <f t="shared" si="8"/>
        <v>0</v>
      </c>
      <c r="F38" s="393">
        <f t="shared" si="9"/>
        <v>0</v>
      </c>
      <c r="G38" s="389">
        <f>E38*B38+F38</f>
        <v>0</v>
      </c>
      <c r="I38" s="386">
        <f t="shared" ca="1" si="26"/>
        <v>0</v>
      </c>
      <c r="J38" s="387" t="e">
        <f t="shared" ca="1" si="26"/>
        <v>#N/A</v>
      </c>
      <c r="K38" s="400" t="e">
        <f t="shared" ca="1" si="26"/>
        <v>#N/A</v>
      </c>
      <c r="L38" s="399" t="e">
        <f ca="1">IF(J38="% of Reading",G38*I38%,IF(J38="% of F.S",D38*I38%,I38*K38))</f>
        <v>#N/A</v>
      </c>
      <c r="M38" s="387">
        <f>C38</f>
        <v>0</v>
      </c>
      <c r="O38" s="386">
        <f t="shared" ca="1" si="27"/>
        <v>0</v>
      </c>
      <c r="P38" s="387" t="e">
        <f t="shared" ca="1" si="27"/>
        <v>#N/A</v>
      </c>
      <c r="Q38" s="382" t="e">
        <f t="shared" ca="1" si="10"/>
        <v>#N/A</v>
      </c>
      <c r="R38" s="382" t="e">
        <f t="shared" ca="1" si="11"/>
        <v>#N/A</v>
      </c>
      <c r="S38" s="383" t="e">
        <f t="shared" ca="1" si="12"/>
        <v>#N/A</v>
      </c>
      <c r="T38" s="386">
        <f t="shared" ca="1" si="27"/>
        <v>0</v>
      </c>
      <c r="U38" s="387" t="e">
        <f t="shared" ca="1" si="27"/>
        <v>#N/A</v>
      </c>
      <c r="V38" s="382" t="e">
        <f t="shared" ca="1" si="13"/>
        <v>#N/A</v>
      </c>
      <c r="W38" s="382" t="e">
        <f t="shared" ca="1" si="14"/>
        <v>#N/A</v>
      </c>
      <c r="X38" s="383" t="e">
        <f t="shared" ca="1" si="15"/>
        <v>#N/A</v>
      </c>
      <c r="Y38" s="384" t="e">
        <f t="shared" ca="1" si="18"/>
        <v>#N/A</v>
      </c>
      <c r="Z38" s="385">
        <f>C38</f>
        <v>0</v>
      </c>
      <c r="AB38" s="287">
        <v>1026</v>
      </c>
      <c r="AC38" s="276">
        <f t="shared" si="19"/>
        <v>1.9493177387914229E-3</v>
      </c>
      <c r="AD38" s="288">
        <f t="shared" si="24"/>
        <v>2</v>
      </c>
      <c r="AF38" s="278">
        <f t="shared" si="28"/>
        <v>0</v>
      </c>
      <c r="AG38" s="278" t="e">
        <f t="shared" si="28"/>
        <v>#N/A</v>
      </c>
      <c r="AH38" s="275" t="e">
        <f>G38*AG38</f>
        <v>#N/A</v>
      </c>
      <c r="AI38" s="282" t="e">
        <f t="shared" si="20"/>
        <v>#N/A</v>
      </c>
      <c r="AJ38" s="276" t="e">
        <f t="shared" si="21"/>
        <v>#N/A</v>
      </c>
      <c r="AK38" s="283" t="e">
        <f t="shared" si="22"/>
        <v>#N/A</v>
      </c>
      <c r="AL38" s="134"/>
      <c r="AR38" s="62"/>
      <c r="AS38" s="62"/>
      <c r="AT38" s="62"/>
      <c r="AU38" s="62"/>
      <c r="AV38" s="62"/>
      <c r="AW38" s="62"/>
      <c r="AX38" s="62"/>
    </row>
    <row r="39" spans="2:50" ht="15" customHeight="1">
      <c r="B39" s="390">
        <f>Pressure_3_R1!B25</f>
        <v>0</v>
      </c>
      <c r="C39" s="391">
        <f>Pressure_3_R1!D25</f>
        <v>0</v>
      </c>
      <c r="D39" s="395">
        <f t="shared" si="23"/>
        <v>0</v>
      </c>
      <c r="E39" s="392">
        <f t="shared" si="8"/>
        <v>0</v>
      </c>
      <c r="F39" s="393">
        <f t="shared" si="9"/>
        <v>0</v>
      </c>
      <c r="G39" s="389">
        <f>E39*B39+F39</f>
        <v>0</v>
      </c>
      <c r="I39" s="386">
        <f t="shared" ca="1" si="26"/>
        <v>0</v>
      </c>
      <c r="J39" s="387" t="e">
        <f t="shared" ca="1" si="26"/>
        <v>#N/A</v>
      </c>
      <c r="K39" s="400" t="e">
        <f t="shared" ca="1" si="26"/>
        <v>#N/A</v>
      </c>
      <c r="L39" s="399" t="e">
        <f ca="1">IF(J39="% of Reading",G39*I39%,IF(J39="% of F.S",D39*I39%,I39*K39))</f>
        <v>#N/A</v>
      </c>
      <c r="M39" s="387">
        <f>C39</f>
        <v>0</v>
      </c>
      <c r="O39" s="386">
        <f t="shared" ca="1" si="27"/>
        <v>0</v>
      </c>
      <c r="P39" s="387" t="e">
        <f t="shared" ca="1" si="27"/>
        <v>#N/A</v>
      </c>
      <c r="Q39" s="382" t="e">
        <f t="shared" ca="1" si="10"/>
        <v>#N/A</v>
      </c>
      <c r="R39" s="382" t="e">
        <f t="shared" ca="1" si="11"/>
        <v>#N/A</v>
      </c>
      <c r="S39" s="383" t="e">
        <f t="shared" ca="1" si="12"/>
        <v>#N/A</v>
      </c>
      <c r="T39" s="386">
        <f t="shared" ca="1" si="27"/>
        <v>0</v>
      </c>
      <c r="U39" s="387" t="e">
        <f t="shared" ca="1" si="27"/>
        <v>#N/A</v>
      </c>
      <c r="V39" s="382" t="e">
        <f t="shared" ca="1" si="13"/>
        <v>#N/A</v>
      </c>
      <c r="W39" s="382" t="e">
        <f t="shared" ca="1" si="14"/>
        <v>#N/A</v>
      </c>
      <c r="X39" s="383" t="e">
        <f t="shared" ca="1" si="15"/>
        <v>#N/A</v>
      </c>
      <c r="Y39" s="384" t="e">
        <f t="shared" ca="1" si="18"/>
        <v>#N/A</v>
      </c>
      <c r="Z39" s="385">
        <f>C39</f>
        <v>0</v>
      </c>
      <c r="AB39" s="287">
        <v>1026</v>
      </c>
      <c r="AC39" s="276">
        <f t="shared" si="19"/>
        <v>1.9493177387914229E-3</v>
      </c>
      <c r="AD39" s="288">
        <f t="shared" si="24"/>
        <v>2</v>
      </c>
      <c r="AF39" s="278">
        <f t="shared" si="28"/>
        <v>0</v>
      </c>
      <c r="AG39" s="278" t="e">
        <f t="shared" si="28"/>
        <v>#N/A</v>
      </c>
      <c r="AH39" s="275" t="e">
        <f>G39*AG39</f>
        <v>#N/A</v>
      </c>
      <c r="AI39" s="282" t="e">
        <f t="shared" si="20"/>
        <v>#N/A</v>
      </c>
      <c r="AJ39" s="276" t="e">
        <f t="shared" si="21"/>
        <v>#N/A</v>
      </c>
      <c r="AK39" s="283" t="e">
        <f t="shared" si="22"/>
        <v>#N/A</v>
      </c>
      <c r="AL39" s="134"/>
      <c r="AR39" s="62"/>
      <c r="AS39" s="62"/>
      <c r="AT39" s="62"/>
      <c r="AU39" s="62"/>
      <c r="AV39" s="62"/>
      <c r="AW39" s="62"/>
      <c r="AX39" s="62"/>
    </row>
    <row r="40" spans="2:50" ht="15" customHeight="1">
      <c r="B40" s="390">
        <f>Pressure_3_R1!B26</f>
        <v>0</v>
      </c>
      <c r="C40" s="391">
        <f>Pressure_3_R1!D26</f>
        <v>0</v>
      </c>
      <c r="D40" s="395">
        <f t="shared" si="23"/>
        <v>0</v>
      </c>
      <c r="E40" s="392">
        <f t="shared" si="8"/>
        <v>0</v>
      </c>
      <c r="F40" s="393">
        <f t="shared" si="9"/>
        <v>0</v>
      </c>
      <c r="G40" s="389">
        <f>E40*B40+F40</f>
        <v>0</v>
      </c>
      <c r="I40" s="386">
        <f t="shared" ca="1" si="26"/>
        <v>0</v>
      </c>
      <c r="J40" s="387" t="e">
        <f t="shared" ca="1" si="26"/>
        <v>#N/A</v>
      </c>
      <c r="K40" s="400" t="e">
        <f t="shared" ca="1" si="26"/>
        <v>#N/A</v>
      </c>
      <c r="L40" s="399" t="e">
        <f ca="1">IF(J40="% of Reading",G40*I40%,IF(J40="% of F.S",D40*I40%,I40*K40))</f>
        <v>#N/A</v>
      </c>
      <c r="M40" s="387">
        <f>C40</f>
        <v>0</v>
      </c>
      <c r="O40" s="386">
        <f t="shared" ca="1" si="27"/>
        <v>0</v>
      </c>
      <c r="P40" s="387" t="e">
        <f t="shared" ca="1" si="27"/>
        <v>#N/A</v>
      </c>
      <c r="Q40" s="382" t="e">
        <f t="shared" ca="1" si="10"/>
        <v>#N/A</v>
      </c>
      <c r="R40" s="382" t="e">
        <f t="shared" ca="1" si="11"/>
        <v>#N/A</v>
      </c>
      <c r="S40" s="383" t="e">
        <f t="shared" ca="1" si="12"/>
        <v>#N/A</v>
      </c>
      <c r="T40" s="386">
        <f t="shared" ca="1" si="27"/>
        <v>0</v>
      </c>
      <c r="U40" s="387" t="e">
        <f t="shared" ca="1" si="27"/>
        <v>#N/A</v>
      </c>
      <c r="V40" s="382" t="e">
        <f t="shared" ca="1" si="13"/>
        <v>#N/A</v>
      </c>
      <c r="W40" s="382" t="e">
        <f t="shared" ca="1" si="14"/>
        <v>#N/A</v>
      </c>
      <c r="X40" s="383" t="e">
        <f t="shared" ca="1" si="15"/>
        <v>#N/A</v>
      </c>
      <c r="Y40" s="384" t="e">
        <f t="shared" ca="1" si="18"/>
        <v>#N/A</v>
      </c>
      <c r="Z40" s="385">
        <f>C40</f>
        <v>0</v>
      </c>
      <c r="AB40" s="287">
        <v>1026</v>
      </c>
      <c r="AC40" s="276">
        <f t="shared" si="19"/>
        <v>1.9493177387914229E-3</v>
      </c>
      <c r="AD40" s="288">
        <f t="shared" si="24"/>
        <v>2</v>
      </c>
      <c r="AF40" s="278">
        <f t="shared" si="28"/>
        <v>0</v>
      </c>
      <c r="AG40" s="278" t="e">
        <f t="shared" si="28"/>
        <v>#N/A</v>
      </c>
      <c r="AH40" s="275" t="e">
        <f>G40*AG40</f>
        <v>#N/A</v>
      </c>
      <c r="AI40" s="282" t="e">
        <f t="shared" si="20"/>
        <v>#N/A</v>
      </c>
      <c r="AJ40" s="276" t="e">
        <f t="shared" si="21"/>
        <v>#N/A</v>
      </c>
      <c r="AK40" s="283" t="e">
        <f t="shared" si="22"/>
        <v>#N/A</v>
      </c>
      <c r="AL40" s="134"/>
      <c r="AR40" s="62"/>
      <c r="AS40" s="62"/>
      <c r="AT40" s="62"/>
      <c r="AU40" s="62"/>
      <c r="AV40" s="62"/>
      <c r="AW40" s="62"/>
      <c r="AX40" s="62"/>
    </row>
    <row r="41" spans="2:50" ht="15" customHeight="1">
      <c r="B41" s="390">
        <f>Pressure_3_R1!B27</f>
        <v>0</v>
      </c>
      <c r="C41" s="391">
        <f>Pressure_3_R1!D27</f>
        <v>0</v>
      </c>
      <c r="D41" s="395">
        <f t="shared" si="23"/>
        <v>0</v>
      </c>
      <c r="E41" s="392">
        <f t="shared" si="8"/>
        <v>0</v>
      </c>
      <c r="F41" s="393">
        <f t="shared" si="9"/>
        <v>0</v>
      </c>
      <c r="G41" s="389">
        <f>E41*B41+F41</f>
        <v>0</v>
      </c>
      <c r="I41" s="386">
        <f t="shared" ca="1" si="26"/>
        <v>0</v>
      </c>
      <c r="J41" s="387" t="e">
        <f t="shared" ca="1" si="26"/>
        <v>#N/A</v>
      </c>
      <c r="K41" s="400" t="e">
        <f t="shared" ca="1" si="26"/>
        <v>#N/A</v>
      </c>
      <c r="L41" s="399" t="e">
        <f ca="1">IF(J41="% of Reading",G41*I41%,IF(J41="% of F.S",D41*I41%,I41*K41))</f>
        <v>#N/A</v>
      </c>
      <c r="M41" s="387">
        <f>C41</f>
        <v>0</v>
      </c>
      <c r="O41" s="386">
        <f t="shared" ca="1" si="27"/>
        <v>0</v>
      </c>
      <c r="P41" s="387" t="e">
        <f t="shared" ca="1" si="27"/>
        <v>#N/A</v>
      </c>
      <c r="Q41" s="382" t="e">
        <f t="shared" ca="1" si="10"/>
        <v>#N/A</v>
      </c>
      <c r="R41" s="382" t="e">
        <f t="shared" ca="1" si="11"/>
        <v>#N/A</v>
      </c>
      <c r="S41" s="383" t="e">
        <f t="shared" ca="1" si="12"/>
        <v>#N/A</v>
      </c>
      <c r="T41" s="386">
        <f t="shared" ca="1" si="27"/>
        <v>0</v>
      </c>
      <c r="U41" s="387" t="e">
        <f t="shared" ca="1" si="27"/>
        <v>#N/A</v>
      </c>
      <c r="V41" s="382" t="e">
        <f t="shared" ca="1" si="13"/>
        <v>#N/A</v>
      </c>
      <c r="W41" s="382" t="e">
        <f t="shared" ca="1" si="14"/>
        <v>#N/A</v>
      </c>
      <c r="X41" s="383" t="e">
        <f t="shared" ca="1" si="15"/>
        <v>#N/A</v>
      </c>
      <c r="Y41" s="384" t="e">
        <f t="shared" ca="1" si="18"/>
        <v>#N/A</v>
      </c>
      <c r="Z41" s="385">
        <f>C41</f>
        <v>0</v>
      </c>
      <c r="AB41" s="287">
        <v>1026</v>
      </c>
      <c r="AC41" s="276">
        <f t="shared" si="19"/>
        <v>1.9493177387914229E-3</v>
      </c>
      <c r="AD41" s="288">
        <f t="shared" si="24"/>
        <v>2</v>
      </c>
      <c r="AF41" s="278">
        <f t="shared" si="28"/>
        <v>0</v>
      </c>
      <c r="AG41" s="278" t="e">
        <f t="shared" si="28"/>
        <v>#N/A</v>
      </c>
      <c r="AH41" s="275" t="e">
        <f>G41*AG41</f>
        <v>#N/A</v>
      </c>
      <c r="AI41" s="282" t="e">
        <f t="shared" si="20"/>
        <v>#N/A</v>
      </c>
      <c r="AJ41" s="276" t="e">
        <f t="shared" si="21"/>
        <v>#N/A</v>
      </c>
      <c r="AK41" s="283" t="e">
        <f t="shared" si="22"/>
        <v>#N/A</v>
      </c>
      <c r="AL41" s="134"/>
      <c r="AR41" s="62"/>
      <c r="AS41" s="62"/>
      <c r="AT41" s="62"/>
      <c r="AU41" s="62"/>
      <c r="AV41" s="62"/>
      <c r="AW41" s="62"/>
      <c r="AX41" s="62"/>
    </row>
    <row r="42" spans="2:50" ht="15" customHeight="1">
      <c r="B42" s="390">
        <f>Pressure_3_R1!B28</f>
        <v>0</v>
      </c>
      <c r="C42" s="391">
        <f>Pressure_3_R1!D28</f>
        <v>0</v>
      </c>
      <c r="D42" s="395">
        <f t="shared" si="23"/>
        <v>0</v>
      </c>
      <c r="E42" s="392">
        <f t="shared" si="8"/>
        <v>0</v>
      </c>
      <c r="F42" s="393">
        <f t="shared" si="9"/>
        <v>0</v>
      </c>
      <c r="G42" s="389">
        <f>E42*B42+F42</f>
        <v>0</v>
      </c>
      <c r="I42" s="386">
        <f t="shared" ca="1" si="26"/>
        <v>0</v>
      </c>
      <c r="J42" s="387" t="e">
        <f t="shared" ca="1" si="26"/>
        <v>#N/A</v>
      </c>
      <c r="K42" s="400" t="e">
        <f t="shared" ca="1" si="26"/>
        <v>#N/A</v>
      </c>
      <c r="L42" s="399" t="e">
        <f ca="1">IF(J42="% of Reading",G42*I42%,IF(J42="% of F.S",D42*I42%,I42*K42))</f>
        <v>#N/A</v>
      </c>
      <c r="M42" s="387">
        <f>C42</f>
        <v>0</v>
      </c>
      <c r="O42" s="386">
        <f t="shared" ca="1" si="27"/>
        <v>0</v>
      </c>
      <c r="P42" s="387" t="e">
        <f t="shared" ca="1" si="27"/>
        <v>#N/A</v>
      </c>
      <c r="Q42" s="382" t="e">
        <f t="shared" ca="1" si="10"/>
        <v>#N/A</v>
      </c>
      <c r="R42" s="382" t="e">
        <f t="shared" ca="1" si="11"/>
        <v>#N/A</v>
      </c>
      <c r="S42" s="383" t="e">
        <f t="shared" ca="1" si="12"/>
        <v>#N/A</v>
      </c>
      <c r="T42" s="386">
        <f t="shared" ca="1" si="27"/>
        <v>0</v>
      </c>
      <c r="U42" s="387" t="e">
        <f t="shared" ca="1" si="27"/>
        <v>#N/A</v>
      </c>
      <c r="V42" s="382" t="e">
        <f t="shared" ca="1" si="13"/>
        <v>#N/A</v>
      </c>
      <c r="W42" s="382" t="e">
        <f t="shared" ca="1" si="14"/>
        <v>#N/A</v>
      </c>
      <c r="X42" s="383" t="e">
        <f t="shared" ca="1" si="15"/>
        <v>#N/A</v>
      </c>
      <c r="Y42" s="384" t="e">
        <f t="shared" ca="1" si="18"/>
        <v>#N/A</v>
      </c>
      <c r="Z42" s="385">
        <f>C42</f>
        <v>0</v>
      </c>
      <c r="AB42" s="287">
        <v>1026</v>
      </c>
      <c r="AC42" s="276">
        <f t="shared" si="19"/>
        <v>1.9493177387914229E-3</v>
      </c>
      <c r="AD42" s="288">
        <f t="shared" si="24"/>
        <v>2</v>
      </c>
      <c r="AF42" s="278">
        <f t="shared" si="28"/>
        <v>0</v>
      </c>
      <c r="AG42" s="278" t="e">
        <f t="shared" si="28"/>
        <v>#N/A</v>
      </c>
      <c r="AH42" s="275" t="e">
        <f>G42*AG42</f>
        <v>#N/A</v>
      </c>
      <c r="AI42" s="282" t="e">
        <f t="shared" si="20"/>
        <v>#N/A</v>
      </c>
      <c r="AJ42" s="276" t="e">
        <f t="shared" si="21"/>
        <v>#N/A</v>
      </c>
      <c r="AK42" s="283" t="e">
        <f t="shared" si="22"/>
        <v>#N/A</v>
      </c>
      <c r="AL42" s="134"/>
      <c r="AR42" s="62"/>
      <c r="AS42" s="62"/>
      <c r="AT42" s="62"/>
      <c r="AU42" s="62"/>
      <c r="AV42" s="62"/>
      <c r="AW42" s="62"/>
      <c r="AX42" s="62"/>
    </row>
    <row r="43" spans="2:50" ht="15" customHeight="1">
      <c r="B43" s="390">
        <f>Pressure_3_R1!B29</f>
        <v>0</v>
      </c>
      <c r="C43" s="391">
        <f>Pressure_3_R1!D29</f>
        <v>0</v>
      </c>
      <c r="D43" s="395">
        <f t="shared" si="23"/>
        <v>0</v>
      </c>
      <c r="E43" s="392">
        <f t="shared" si="8"/>
        <v>0</v>
      </c>
      <c r="F43" s="393">
        <f t="shared" si="9"/>
        <v>0</v>
      </c>
      <c r="G43" s="389">
        <f>E43*B43+F43</f>
        <v>0</v>
      </c>
      <c r="I43" s="386">
        <f t="shared" ca="1" si="26"/>
        <v>0</v>
      </c>
      <c r="J43" s="387" t="e">
        <f t="shared" ca="1" si="26"/>
        <v>#N/A</v>
      </c>
      <c r="K43" s="400" t="e">
        <f t="shared" ca="1" si="26"/>
        <v>#N/A</v>
      </c>
      <c r="L43" s="399" t="e">
        <f ca="1">IF(J43="% of Reading",G43*I43%,IF(J43="% of F.S",D43*I43%,I43*K43))</f>
        <v>#N/A</v>
      </c>
      <c r="M43" s="387">
        <f>C43</f>
        <v>0</v>
      </c>
      <c r="O43" s="386">
        <f t="shared" ca="1" si="27"/>
        <v>0</v>
      </c>
      <c r="P43" s="387" t="e">
        <f t="shared" ca="1" si="27"/>
        <v>#N/A</v>
      </c>
      <c r="Q43" s="382" t="e">
        <f t="shared" ca="1" si="10"/>
        <v>#N/A</v>
      </c>
      <c r="R43" s="382" t="e">
        <f t="shared" ca="1" si="11"/>
        <v>#N/A</v>
      </c>
      <c r="S43" s="383" t="e">
        <f t="shared" ca="1" si="12"/>
        <v>#N/A</v>
      </c>
      <c r="T43" s="386">
        <f t="shared" ca="1" si="27"/>
        <v>0</v>
      </c>
      <c r="U43" s="387" t="e">
        <f t="shared" ca="1" si="27"/>
        <v>#N/A</v>
      </c>
      <c r="V43" s="382" t="e">
        <f t="shared" ca="1" si="13"/>
        <v>#N/A</v>
      </c>
      <c r="W43" s="382" t="e">
        <f t="shared" ca="1" si="14"/>
        <v>#N/A</v>
      </c>
      <c r="X43" s="383" t="e">
        <f t="shared" ca="1" si="15"/>
        <v>#N/A</v>
      </c>
      <c r="Y43" s="384" t="e">
        <f t="shared" ca="1" si="18"/>
        <v>#N/A</v>
      </c>
      <c r="Z43" s="385">
        <f>C43</f>
        <v>0</v>
      </c>
      <c r="AB43" s="287">
        <v>1026</v>
      </c>
      <c r="AC43" s="276">
        <f t="shared" si="19"/>
        <v>1.9493177387914229E-3</v>
      </c>
      <c r="AD43" s="288">
        <f t="shared" si="24"/>
        <v>2</v>
      </c>
      <c r="AF43" s="278">
        <f t="shared" si="28"/>
        <v>0</v>
      </c>
      <c r="AG43" s="278" t="e">
        <f t="shared" si="28"/>
        <v>#N/A</v>
      </c>
      <c r="AH43" s="275" t="e">
        <f>G43*AG43</f>
        <v>#N/A</v>
      </c>
      <c r="AI43" s="282" t="e">
        <f t="shared" si="20"/>
        <v>#N/A</v>
      </c>
      <c r="AJ43" s="276" t="e">
        <f t="shared" si="21"/>
        <v>#N/A</v>
      </c>
      <c r="AK43" s="283" t="e">
        <f t="shared" si="22"/>
        <v>#N/A</v>
      </c>
      <c r="AL43" s="134"/>
      <c r="AR43" s="62"/>
      <c r="AS43" s="62"/>
      <c r="AT43" s="62"/>
      <c r="AU43" s="62"/>
      <c r="AV43" s="62"/>
      <c r="AW43" s="62"/>
      <c r="AX43" s="62"/>
    </row>
    <row r="44" spans="2:50" ht="15" customHeight="1">
      <c r="B44" s="390">
        <f>Pressure_3_R1!B30</f>
        <v>0</v>
      </c>
      <c r="C44" s="391">
        <f>Pressure_3_R1!D30</f>
        <v>0</v>
      </c>
      <c r="D44" s="395">
        <f t="shared" si="23"/>
        <v>0</v>
      </c>
      <c r="E44" s="392">
        <f t="shared" si="8"/>
        <v>0</v>
      </c>
      <c r="F44" s="393">
        <f t="shared" si="9"/>
        <v>0</v>
      </c>
      <c r="G44" s="389">
        <f>E44*B44+F44</f>
        <v>0</v>
      </c>
      <c r="I44" s="386">
        <f t="shared" ca="1" si="26"/>
        <v>0</v>
      </c>
      <c r="J44" s="387" t="e">
        <f t="shared" ca="1" si="26"/>
        <v>#N/A</v>
      </c>
      <c r="K44" s="400" t="e">
        <f t="shared" ca="1" si="26"/>
        <v>#N/A</v>
      </c>
      <c r="L44" s="399" t="e">
        <f ca="1">IF(J44="% of Reading",G44*I44%,IF(J44="% of F.S",D44*I44%,I44*K44))</f>
        <v>#N/A</v>
      </c>
      <c r="M44" s="387">
        <f>C44</f>
        <v>0</v>
      </c>
      <c r="O44" s="386">
        <f t="shared" ca="1" si="27"/>
        <v>0</v>
      </c>
      <c r="P44" s="387" t="e">
        <f t="shared" ca="1" si="27"/>
        <v>#N/A</v>
      </c>
      <c r="Q44" s="382" t="e">
        <f t="shared" ca="1" si="10"/>
        <v>#N/A</v>
      </c>
      <c r="R44" s="382" t="e">
        <f t="shared" ca="1" si="11"/>
        <v>#N/A</v>
      </c>
      <c r="S44" s="383" t="e">
        <f t="shared" ca="1" si="12"/>
        <v>#N/A</v>
      </c>
      <c r="T44" s="386">
        <f t="shared" ca="1" si="27"/>
        <v>0</v>
      </c>
      <c r="U44" s="387" t="e">
        <f t="shared" ca="1" si="27"/>
        <v>#N/A</v>
      </c>
      <c r="V44" s="382" t="e">
        <f t="shared" ca="1" si="13"/>
        <v>#N/A</v>
      </c>
      <c r="W44" s="382" t="e">
        <f t="shared" ca="1" si="14"/>
        <v>#N/A</v>
      </c>
      <c r="X44" s="383" t="e">
        <f t="shared" ca="1" si="15"/>
        <v>#N/A</v>
      </c>
      <c r="Y44" s="384" t="e">
        <f t="shared" ca="1" si="18"/>
        <v>#N/A</v>
      </c>
      <c r="Z44" s="385">
        <f>C44</f>
        <v>0</v>
      </c>
      <c r="AB44" s="287">
        <v>1026</v>
      </c>
      <c r="AC44" s="276">
        <f t="shared" si="19"/>
        <v>1.9493177387914229E-3</v>
      </c>
      <c r="AD44" s="288">
        <f t="shared" si="24"/>
        <v>2</v>
      </c>
      <c r="AF44" s="278">
        <f t="shared" si="28"/>
        <v>0</v>
      </c>
      <c r="AG44" s="278" t="e">
        <f t="shared" si="28"/>
        <v>#N/A</v>
      </c>
      <c r="AH44" s="275" t="e">
        <f>G44*AG44</f>
        <v>#N/A</v>
      </c>
      <c r="AI44" s="282" t="e">
        <f t="shared" si="20"/>
        <v>#N/A</v>
      </c>
      <c r="AJ44" s="276" t="e">
        <f t="shared" si="21"/>
        <v>#N/A</v>
      </c>
      <c r="AK44" s="283" t="e">
        <f t="shared" si="22"/>
        <v>#N/A</v>
      </c>
      <c r="AL44" s="134"/>
      <c r="AR44" s="62"/>
      <c r="AS44" s="62"/>
      <c r="AT44" s="62"/>
      <c r="AU44" s="62"/>
      <c r="AV44" s="62"/>
      <c r="AW44" s="62"/>
      <c r="AX44" s="62"/>
    </row>
    <row r="45" spans="2:50" ht="15" customHeight="1">
      <c r="B45" s="390">
        <f>Pressure_3_R1!B31</f>
        <v>0</v>
      </c>
      <c r="C45" s="391">
        <f>Pressure_3_R1!D31</f>
        <v>0</v>
      </c>
      <c r="D45" s="395">
        <f t="shared" si="23"/>
        <v>0</v>
      </c>
      <c r="E45" s="392">
        <f t="shared" si="8"/>
        <v>0</v>
      </c>
      <c r="F45" s="393">
        <f t="shared" si="9"/>
        <v>0</v>
      </c>
      <c r="G45" s="389">
        <f>E45*B45+F45</f>
        <v>0</v>
      </c>
      <c r="I45" s="386">
        <f t="shared" ca="1" si="26"/>
        <v>0</v>
      </c>
      <c r="J45" s="387" t="e">
        <f t="shared" ca="1" si="26"/>
        <v>#N/A</v>
      </c>
      <c r="K45" s="400" t="e">
        <f t="shared" ca="1" si="26"/>
        <v>#N/A</v>
      </c>
      <c r="L45" s="399" t="e">
        <f ca="1">IF(J45="% of Reading",G45*I45%,IF(J45="% of F.S",D45*I45%,I45*K45))</f>
        <v>#N/A</v>
      </c>
      <c r="M45" s="387">
        <f>C45</f>
        <v>0</v>
      </c>
      <c r="O45" s="386">
        <f t="shared" ca="1" si="27"/>
        <v>0</v>
      </c>
      <c r="P45" s="387" t="e">
        <f t="shared" ca="1" si="27"/>
        <v>#N/A</v>
      </c>
      <c r="Q45" s="382" t="e">
        <f t="shared" ca="1" si="10"/>
        <v>#N/A</v>
      </c>
      <c r="R45" s="382" t="e">
        <f t="shared" ca="1" si="11"/>
        <v>#N/A</v>
      </c>
      <c r="S45" s="383" t="e">
        <f t="shared" ca="1" si="12"/>
        <v>#N/A</v>
      </c>
      <c r="T45" s="386">
        <f t="shared" ca="1" si="27"/>
        <v>0</v>
      </c>
      <c r="U45" s="387" t="e">
        <f t="shared" ca="1" si="27"/>
        <v>#N/A</v>
      </c>
      <c r="V45" s="382" t="e">
        <f t="shared" ca="1" si="13"/>
        <v>#N/A</v>
      </c>
      <c r="W45" s="382" t="e">
        <f t="shared" ca="1" si="14"/>
        <v>#N/A</v>
      </c>
      <c r="X45" s="383" t="e">
        <f t="shared" ca="1" si="15"/>
        <v>#N/A</v>
      </c>
      <c r="Y45" s="384" t="e">
        <f t="shared" ca="1" si="18"/>
        <v>#N/A</v>
      </c>
      <c r="Z45" s="385">
        <f>C45</f>
        <v>0</v>
      </c>
      <c r="AB45" s="287">
        <v>1026</v>
      </c>
      <c r="AC45" s="276">
        <f t="shared" si="19"/>
        <v>1.9493177387914229E-3</v>
      </c>
      <c r="AD45" s="288">
        <f t="shared" si="24"/>
        <v>2</v>
      </c>
      <c r="AF45" s="278">
        <f t="shared" si="28"/>
        <v>0</v>
      </c>
      <c r="AG45" s="278" t="e">
        <f t="shared" si="28"/>
        <v>#N/A</v>
      </c>
      <c r="AH45" s="275" t="e">
        <f>G45*AG45</f>
        <v>#N/A</v>
      </c>
      <c r="AI45" s="282" t="e">
        <f t="shared" si="20"/>
        <v>#N/A</v>
      </c>
      <c r="AJ45" s="276" t="e">
        <f t="shared" si="21"/>
        <v>#N/A</v>
      </c>
      <c r="AK45" s="283" t="e">
        <f t="shared" si="22"/>
        <v>#N/A</v>
      </c>
      <c r="AL45" s="134"/>
      <c r="AR45" s="62"/>
      <c r="AS45" s="62"/>
      <c r="AT45" s="62"/>
      <c r="AU45" s="62"/>
      <c r="AV45" s="62"/>
      <c r="AW45" s="62"/>
      <c r="AX45" s="62"/>
    </row>
    <row r="46" spans="2:50" ht="15" customHeight="1">
      <c r="B46" s="390">
        <f>Pressure_3_R1!B32</f>
        <v>0</v>
      </c>
      <c r="C46" s="391">
        <f>Pressure_3_R1!D32</f>
        <v>0</v>
      </c>
      <c r="D46" s="395">
        <f t="shared" si="23"/>
        <v>0</v>
      </c>
      <c r="E46" s="392">
        <f t="shared" si="8"/>
        <v>0</v>
      </c>
      <c r="F46" s="393">
        <f t="shared" si="9"/>
        <v>0</v>
      </c>
      <c r="G46" s="389">
        <f>E46*B46+F46</f>
        <v>0</v>
      </c>
      <c r="I46" s="386">
        <f t="shared" ca="1" si="26"/>
        <v>0</v>
      </c>
      <c r="J46" s="387" t="e">
        <f t="shared" ca="1" si="26"/>
        <v>#N/A</v>
      </c>
      <c r="K46" s="400" t="e">
        <f t="shared" ca="1" si="26"/>
        <v>#N/A</v>
      </c>
      <c r="L46" s="399" t="e">
        <f ca="1">IF(J46="% of Reading",G46*I46%,IF(J46="% of F.S",D46*I46%,I46*K46))</f>
        <v>#N/A</v>
      </c>
      <c r="M46" s="387">
        <f>C46</f>
        <v>0</v>
      </c>
      <c r="O46" s="386">
        <f t="shared" ca="1" si="27"/>
        <v>0</v>
      </c>
      <c r="P46" s="387" t="e">
        <f t="shared" ca="1" si="27"/>
        <v>#N/A</v>
      </c>
      <c r="Q46" s="382" t="e">
        <f t="shared" ca="1" si="10"/>
        <v>#N/A</v>
      </c>
      <c r="R46" s="382" t="e">
        <f t="shared" ca="1" si="11"/>
        <v>#N/A</v>
      </c>
      <c r="S46" s="383" t="e">
        <f t="shared" ca="1" si="12"/>
        <v>#N/A</v>
      </c>
      <c r="T46" s="386">
        <f t="shared" ca="1" si="27"/>
        <v>0</v>
      </c>
      <c r="U46" s="387" t="e">
        <f t="shared" ca="1" si="27"/>
        <v>#N/A</v>
      </c>
      <c r="V46" s="382" t="e">
        <f t="shared" ca="1" si="13"/>
        <v>#N/A</v>
      </c>
      <c r="W46" s="382" t="e">
        <f t="shared" ca="1" si="14"/>
        <v>#N/A</v>
      </c>
      <c r="X46" s="383" t="e">
        <f t="shared" ca="1" si="15"/>
        <v>#N/A</v>
      </c>
      <c r="Y46" s="384" t="e">
        <f t="shared" ca="1" si="18"/>
        <v>#N/A</v>
      </c>
      <c r="Z46" s="385">
        <f>C46</f>
        <v>0</v>
      </c>
      <c r="AB46" s="287">
        <v>1026</v>
      </c>
      <c r="AC46" s="276">
        <f t="shared" si="19"/>
        <v>1.9493177387914229E-3</v>
      </c>
      <c r="AD46" s="288">
        <f t="shared" si="24"/>
        <v>2</v>
      </c>
      <c r="AF46" s="278">
        <f t="shared" si="28"/>
        <v>0</v>
      </c>
      <c r="AG46" s="278" t="e">
        <f t="shared" si="28"/>
        <v>#N/A</v>
      </c>
      <c r="AH46" s="275" t="e">
        <f>G46*AG46</f>
        <v>#N/A</v>
      </c>
      <c r="AI46" s="282" t="e">
        <f t="shared" si="20"/>
        <v>#N/A</v>
      </c>
      <c r="AJ46" s="276" t="e">
        <f t="shared" si="21"/>
        <v>#N/A</v>
      </c>
      <c r="AK46" s="283" t="e">
        <f t="shared" si="22"/>
        <v>#N/A</v>
      </c>
      <c r="AL46" s="134"/>
      <c r="AR46" s="62"/>
      <c r="AS46" s="62"/>
      <c r="AT46" s="62"/>
      <c r="AU46" s="62"/>
      <c r="AV46" s="62"/>
      <c r="AW46" s="62"/>
      <c r="AX46" s="62"/>
    </row>
    <row r="47" spans="2:50" ht="15" customHeight="1">
      <c r="B47" s="390">
        <f>Pressure_3_R1!B33</f>
        <v>0</v>
      </c>
      <c r="C47" s="391">
        <f>Pressure_3_R1!D33</f>
        <v>0</v>
      </c>
      <c r="D47" s="395">
        <f t="shared" si="23"/>
        <v>0</v>
      </c>
      <c r="E47" s="392">
        <f t="shared" si="8"/>
        <v>0</v>
      </c>
      <c r="F47" s="393">
        <f t="shared" si="9"/>
        <v>0</v>
      </c>
      <c r="G47" s="389">
        <f>E47*B47+F47</f>
        <v>0</v>
      </c>
      <c r="I47" s="386">
        <f t="shared" ca="1" si="26"/>
        <v>0</v>
      </c>
      <c r="J47" s="387" t="e">
        <f t="shared" ca="1" si="26"/>
        <v>#N/A</v>
      </c>
      <c r="K47" s="400" t="e">
        <f t="shared" ca="1" si="26"/>
        <v>#N/A</v>
      </c>
      <c r="L47" s="399" t="e">
        <f ca="1">IF(J47="% of Reading",G47*I47%,IF(J47="% of F.S",D47*I47%,I47*K47))</f>
        <v>#N/A</v>
      </c>
      <c r="M47" s="387">
        <f>C47</f>
        <v>0</v>
      </c>
      <c r="O47" s="386">
        <f t="shared" ca="1" si="27"/>
        <v>0</v>
      </c>
      <c r="P47" s="387" t="e">
        <f t="shared" ca="1" si="27"/>
        <v>#N/A</v>
      </c>
      <c r="Q47" s="382" t="e">
        <f t="shared" ca="1" si="10"/>
        <v>#N/A</v>
      </c>
      <c r="R47" s="382" t="e">
        <f t="shared" ca="1" si="11"/>
        <v>#N/A</v>
      </c>
      <c r="S47" s="383" t="e">
        <f t="shared" ca="1" si="12"/>
        <v>#N/A</v>
      </c>
      <c r="T47" s="386">
        <f t="shared" ca="1" si="27"/>
        <v>0</v>
      </c>
      <c r="U47" s="387" t="e">
        <f t="shared" ca="1" si="27"/>
        <v>#N/A</v>
      </c>
      <c r="V47" s="382" t="e">
        <f t="shared" ca="1" si="13"/>
        <v>#N/A</v>
      </c>
      <c r="W47" s="382" t="e">
        <f t="shared" ca="1" si="14"/>
        <v>#N/A</v>
      </c>
      <c r="X47" s="383" t="e">
        <f t="shared" ca="1" si="15"/>
        <v>#N/A</v>
      </c>
      <c r="Y47" s="384" t="e">
        <f t="shared" ca="1" si="18"/>
        <v>#N/A</v>
      </c>
      <c r="Z47" s="385">
        <f>C47</f>
        <v>0</v>
      </c>
      <c r="AB47" s="287">
        <v>1026</v>
      </c>
      <c r="AC47" s="276">
        <f t="shared" si="19"/>
        <v>1.9493177387914229E-3</v>
      </c>
      <c r="AD47" s="288">
        <f t="shared" si="24"/>
        <v>2</v>
      </c>
      <c r="AF47" s="278">
        <f t="shared" si="28"/>
        <v>0</v>
      </c>
      <c r="AG47" s="278" t="e">
        <f t="shared" si="28"/>
        <v>#N/A</v>
      </c>
      <c r="AH47" s="275" t="e">
        <f>G47*AG47</f>
        <v>#N/A</v>
      </c>
      <c r="AI47" s="282" t="e">
        <f t="shared" si="20"/>
        <v>#N/A</v>
      </c>
      <c r="AJ47" s="276" t="e">
        <f t="shared" si="21"/>
        <v>#N/A</v>
      </c>
      <c r="AK47" s="283" t="e">
        <f t="shared" si="22"/>
        <v>#N/A</v>
      </c>
      <c r="AL47" s="134"/>
      <c r="AR47" s="62"/>
      <c r="AS47" s="62"/>
      <c r="AT47" s="62"/>
      <c r="AU47" s="62"/>
      <c r="AV47" s="62"/>
      <c r="AW47" s="62"/>
      <c r="AX47" s="62"/>
    </row>
  </sheetData>
  <mergeCells count="16">
    <mergeCell ref="B17:C17"/>
    <mergeCell ref="I17:J17"/>
    <mergeCell ref="H13:I13"/>
    <mergeCell ref="B14:C14"/>
    <mergeCell ref="B13:C13"/>
    <mergeCell ref="AJ15:AK15"/>
    <mergeCell ref="AJ16:AK16"/>
    <mergeCell ref="AC15:AD15"/>
    <mergeCell ref="AC16:AD16"/>
    <mergeCell ref="J13:K13"/>
    <mergeCell ref="L13:M13"/>
    <mergeCell ref="O17:P17"/>
    <mergeCell ref="Q17:R17"/>
    <mergeCell ref="T17:U17"/>
    <mergeCell ref="V17:W17"/>
    <mergeCell ref="Y17:Z1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20</vt:i4>
      </vt:variant>
    </vt:vector>
  </HeadingPairs>
  <TitlesOfParts>
    <vt:vector size="33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표준압력</vt:lpstr>
      <vt:lpstr>Calcu</vt:lpstr>
      <vt:lpstr>Calcu_ADJ</vt:lpstr>
      <vt:lpstr>STD_Data</vt:lpstr>
      <vt:lpstr>Pressure_3_R1</vt:lpstr>
      <vt:lpstr>'교정결과-E'!B_Tag</vt:lpstr>
      <vt:lpstr>'교정결과-HY'!B_Tag</vt:lpstr>
      <vt:lpstr>B_Tag</vt:lpstr>
      <vt:lpstr>판정결과!B_Tag_2</vt:lpstr>
      <vt:lpstr>B_Tag_3</vt:lpstr>
      <vt:lpstr>Pressure_3_R1_CMC</vt:lpstr>
      <vt:lpstr>Pressure_3_R1_Condition</vt:lpstr>
      <vt:lpstr>Pressure_3_R1_Resolution</vt:lpstr>
      <vt:lpstr>Pressure_3_R1_Result</vt:lpstr>
      <vt:lpstr>Pressure_3_R1_Result_ADJ</vt:lpstr>
      <vt:lpstr>Pressure_3_R1_Result2</vt:lpstr>
      <vt:lpstr>Pressure_3_R1_Spec</vt:lpstr>
      <vt:lpstr>Pressure_3_R1_STD1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  <vt:lpstr>ㅓ82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2021-05-06T07:38:32Z</cp:lastPrinted>
  <dcterms:created xsi:type="dcterms:W3CDTF">2004-11-10T00:11:43Z</dcterms:created>
  <dcterms:modified xsi:type="dcterms:W3CDTF">2021-12-07T23:39:50Z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C:\Users\LG\Documents\MCT\Templates\20411-1.xlsx</vt:lpwstr>
  </property>
</Properties>
</file>